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4000" windowHeight="4050" tabRatio="650" activeTab="0"/>
  </bookViews>
  <sheets>
    <sheet name="2021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<sst xmlns="http://schemas.openxmlformats.org/spreadsheetml/2006/main" count="737" uniqueCount="95">
  <si>
    <t>POBLACION TOTAL POR GRUPOS DE EDAD  DISTRIBUIDOS POR ESTABLECIMIENTOS</t>
  </si>
  <si>
    <t>_</t>
  </si>
  <si>
    <t xml:space="preserve">            0   A   9   A Ñ O S</t>
  </si>
  <si>
    <t xml:space="preserve">             10   A  19   A Ñ O S</t>
  </si>
  <si>
    <t xml:space="preserve">        20   A Ñ O S    Y  M A S</t>
  </si>
  <si>
    <t>POBLA.</t>
  </si>
  <si>
    <t>ESTABLECIMIENTOS</t>
  </si>
  <si>
    <t>2 - 5</t>
  </si>
  <si>
    <t>6 - 9</t>
  </si>
  <si>
    <t>10 - 14</t>
  </si>
  <si>
    <t>15 - 19</t>
  </si>
  <si>
    <t>20 - 44</t>
  </si>
  <si>
    <t>TOTAL</t>
  </si>
  <si>
    <t>Sub-tot.</t>
  </si>
  <si>
    <t>-1 año</t>
  </si>
  <si>
    <t>meses</t>
  </si>
  <si>
    <t>años</t>
  </si>
  <si>
    <t>TOTAL SERVICIO DE SALUD</t>
  </si>
  <si>
    <t>ISAPRE RIO BLANCO</t>
  </si>
  <si>
    <t>POBLACION USUARIA  TOTAL POR GRUPOS DE EDAD  DISTRIBUIDOS POR ESTABLECIMIENTOS</t>
  </si>
  <si>
    <t xml:space="preserve">            10   A  19   A Ñ O S</t>
  </si>
  <si>
    <t>20   A Ñ O S    Y  M A S</t>
  </si>
  <si>
    <t>POBLACION FEMENINA  POR GRUPOS DE EDAD  DISTRIBUIDOS POR ESTABLECIMIENTOS</t>
  </si>
  <si>
    <t xml:space="preserve">        GRUPOS  ETAREOS</t>
  </si>
  <si>
    <t>EMBARAZADAS</t>
  </si>
  <si>
    <t>RECIEN</t>
  </si>
  <si>
    <t>NACIDO</t>
  </si>
  <si>
    <t>- 10</t>
  </si>
  <si>
    <t>45 - 49</t>
  </si>
  <si>
    <t>65 y +</t>
  </si>
  <si>
    <t>- 20</t>
  </si>
  <si>
    <t>20 - 34</t>
  </si>
  <si>
    <t>O PUERP.</t>
  </si>
  <si>
    <t>POBLACION FEMENINA  USUARIA  POR GRUPOS DE EDAD  DISTRIBUIDOS POR ESTABLECIMIENTOS</t>
  </si>
  <si>
    <t>65 - 69</t>
  </si>
  <si>
    <t>70 - +</t>
  </si>
  <si>
    <t>POBLACION USUARIA CERRADA  POR GRUPOS DE EDAD  DISTRIBUIDOS POR ESTABLECIMIENTOS</t>
  </si>
  <si>
    <t xml:space="preserve"> HOSPITAL  SAN  CAMILO</t>
  </si>
  <si>
    <t xml:space="preserve"> HOSPITAL  LOS  ANDES</t>
  </si>
  <si>
    <t xml:space="preserve"> HOSPITAL  LLAY  LLAY</t>
  </si>
  <si>
    <t xml:space="preserve"> HOSPITAL  PUTAENDO</t>
  </si>
  <si>
    <t xml:space="preserve"> HOSPITAL  PSIQUIATRICO</t>
  </si>
  <si>
    <t>NOTA   :</t>
  </si>
  <si>
    <t>HOSP. SAN CAMILO POB. DE LA PROVINCIA</t>
  </si>
  <si>
    <t>HOSP. LOS ANDES  POB. DE LA PROVINCIA</t>
  </si>
  <si>
    <t>HOSP. LLAY LLAY  INCLUYE COMUNA DE CATEMU</t>
  </si>
  <si>
    <t>HOSP. PUTAENDO   COMUNA DE PUTAENDO</t>
  </si>
  <si>
    <t>HOSP. PSIQUIATRICO  POB. SERV. DE SALUD</t>
  </si>
  <si>
    <t>POBLACION FEMENINA  USUARIA  CERRADA  POR GRUPOS DE EDAD  DISTRIBUIDOS POR ESTABLECIMIENTOS</t>
  </si>
  <si>
    <t>55 - 64</t>
  </si>
  <si>
    <t>CECOF  LOS  ANDES</t>
  </si>
  <si>
    <t>CECOF  STA. MARIA</t>
  </si>
  <si>
    <t>25 - 34</t>
  </si>
  <si>
    <t>35 - 44</t>
  </si>
  <si>
    <t>45 - 54</t>
  </si>
  <si>
    <t>CESFAM LLAY LLAY</t>
  </si>
  <si>
    <t>CESFAM  RINCONADA</t>
  </si>
  <si>
    <t>CESFAM  SAN ESTEBAN</t>
  </si>
  <si>
    <t>CESFAM  CATEMU</t>
  </si>
  <si>
    <t>CESFAM  PUTAENDO</t>
  </si>
  <si>
    <t>CESFAM CALLE LARGA</t>
  </si>
  <si>
    <t>CESFAM SANTA MARIA</t>
  </si>
  <si>
    <t>CESFAM PANQUEHUE</t>
  </si>
  <si>
    <t>POSTA  CARIÑO BOTADO</t>
  </si>
  <si>
    <t>POSTA  CAMPOS AHUMADA</t>
  </si>
  <si>
    <t>POSTA  RIO COLORADO</t>
  </si>
  <si>
    <t>POSTA  RIO BLANCO</t>
  </si>
  <si>
    <t>POSTA  SAN VICENTE</t>
  </si>
  <si>
    <t>POSTA  PIGUCHEN</t>
  </si>
  <si>
    <t>POSTA  GUZMANES</t>
  </si>
  <si>
    <t>POSTA  LA  ORILLA</t>
  </si>
  <si>
    <t>POSTA  QDA.  HERRERA</t>
  </si>
  <si>
    <t>POSTA  STA. FILOMENA</t>
  </si>
  <si>
    <t>50 - 54</t>
  </si>
  <si>
    <t>- 28 dias</t>
  </si>
  <si>
    <t>12 - 17</t>
  </si>
  <si>
    <t>18 - 23</t>
  </si>
  <si>
    <t>25 - 44</t>
  </si>
  <si>
    <t>CESFAM CURIMON</t>
  </si>
  <si>
    <t>CECOF  SAN  FELIPE</t>
  </si>
  <si>
    <t>CECOF  LO  CALVO</t>
  </si>
  <si>
    <t>CECOF  CERRILLO</t>
  </si>
  <si>
    <t>20 - 24</t>
  </si>
  <si>
    <t>35 - 49</t>
  </si>
  <si>
    <t>CESFAM  SAN FELIPE  EL REAL</t>
  </si>
  <si>
    <t>CESFAM  SEGISMUNDO ITURRA</t>
  </si>
  <si>
    <t>CESFAM  CORDILLERA  ANDINA</t>
  </si>
  <si>
    <t>CESFAM  CENTENARIO</t>
  </si>
  <si>
    <t>CONFAM  CURIMON</t>
  </si>
  <si>
    <t>CECOF  LAS  COIMAS</t>
  </si>
  <si>
    <t xml:space="preserve">           SERVICIO DE SALUD ACONCAGUA  2020</t>
  </si>
  <si>
    <t>Nota: Proyección  Censo 2017</t>
  </si>
  <si>
    <t>50 - 69</t>
  </si>
  <si>
    <t xml:space="preserve">           SERVICIO DE SALUD ACONCAGUA  2021</t>
  </si>
  <si>
    <t>Nota:  Población  usuaria calculada  con  el  porcentaje  de  beneficiarios  FONASA  2019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</si>
</sst>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Pts&quot;#,##0;\-&quot;Pts&quot;#,##0"/>
    <numFmt numFmtId="171" formatCode="&quot;Pts&quot;#,##0;[Red]\-&quot;Pts&quot;#,##0"/>
    <numFmt numFmtId="172" formatCode="&quot;Pts&quot;#,##0.00;\-&quot;Pts&quot;#,##0.00"/>
    <numFmt numFmtId="173" formatCode="&quot;Pts&quot;#,##0.00;[Red]\-&quot;Pts&quot;#,##0.00"/>
    <numFmt numFmtId="174" formatCode="_-&quot;Pts&quot;* #,##0_-;\-&quot;Pts&quot;* #,##0_-;_-&quot;Pts&quot;* &quot;-&quot;_-;_-@_-"/>
    <numFmt numFmtId="175" formatCode="_-&quot;Pts&quot;* #,##0.00_-;\-&quot;Pts&quot;* #,##0.00_-;_-&quot;Pts&quot;* &quot;-&quot;??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_);\(#,##0\)"/>
    <numFmt numFmtId="186" formatCode="#,##0.0_);\(#,##0.0\)"/>
    <numFmt numFmtId="187" formatCode="0.00000"/>
    <numFmt numFmtId="188" formatCode="0.0000"/>
    <numFmt numFmtId="189" formatCode="0.000"/>
    <numFmt numFmtId="190" formatCode="0.0"/>
    <numFmt numFmtId="191" formatCode="#,##0_)"/>
    <numFmt numFmtId="192" formatCode="#,##0.00_);\(#,##0.00\)"/>
    <numFmt numFmtId="193" formatCode="#,##0.000_);\(#,##0.000\)"/>
    <numFmt numFmtId="194" formatCode="#,##0.0000_);\(#,##0.0000\)"/>
    <numFmt numFmtId="195" formatCode="#,##0.00000_);\(#,##0.00000\)"/>
    <numFmt numFmtId="196" formatCode="#,##0.000000_);\(#,##0.000000\)"/>
    <numFmt numFmtId="197" formatCode="#,##0.0000000_);\(#,##0.0000000\)"/>
    <numFmt numFmtId="198" formatCode="#,##0.00000000_);\(#,##0.00000000\)"/>
    <numFmt numFmtId="199" formatCode="#,##0.000000000_);\(#,##0.000000000\)"/>
    <numFmt numFmtId="200" formatCode="#,##0.0000000000_);\(#,##0.0000000000\)"/>
    <numFmt numFmtId="201" formatCode="#,##0.00000000000_);\(#,##0.00000000000\)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#,##0.0"/>
    <numFmt numFmtId="209" formatCode="#,##0.000"/>
    <numFmt numFmtId="210" formatCode="#,##0.0000"/>
    <numFmt numFmtId="211" formatCode="#,##0.00000"/>
  </numFmts>
  <fonts count="42">
    <font>
      <sz val="12"/>
      <name val="Arial"/>
      <family val="0"/>
    </font>
    <font>
      <sz val="10"/>
      <name val="Arial"/>
      <family val="0"/>
    </font>
    <font>
      <sz val="10"/>
      <name val="Courier"/>
      <family val="3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30" borderId="5" applyBorder="0">
      <alignment/>
      <protection locked="0"/>
    </xf>
    <xf numFmtId="0" fontId="33" fillId="31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9" fontId="1" fillId="0" borderId="0" applyFont="0" applyFill="0" applyBorder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1" fillId="0" borderId="9" applyNumberFormat="0" applyFill="0" applyAlignment="0" applyProtection="0"/>
    <xf numFmtId="0" fontId="40" fillId="0" borderId="10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5" fontId="3" fillId="0" borderId="11" xfId="0" applyNumberFormat="1" applyFont="1" applyBorder="1" applyAlignment="1" applyProtection="1">
      <alignment vertical="center"/>
      <protection/>
    </xf>
    <xf numFmtId="185" fontId="3" fillId="0" borderId="13" xfId="0" applyNumberFormat="1" applyFont="1" applyBorder="1" applyAlignment="1" applyProtection="1">
      <alignment vertical="center"/>
      <protection/>
    </xf>
    <xf numFmtId="185" fontId="3" fillId="0" borderId="14" xfId="0" applyNumberFormat="1" applyFont="1" applyBorder="1" applyAlignment="1" applyProtection="1">
      <alignment vertical="center"/>
      <protection/>
    </xf>
    <xf numFmtId="185" fontId="3" fillId="0" borderId="15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5" fontId="3" fillId="0" borderId="16" xfId="0" applyNumberFormat="1" applyFont="1" applyBorder="1" applyAlignment="1" applyProtection="1">
      <alignment vertical="center"/>
      <protection/>
    </xf>
    <xf numFmtId="185" fontId="3" fillId="0" borderId="0" xfId="0" applyNumberFormat="1" applyFont="1" applyAlignment="1" applyProtection="1">
      <alignment vertical="center"/>
      <protection/>
    </xf>
    <xf numFmtId="185" fontId="3" fillId="0" borderId="18" xfId="0" applyNumberFormat="1" applyFont="1" applyBorder="1" applyAlignment="1" applyProtection="1">
      <alignment vertical="center"/>
      <protection/>
    </xf>
    <xf numFmtId="185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5" fontId="3" fillId="0" borderId="20" xfId="0" applyNumberFormat="1" applyFont="1" applyBorder="1" applyAlignment="1" applyProtection="1">
      <alignment vertical="center"/>
      <protection/>
    </xf>
    <xf numFmtId="185" fontId="3" fillId="0" borderId="21" xfId="0" applyNumberFormat="1" applyFont="1" applyBorder="1" applyAlignment="1" applyProtection="1">
      <alignment vertical="center"/>
      <protection/>
    </xf>
    <xf numFmtId="185" fontId="3" fillId="0" borderId="22" xfId="0" applyNumberFormat="1" applyFont="1" applyBorder="1" applyAlignment="1" applyProtection="1">
      <alignment vertical="center"/>
      <protection/>
    </xf>
    <xf numFmtId="185" fontId="3" fillId="0" borderId="23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>
      <alignment horizontal="center" vertical="center"/>
    </xf>
    <xf numFmtId="185" fontId="3" fillId="0" borderId="11" xfId="0" applyNumberFormat="1" applyFont="1" applyBorder="1" applyAlignment="1" applyProtection="1">
      <alignment horizontal="center" vertical="center"/>
      <protection/>
    </xf>
    <xf numFmtId="185" fontId="3" fillId="0" borderId="13" xfId="0" applyNumberFormat="1" applyFont="1" applyBorder="1" applyAlignment="1" applyProtection="1">
      <alignment horizontal="center" vertical="center"/>
      <protection/>
    </xf>
    <xf numFmtId="185" fontId="3" fillId="0" borderId="14" xfId="0" applyNumberFormat="1" applyFont="1" applyBorder="1" applyAlignment="1" applyProtection="1">
      <alignment horizontal="center" vertical="center"/>
      <protection/>
    </xf>
    <xf numFmtId="185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5" fontId="3" fillId="0" borderId="16" xfId="0" applyNumberFormat="1" applyFont="1" applyBorder="1" applyAlignment="1" applyProtection="1">
      <alignment horizontal="center" vertical="center"/>
      <protection/>
    </xf>
    <xf numFmtId="185" fontId="3" fillId="0" borderId="0" xfId="0" applyNumberFormat="1" applyFont="1" applyAlignment="1" applyProtection="1">
      <alignment horizontal="center" vertical="center"/>
      <protection/>
    </xf>
    <xf numFmtId="185" fontId="3" fillId="0" borderId="18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185" fontId="3" fillId="0" borderId="20" xfId="0" applyNumberFormat="1" applyFont="1" applyBorder="1" applyAlignment="1" applyProtection="1">
      <alignment horizontal="center" vertical="center"/>
      <protection/>
    </xf>
    <xf numFmtId="185" fontId="3" fillId="0" borderId="21" xfId="0" applyNumberFormat="1" applyFont="1" applyBorder="1" applyAlignment="1" applyProtection="1">
      <alignment horizontal="center" vertical="center"/>
      <protection/>
    </xf>
    <xf numFmtId="185" fontId="3" fillId="0" borderId="22" xfId="0" applyNumberFormat="1" applyFont="1" applyBorder="1" applyAlignment="1" applyProtection="1">
      <alignment horizontal="center" vertical="center"/>
      <protection/>
    </xf>
    <xf numFmtId="185" fontId="3" fillId="0" borderId="17" xfId="0" applyNumberFormat="1" applyFont="1" applyBorder="1" applyAlignment="1" applyProtection="1">
      <alignment vertical="center"/>
      <protection/>
    </xf>
    <xf numFmtId="185" fontId="3" fillId="0" borderId="24" xfId="0" applyNumberFormat="1" applyFont="1" applyBorder="1" applyAlignment="1" applyProtection="1">
      <alignment vertical="center"/>
      <protection/>
    </xf>
    <xf numFmtId="185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185" fontId="3" fillId="0" borderId="0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vertical="center"/>
    </xf>
    <xf numFmtId="185" fontId="3" fillId="0" borderId="26" xfId="0" applyNumberFormat="1" applyFont="1" applyBorder="1" applyAlignment="1" applyProtection="1">
      <alignment vertical="center"/>
      <protection/>
    </xf>
    <xf numFmtId="185" fontId="3" fillId="0" borderId="25" xfId="0" applyNumberFormat="1" applyFont="1" applyBorder="1" applyAlignment="1" applyProtection="1">
      <alignment vertical="center"/>
      <protection/>
    </xf>
    <xf numFmtId="185" fontId="3" fillId="0" borderId="27" xfId="0" applyNumberFormat="1" applyFont="1" applyBorder="1" applyAlignment="1" applyProtection="1">
      <alignment vertical="center"/>
      <protection/>
    </xf>
    <xf numFmtId="185" fontId="3" fillId="0" borderId="28" xfId="0" applyNumberFormat="1" applyFont="1" applyBorder="1" applyAlignment="1" applyProtection="1">
      <alignment vertical="center"/>
      <protection/>
    </xf>
    <xf numFmtId="0" fontId="3" fillId="0" borderId="29" xfId="0" applyFont="1" applyBorder="1" applyAlignment="1">
      <alignment vertical="center"/>
    </xf>
    <xf numFmtId="185" fontId="3" fillId="0" borderId="30" xfId="0" applyNumberFormat="1" applyFont="1" applyBorder="1" applyAlignment="1" applyProtection="1">
      <alignment vertical="center"/>
      <protection/>
    </xf>
    <xf numFmtId="185" fontId="3" fillId="0" borderId="29" xfId="0" applyNumberFormat="1" applyFont="1" applyBorder="1" applyAlignment="1" applyProtection="1">
      <alignment vertical="center"/>
      <protection/>
    </xf>
    <xf numFmtId="185" fontId="3" fillId="0" borderId="31" xfId="0" applyNumberFormat="1" applyFont="1" applyBorder="1" applyAlignment="1" applyProtection="1">
      <alignment vertical="center"/>
      <protection/>
    </xf>
    <xf numFmtId="185" fontId="3" fillId="0" borderId="3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3" fillId="0" borderId="0" xfId="0" applyNumberFormat="1" applyFont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85" fontId="0" fillId="0" borderId="33" xfId="0" applyNumberFormat="1" applyBorder="1" applyAlignment="1" applyProtection="1">
      <alignment vertical="center"/>
      <protection/>
    </xf>
    <xf numFmtId="185" fontId="0" fillId="0" borderId="35" xfId="0" applyNumberFormat="1" applyBorder="1" applyAlignment="1" applyProtection="1">
      <alignment vertical="center"/>
      <protection/>
    </xf>
    <xf numFmtId="185" fontId="0" fillId="0" borderId="36" xfId="0" applyNumberForma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185" fontId="0" fillId="0" borderId="3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185" fontId="0" fillId="0" borderId="37" xfId="0" applyNumberFormat="1" applyBorder="1" applyAlignment="1" applyProtection="1">
      <alignment vertical="center"/>
      <protection/>
    </xf>
    <xf numFmtId="185" fontId="0" fillId="0" borderId="0" xfId="0" applyNumberFormat="1" applyBorder="1" applyAlignment="1" applyProtection="1">
      <alignment vertical="center"/>
      <protection/>
    </xf>
    <xf numFmtId="185" fontId="0" fillId="0" borderId="39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horizontal="fill" vertical="center"/>
    </xf>
    <xf numFmtId="0" fontId="0" fillId="0" borderId="41" xfId="0" applyBorder="1" applyAlignment="1">
      <alignment horizontal="fill" vertical="center"/>
    </xf>
    <xf numFmtId="0" fontId="0" fillId="0" borderId="42" xfId="0" applyBorder="1" applyAlignment="1">
      <alignment horizontal="fill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5" fontId="0" fillId="0" borderId="37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185" fontId="0" fillId="0" borderId="37" xfId="0" applyNumberFormat="1" applyBorder="1" applyAlignment="1" applyProtection="1">
      <alignment horizontal="center" vertical="center"/>
      <protection/>
    </xf>
    <xf numFmtId="185" fontId="0" fillId="0" borderId="0" xfId="0" applyNumberFormat="1" applyBorder="1" applyAlignment="1" applyProtection="1">
      <alignment horizontal="center" vertical="center"/>
      <protection/>
    </xf>
    <xf numFmtId="185" fontId="0" fillId="0" borderId="39" xfId="0" applyNumberFormat="1" applyBorder="1" applyAlignment="1" applyProtection="1">
      <alignment horizontal="center" vertical="center"/>
      <protection/>
    </xf>
    <xf numFmtId="185" fontId="3" fillId="34" borderId="38" xfId="0" applyNumberFormat="1" applyFont="1" applyFill="1" applyBorder="1" applyAlignment="1" applyProtection="1">
      <alignment vertical="center"/>
      <protection/>
    </xf>
    <xf numFmtId="185" fontId="3" fillId="34" borderId="37" xfId="0" applyNumberFormat="1" applyFont="1" applyFill="1" applyBorder="1" applyAlignment="1" applyProtection="1">
      <alignment vertical="center"/>
      <protection/>
    </xf>
    <xf numFmtId="185" fontId="0" fillId="0" borderId="38" xfId="0" applyNumberFormat="1" applyBorder="1" applyAlignment="1" applyProtection="1">
      <alignment vertical="center"/>
      <protection/>
    </xf>
    <xf numFmtId="0" fontId="0" fillId="34" borderId="37" xfId="0" applyFill="1" applyBorder="1" applyAlignment="1">
      <alignment vertical="center"/>
    </xf>
    <xf numFmtId="185" fontId="0" fillId="34" borderId="38" xfId="0" applyNumberFormat="1" applyFill="1" applyBorder="1" applyAlignment="1" applyProtection="1">
      <alignment vertical="center"/>
      <protection/>
    </xf>
    <xf numFmtId="185" fontId="0" fillId="34" borderId="37" xfId="0" applyNumberFormat="1" applyFill="1" applyBorder="1" applyAlignment="1" applyProtection="1">
      <alignment vertical="center"/>
      <protection/>
    </xf>
    <xf numFmtId="185" fontId="0" fillId="34" borderId="0" xfId="0" applyNumberFormat="1" applyFill="1" applyBorder="1" applyAlignment="1" applyProtection="1">
      <alignment vertical="center"/>
      <protection/>
    </xf>
    <xf numFmtId="185" fontId="0" fillId="34" borderId="39" xfId="0" applyNumberForma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185" fontId="3" fillId="0" borderId="38" xfId="0" applyNumberFormat="1" applyFont="1" applyBorder="1" applyAlignment="1" applyProtection="1">
      <alignment vertical="center"/>
      <protection/>
    </xf>
    <xf numFmtId="185" fontId="3" fillId="0" borderId="37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185" fontId="3" fillId="0" borderId="39" xfId="0" applyNumberFormat="1" applyFont="1" applyBorder="1" applyAlignment="1" applyProtection="1">
      <alignment vertical="center"/>
      <protection/>
    </xf>
    <xf numFmtId="0" fontId="3" fillId="0" borderId="37" xfId="0" applyFont="1" applyBorder="1" applyAlignment="1">
      <alignment vertical="center"/>
    </xf>
    <xf numFmtId="185" fontId="3" fillId="0" borderId="38" xfId="0" applyNumberFormat="1" applyFont="1" applyBorder="1" applyAlignment="1" applyProtection="1">
      <alignment vertical="center"/>
      <protection/>
    </xf>
    <xf numFmtId="185" fontId="3" fillId="0" borderId="37" xfId="0" applyNumberFormat="1" applyFont="1" applyBorder="1" applyAlignment="1" applyProtection="1">
      <alignment vertical="center"/>
      <protection/>
    </xf>
    <xf numFmtId="185" fontId="3" fillId="0" borderId="39" xfId="0" applyNumberFormat="1" applyFont="1" applyBorder="1" applyAlignment="1" applyProtection="1">
      <alignment vertical="center"/>
      <protection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185" fontId="3" fillId="0" borderId="49" xfId="0" applyNumberFormat="1" applyFont="1" applyBorder="1" applyAlignment="1" applyProtection="1">
      <alignment vertical="center"/>
      <protection/>
    </xf>
    <xf numFmtId="1" fontId="3" fillId="0" borderId="0" xfId="0" applyNumberFormat="1" applyFont="1" applyAlignment="1">
      <alignment vertical="center"/>
    </xf>
    <xf numFmtId="185" fontId="3" fillId="0" borderId="51" xfId="0" applyNumberFormat="1" applyFont="1" applyBorder="1" applyAlignment="1">
      <alignment vertical="center"/>
    </xf>
    <xf numFmtId="185" fontId="3" fillId="0" borderId="4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3" fontId="3" fillId="0" borderId="0" xfId="0" applyNumberFormat="1" applyFont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0" borderId="25" xfId="0" applyNumberFormat="1" applyBorder="1" applyAlignment="1" applyProtection="1">
      <alignment horizontal="center" vertical="center"/>
      <protection/>
    </xf>
    <xf numFmtId="185" fontId="0" fillId="0" borderId="27" xfId="0" applyNumberFormat="1" applyBorder="1" applyAlignment="1" applyProtection="1">
      <alignment horizontal="center" vertical="center"/>
      <protection/>
    </xf>
    <xf numFmtId="185" fontId="0" fillId="0" borderId="28" xfId="0" applyNumberFormat="1" applyBorder="1" applyAlignment="1" applyProtection="1">
      <alignment horizontal="center" vertical="center"/>
      <protection/>
    </xf>
    <xf numFmtId="185" fontId="3" fillId="34" borderId="34" xfId="0" applyNumberFormat="1" applyFont="1" applyFill="1" applyBorder="1" applyAlignment="1" applyProtection="1">
      <alignment vertical="center"/>
      <protection/>
    </xf>
    <xf numFmtId="185" fontId="3" fillId="34" borderId="33" xfId="0" applyNumberFormat="1" applyFont="1" applyFill="1" applyBorder="1" applyAlignment="1" applyProtection="1">
      <alignment vertical="center"/>
      <protection/>
    </xf>
    <xf numFmtId="185" fontId="3" fillId="0" borderId="35" xfId="0" applyNumberFormat="1" applyFont="1" applyBorder="1" applyAlignment="1" applyProtection="1">
      <alignment vertical="center"/>
      <protection/>
    </xf>
    <xf numFmtId="185" fontId="3" fillId="34" borderId="35" xfId="0" applyNumberFormat="1" applyFont="1" applyFill="1" applyBorder="1" applyAlignment="1" applyProtection="1">
      <alignment vertical="center"/>
      <protection/>
    </xf>
    <xf numFmtId="185" fontId="3" fillId="34" borderId="36" xfId="0" applyNumberFormat="1" applyFont="1" applyFill="1" applyBorder="1" applyAlignment="1" applyProtection="1">
      <alignment vertical="center"/>
      <protection/>
    </xf>
    <xf numFmtId="0" fontId="3" fillId="0" borderId="52" xfId="0" applyFont="1" applyBorder="1" applyAlignment="1">
      <alignment vertical="center"/>
    </xf>
    <xf numFmtId="185" fontId="0" fillId="34" borderId="25" xfId="0" applyNumberFormat="1" applyFill="1" applyBorder="1" applyAlignment="1" applyProtection="1">
      <alignment vertical="center"/>
      <protection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5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85" fontId="3" fillId="0" borderId="58" xfId="0" applyNumberFormat="1" applyFont="1" applyBorder="1" applyAlignment="1" applyProtection="1">
      <alignment vertical="center"/>
      <protection/>
    </xf>
    <xf numFmtId="185" fontId="3" fillId="0" borderId="61" xfId="0" applyNumberFormat="1" applyFont="1" applyBorder="1" applyAlignment="1" applyProtection="1">
      <alignment vertical="center"/>
      <protection/>
    </xf>
    <xf numFmtId="185" fontId="3" fillId="0" borderId="62" xfId="0" applyNumberFormat="1" applyFont="1" applyBorder="1" applyAlignment="1" applyProtection="1">
      <alignment vertical="center"/>
      <protection/>
    </xf>
    <xf numFmtId="185" fontId="3" fillId="0" borderId="63" xfId="0" applyNumberFormat="1" applyFont="1" applyBorder="1" applyAlignment="1" applyProtection="1">
      <alignment vertical="center"/>
      <protection/>
    </xf>
    <xf numFmtId="185" fontId="3" fillId="0" borderId="64" xfId="0" applyNumberFormat="1" applyFont="1" applyBorder="1" applyAlignment="1" applyProtection="1">
      <alignment vertical="center"/>
      <protection/>
    </xf>
    <xf numFmtId="185" fontId="3" fillId="0" borderId="65" xfId="0" applyNumberFormat="1" applyFont="1" applyBorder="1" applyAlignment="1" applyProtection="1">
      <alignment vertical="center"/>
      <protection/>
    </xf>
    <xf numFmtId="0" fontId="3" fillId="0" borderId="3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fill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37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85" fontId="41" fillId="0" borderId="19" xfId="0" applyNumberFormat="1" applyFont="1" applyBorder="1" applyAlignment="1" applyProtection="1">
      <alignment vertical="center"/>
      <protection/>
    </xf>
    <xf numFmtId="1" fontId="41" fillId="0" borderId="0" xfId="0" applyNumberFormat="1" applyFont="1" applyAlignment="1">
      <alignment vertical="center"/>
    </xf>
    <xf numFmtId="0" fontId="3" fillId="0" borderId="52" xfId="0" applyFont="1" applyBorder="1" applyAlignment="1">
      <alignment vertical="center"/>
    </xf>
    <xf numFmtId="185" fontId="0" fillId="0" borderId="0" xfId="0" applyNumberFormat="1" applyFont="1" applyBorder="1" applyAlignment="1" applyProtection="1">
      <alignment vertical="center"/>
      <protection/>
    </xf>
    <xf numFmtId="185" fontId="0" fillId="0" borderId="37" xfId="0" applyNumberFormat="1" applyFont="1" applyBorder="1" applyAlignment="1" applyProtection="1">
      <alignment vertical="center"/>
      <protection/>
    </xf>
    <xf numFmtId="185" fontId="0" fillId="34" borderId="37" xfId="0" applyNumberFormat="1" applyFont="1" applyFill="1" applyBorder="1" applyAlignment="1" applyProtection="1">
      <alignment vertical="center"/>
      <protection/>
    </xf>
    <xf numFmtId="185" fontId="0" fillId="0" borderId="3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horizontal="center" vertical="center"/>
    </xf>
    <xf numFmtId="185" fontId="0" fillId="0" borderId="0" xfId="0" applyNumberFormat="1" applyFont="1" applyAlignment="1" applyProtection="1">
      <alignment vertical="center"/>
      <protection/>
    </xf>
    <xf numFmtId="185" fontId="0" fillId="0" borderId="1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3" fillId="0" borderId="0" xfId="0" applyNumberFormat="1" applyFont="1" applyAlignment="1">
      <alignment vertical="center"/>
    </xf>
    <xf numFmtId="194" fontId="3" fillId="0" borderId="0" xfId="0" applyNumberFormat="1" applyFont="1" applyBorder="1" applyAlignment="1">
      <alignment vertical="center"/>
    </xf>
    <xf numFmtId="201" fontId="3" fillId="0" borderId="19" xfId="0" applyNumberFormat="1" applyFont="1" applyBorder="1" applyAlignment="1" applyProtection="1">
      <alignment vertical="center"/>
      <protection/>
    </xf>
    <xf numFmtId="201" fontId="0" fillId="0" borderId="0" xfId="0" applyNumberFormat="1" applyAlignment="1">
      <alignment/>
    </xf>
    <xf numFmtId="201" fontId="3" fillId="0" borderId="0" xfId="0" applyNumberFormat="1" applyFont="1" applyAlignment="1">
      <alignment vertical="center"/>
    </xf>
    <xf numFmtId="207" fontId="3" fillId="0" borderId="0" xfId="0" applyNumberFormat="1" applyFont="1" applyAlignment="1">
      <alignment vertical="center"/>
    </xf>
    <xf numFmtId="194" fontId="3" fillId="0" borderId="0" xfId="0" applyNumberFormat="1" applyFont="1" applyBorder="1" applyAlignment="1" applyProtection="1">
      <alignment vertical="center"/>
      <protection/>
    </xf>
    <xf numFmtId="195" fontId="3" fillId="0" borderId="0" xfId="0" applyNumberFormat="1" applyFont="1" applyBorder="1" applyAlignment="1" applyProtection="1">
      <alignment vertical="center"/>
      <protection/>
    </xf>
    <xf numFmtId="211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cribir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37"/>
  <sheetViews>
    <sheetView tabSelected="1" defaultGridColor="0" zoomScale="75" zoomScaleNormal="75" zoomScalePageLayoutView="0" colorId="22" workbookViewId="0" topLeftCell="A89">
      <selection activeCell="A92" sqref="A92"/>
    </sheetView>
  </sheetViews>
  <sheetFormatPr defaultColWidth="9.77734375" defaultRowHeight="15"/>
  <cols>
    <col min="1" max="1" width="27.77734375" style="1" customWidth="1"/>
    <col min="2" max="2" width="11.77734375" style="1" bestFit="1" customWidth="1"/>
    <col min="3" max="7" width="9.77734375" style="1" customWidth="1"/>
    <col min="8" max="8" width="10.77734375" style="1" customWidth="1"/>
    <col min="9" max="9" width="9.77734375" style="1" customWidth="1"/>
    <col min="10" max="19" width="10.21484375" style="1" customWidth="1"/>
    <col min="20" max="20" width="10.4453125" style="1" customWidth="1"/>
    <col min="21" max="16384" width="9.77734375" style="1" customWidth="1"/>
  </cols>
  <sheetData>
    <row r="1" ht="15">
      <c r="E1" s="1" t="s">
        <v>0</v>
      </c>
    </row>
    <row r="3" ht="15">
      <c r="G3" s="1" t="s">
        <v>93</v>
      </c>
    </row>
    <row r="5" ht="15.75" thickBot="1"/>
    <row r="6" spans="1:19" ht="15">
      <c r="A6" s="62"/>
      <c r="B6" s="63"/>
      <c r="C6" s="62"/>
      <c r="D6" s="64"/>
      <c r="E6" s="64"/>
      <c r="F6" s="64"/>
      <c r="G6" s="64"/>
      <c r="H6" s="64"/>
      <c r="I6" s="65"/>
      <c r="J6" s="66"/>
      <c r="K6" s="67"/>
      <c r="L6" s="68"/>
      <c r="M6" s="62"/>
      <c r="N6" s="64"/>
      <c r="O6" s="64"/>
      <c r="P6" s="64"/>
      <c r="Q6" s="64"/>
      <c r="R6" s="64"/>
      <c r="S6" s="65"/>
    </row>
    <row r="7" spans="1:19" ht="15">
      <c r="A7" s="69"/>
      <c r="B7" s="70"/>
      <c r="C7" s="69"/>
      <c r="D7" s="71"/>
      <c r="E7" s="71" t="s">
        <v>2</v>
      </c>
      <c r="F7" s="71"/>
      <c r="G7" s="71"/>
      <c r="H7" s="71"/>
      <c r="I7" s="72"/>
      <c r="J7" s="73" t="s">
        <v>3</v>
      </c>
      <c r="K7" s="74"/>
      <c r="L7" s="75"/>
      <c r="M7" s="69"/>
      <c r="N7" s="211" t="s">
        <v>4</v>
      </c>
      <c r="O7" s="211"/>
      <c r="P7" s="211"/>
      <c r="Q7" s="211"/>
      <c r="R7" s="211"/>
      <c r="S7" s="212"/>
    </row>
    <row r="8" spans="1:19" ht="15.75" thickBot="1">
      <c r="A8" s="69"/>
      <c r="B8" s="78"/>
      <c r="C8" s="79" t="s">
        <v>1</v>
      </c>
      <c r="D8" s="80"/>
      <c r="E8" s="80" t="s">
        <v>1</v>
      </c>
      <c r="F8" s="80"/>
      <c r="G8" s="80" t="s">
        <v>1</v>
      </c>
      <c r="H8" s="80" t="s">
        <v>1</v>
      </c>
      <c r="I8" s="81" t="s">
        <v>1</v>
      </c>
      <c r="J8" s="79" t="s">
        <v>1</v>
      </c>
      <c r="K8" s="80" t="s">
        <v>1</v>
      </c>
      <c r="L8" s="81" t="s">
        <v>1</v>
      </c>
      <c r="M8" s="79" t="s">
        <v>1</v>
      </c>
      <c r="N8" s="80" t="s">
        <v>1</v>
      </c>
      <c r="O8" s="80"/>
      <c r="P8" s="80"/>
      <c r="Q8" s="80" t="s">
        <v>1</v>
      </c>
      <c r="R8" s="80"/>
      <c r="S8" s="81" t="s">
        <v>1</v>
      </c>
    </row>
    <row r="9" spans="1:19" ht="15.75" thickTop="1">
      <c r="A9" s="69"/>
      <c r="B9" s="82" t="s">
        <v>5</v>
      </c>
      <c r="C9" s="69"/>
      <c r="D9" s="71"/>
      <c r="E9" s="71"/>
      <c r="F9" s="71"/>
      <c r="G9" s="71"/>
      <c r="H9" s="71"/>
      <c r="I9" s="72"/>
      <c r="J9" s="73"/>
      <c r="K9" s="74"/>
      <c r="L9" s="75"/>
      <c r="M9" s="83"/>
      <c r="N9" s="76"/>
      <c r="O9" s="76"/>
      <c r="P9" s="76"/>
      <c r="Q9" s="76"/>
      <c r="R9" s="76"/>
      <c r="S9" s="77"/>
    </row>
    <row r="10" spans="1:19" ht="15">
      <c r="A10" s="83" t="s">
        <v>6</v>
      </c>
      <c r="B10" s="78"/>
      <c r="C10" s="84"/>
      <c r="D10" s="85"/>
      <c r="E10" s="71"/>
      <c r="F10" s="86" t="s">
        <v>75</v>
      </c>
      <c r="G10" s="86" t="s">
        <v>76</v>
      </c>
      <c r="H10" s="76" t="s">
        <v>7</v>
      </c>
      <c r="I10" s="77" t="s">
        <v>8</v>
      </c>
      <c r="J10" s="87"/>
      <c r="K10" s="88" t="s">
        <v>9</v>
      </c>
      <c r="L10" s="89" t="s">
        <v>10</v>
      </c>
      <c r="M10" s="83"/>
      <c r="N10" s="76" t="s">
        <v>11</v>
      </c>
      <c r="O10" s="76" t="s">
        <v>77</v>
      </c>
      <c r="P10" s="76" t="s">
        <v>54</v>
      </c>
      <c r="Q10" s="76" t="s">
        <v>49</v>
      </c>
      <c r="R10" s="76" t="s">
        <v>34</v>
      </c>
      <c r="S10" s="77" t="s">
        <v>35</v>
      </c>
    </row>
    <row r="11" spans="1:19" ht="15.75" thickBot="1">
      <c r="A11" s="133"/>
      <c r="B11" s="134" t="s">
        <v>12</v>
      </c>
      <c r="C11" s="135" t="s">
        <v>13</v>
      </c>
      <c r="D11" s="136" t="s">
        <v>74</v>
      </c>
      <c r="E11" s="137" t="s">
        <v>14</v>
      </c>
      <c r="F11" s="137" t="s">
        <v>15</v>
      </c>
      <c r="G11" s="137" t="s">
        <v>15</v>
      </c>
      <c r="H11" s="137" t="s">
        <v>16</v>
      </c>
      <c r="I11" s="138" t="s">
        <v>16</v>
      </c>
      <c r="J11" s="139" t="s">
        <v>13</v>
      </c>
      <c r="K11" s="140" t="s">
        <v>16</v>
      </c>
      <c r="L11" s="141" t="s">
        <v>16</v>
      </c>
      <c r="M11" s="135" t="s">
        <v>13</v>
      </c>
      <c r="N11" s="137" t="s">
        <v>16</v>
      </c>
      <c r="O11" s="137" t="s">
        <v>16</v>
      </c>
      <c r="P11" s="137" t="s">
        <v>16</v>
      </c>
      <c r="Q11" s="137" t="s">
        <v>16</v>
      </c>
      <c r="R11" s="137" t="s">
        <v>16</v>
      </c>
      <c r="S11" s="138" t="s">
        <v>16</v>
      </c>
    </row>
    <row r="12" spans="1:19" ht="15">
      <c r="A12" s="62"/>
      <c r="B12" s="142"/>
      <c r="C12" s="143"/>
      <c r="D12" s="144"/>
      <c r="E12" s="145"/>
      <c r="F12" s="144"/>
      <c r="G12" s="145"/>
      <c r="H12" s="145"/>
      <c r="I12" s="146"/>
      <c r="J12" s="143"/>
      <c r="K12" s="145"/>
      <c r="L12" s="146"/>
      <c r="M12" s="143"/>
      <c r="N12" s="145"/>
      <c r="O12" s="145"/>
      <c r="P12" s="145"/>
      <c r="Q12" s="145"/>
      <c r="R12" s="145"/>
      <c r="S12" s="146"/>
    </row>
    <row r="13" spans="1:19" ht="16.5" customHeight="1">
      <c r="A13" s="69" t="s">
        <v>17</v>
      </c>
      <c r="B13" s="92">
        <f aca="true" t="shared" si="0" ref="B13:S13">SUM(B14:B44)</f>
        <v>286194.00000000006</v>
      </c>
      <c r="C13" s="73">
        <f t="shared" si="0"/>
        <v>38054.000000000015</v>
      </c>
      <c r="D13" s="73">
        <f t="shared" si="0"/>
        <v>3520.0000000000005</v>
      </c>
      <c r="E13" s="74">
        <f t="shared" si="0"/>
        <v>3534.0000000000005</v>
      </c>
      <c r="F13" s="74">
        <f t="shared" si="0"/>
        <v>1758.0000000000002</v>
      </c>
      <c r="G13" s="74">
        <f t="shared" si="0"/>
        <v>1748.9999999999995</v>
      </c>
      <c r="H13" s="74">
        <f t="shared" si="0"/>
        <v>14812.999999999996</v>
      </c>
      <c r="I13" s="75">
        <f t="shared" si="0"/>
        <v>16200.000000000005</v>
      </c>
      <c r="J13" s="73">
        <f t="shared" si="0"/>
        <v>37553</v>
      </c>
      <c r="K13" s="74">
        <f t="shared" si="0"/>
        <v>19790</v>
      </c>
      <c r="L13" s="75">
        <f t="shared" si="0"/>
        <v>17762.999999999996</v>
      </c>
      <c r="M13" s="73">
        <f t="shared" si="0"/>
        <v>210586.99999999997</v>
      </c>
      <c r="N13" s="74">
        <f t="shared" si="0"/>
        <v>102919.99999999997</v>
      </c>
      <c r="O13" s="74">
        <f t="shared" si="0"/>
        <v>84681.69222974463</v>
      </c>
      <c r="P13" s="74">
        <f t="shared" si="0"/>
        <v>36260</v>
      </c>
      <c r="Q13" s="74">
        <f t="shared" si="0"/>
        <v>32776</v>
      </c>
      <c r="R13" s="74">
        <f t="shared" si="0"/>
        <v>13038</v>
      </c>
      <c r="S13" s="75">
        <f t="shared" si="0"/>
        <v>25592.999999999996</v>
      </c>
    </row>
    <row r="14" spans="1:256" s="98" customFormat="1" ht="14.25" customHeight="1">
      <c r="A14" s="93" t="s">
        <v>55</v>
      </c>
      <c r="B14" s="94">
        <f aca="true" t="shared" si="1" ref="B14:B42">SUM(C14,J14,M14)</f>
        <v>26760</v>
      </c>
      <c r="C14" s="95">
        <f aca="true" t="shared" si="2" ref="C14:C42">SUM(E14:I14)</f>
        <v>3618</v>
      </c>
      <c r="D14" s="61">
        <v>322</v>
      </c>
      <c r="E14" s="96">
        <v>335</v>
      </c>
      <c r="F14" s="61">
        <v>158</v>
      </c>
      <c r="G14" s="96">
        <v>164</v>
      </c>
      <c r="H14" s="96">
        <v>1484</v>
      </c>
      <c r="I14" s="97">
        <v>1477</v>
      </c>
      <c r="J14" s="95">
        <f aca="true" t="shared" si="3" ref="J14:J42">SUM(K14:L14)</f>
        <v>3417</v>
      </c>
      <c r="K14" s="96">
        <v>1821</v>
      </c>
      <c r="L14" s="97">
        <v>1596</v>
      </c>
      <c r="M14" s="95">
        <f>+N14+P14+Q14+R14+S14</f>
        <v>19725</v>
      </c>
      <c r="N14" s="96">
        <v>9459</v>
      </c>
      <c r="O14" s="96">
        <v>7741</v>
      </c>
      <c r="P14" s="96">
        <v>3448</v>
      </c>
      <c r="Q14" s="96">
        <v>3155</v>
      </c>
      <c r="R14" s="96">
        <v>1239</v>
      </c>
      <c r="S14" s="97">
        <v>2424</v>
      </c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8" customFormat="1" ht="14.25" customHeight="1">
      <c r="A15" s="93" t="s">
        <v>84</v>
      </c>
      <c r="B15" s="90">
        <f t="shared" si="1"/>
        <v>35283.35293554028</v>
      </c>
      <c r="C15" s="95">
        <f t="shared" si="2"/>
        <v>4713.082137638633</v>
      </c>
      <c r="D15" s="61">
        <v>439.55340503509234</v>
      </c>
      <c r="E15" s="61">
        <v>439.55340503509234</v>
      </c>
      <c r="F15" s="61">
        <v>219.77670251754617</v>
      </c>
      <c r="G15" s="61">
        <v>215.18061178048723</v>
      </c>
      <c r="H15" s="61">
        <v>1807.0993125254508</v>
      </c>
      <c r="I15" s="61">
        <v>2031.4721057800562</v>
      </c>
      <c r="J15" s="95">
        <f t="shared" si="3"/>
        <v>4694.697774690397</v>
      </c>
      <c r="K15" s="111">
        <v>2483.1424773037584</v>
      </c>
      <c r="L15" s="111">
        <v>2211.5552973866384</v>
      </c>
      <c r="M15" s="95">
        <f aca="true" t="shared" si="4" ref="M15:M44">+N15+P15+Q15+R15+S15</f>
        <v>25875.573023211247</v>
      </c>
      <c r="N15" s="111">
        <v>13088.412939851965</v>
      </c>
      <c r="O15" s="111">
        <v>10743.153184659976</v>
      </c>
      <c r="P15" s="111">
        <v>4304.030062040386</v>
      </c>
      <c r="Q15" s="111">
        <v>3936.34280307567</v>
      </c>
      <c r="R15" s="111">
        <v>1522.141686827796</v>
      </c>
      <c r="S15" s="111">
        <v>3024.645531415431</v>
      </c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8" customFormat="1" ht="17.25" customHeight="1">
      <c r="A16" s="93" t="s">
        <v>85</v>
      </c>
      <c r="B16" s="90">
        <f t="shared" si="1"/>
        <v>37579.2083263468</v>
      </c>
      <c r="C16" s="95">
        <f t="shared" si="2"/>
        <v>5019.758066447888</v>
      </c>
      <c r="D16" s="61">
        <v>468.1547416580832</v>
      </c>
      <c r="E16" s="61">
        <v>468.1547416580832</v>
      </c>
      <c r="F16" s="61">
        <v>234.0773708290416</v>
      </c>
      <c r="G16" s="61">
        <v>229.18221668622894</v>
      </c>
      <c r="H16" s="61">
        <v>1924.6856061513402</v>
      </c>
      <c r="I16" s="61">
        <v>2163.6581311231944</v>
      </c>
      <c r="J16" s="95">
        <f t="shared" si="3"/>
        <v>5000.177449876638</v>
      </c>
      <c r="K16" s="111">
        <v>2644.718279157784</v>
      </c>
      <c r="L16" s="111">
        <v>2355.4591707188542</v>
      </c>
      <c r="M16" s="95">
        <f t="shared" si="4"/>
        <v>27559.272810022274</v>
      </c>
      <c r="N16" s="111">
        <v>13940.063956691498</v>
      </c>
      <c r="O16" s="111">
        <v>11442.200301818095</v>
      </c>
      <c r="P16" s="111">
        <v>4584.089347737562</v>
      </c>
      <c r="Q16" s="111">
        <v>4192.4770163125495</v>
      </c>
      <c r="R16" s="111">
        <v>1621.1860492969554</v>
      </c>
      <c r="S16" s="111">
        <v>3221.4564399837113</v>
      </c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0" customFormat="1" ht="17.25" customHeight="1">
      <c r="A17" s="99" t="s">
        <v>86</v>
      </c>
      <c r="B17" s="90">
        <f t="shared" si="1"/>
        <v>33097.03123669099</v>
      </c>
      <c r="C17" s="91">
        <f t="shared" si="2"/>
        <v>4227.067804326436</v>
      </c>
      <c r="D17" s="111">
        <v>403.06175377792135</v>
      </c>
      <c r="E17" s="111">
        <v>403.06175377792135</v>
      </c>
      <c r="F17" s="111">
        <v>201.2889430631636</v>
      </c>
      <c r="G17" s="111">
        <v>200.80507541156948</v>
      </c>
      <c r="H17" s="111">
        <v>1629.1823829174805</v>
      </c>
      <c r="I17" s="111">
        <v>1792.7296491563009</v>
      </c>
      <c r="J17" s="91">
        <f t="shared" si="3"/>
        <v>4364.970085030767</v>
      </c>
      <c r="K17" s="111">
        <v>2280.468241963197</v>
      </c>
      <c r="L17" s="111">
        <v>2084.5018430675696</v>
      </c>
      <c r="M17" s="95">
        <f t="shared" si="4"/>
        <v>24504.99334733379</v>
      </c>
      <c r="N17" s="111">
        <v>11933.627891266357</v>
      </c>
      <c r="O17" s="111">
        <v>9825.900400922268</v>
      </c>
      <c r="P17" s="111">
        <v>4148.19737711659</v>
      </c>
      <c r="Q17" s="111">
        <v>3868.0380068435816</v>
      </c>
      <c r="R17" s="111">
        <v>1588.5375001835725</v>
      </c>
      <c r="S17" s="111">
        <v>2966.5925719236925</v>
      </c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0" customFormat="1" ht="17.25" customHeight="1">
      <c r="A18" s="99" t="s">
        <v>87</v>
      </c>
      <c r="B18" s="90">
        <f t="shared" si="1"/>
        <v>25746.934795059697</v>
      </c>
      <c r="C18" s="91">
        <f t="shared" si="2"/>
        <v>3288.332368965973</v>
      </c>
      <c r="D18" s="111">
        <v>313.5509230023644</v>
      </c>
      <c r="E18" s="111">
        <v>313.5509230023644</v>
      </c>
      <c r="F18" s="111">
        <v>156.58725566504634</v>
      </c>
      <c r="G18" s="111">
        <v>156.21084399277458</v>
      </c>
      <c r="H18" s="111">
        <v>1267.3781005389687</v>
      </c>
      <c r="I18" s="111">
        <v>1394.6052457668188</v>
      </c>
      <c r="J18" s="91">
        <f t="shared" si="3"/>
        <v>3395.6096955634207</v>
      </c>
      <c r="K18" s="111">
        <v>1774.028211416739</v>
      </c>
      <c r="L18" s="111">
        <v>1621.5814841466818</v>
      </c>
      <c r="M18" s="95">
        <f t="shared" si="4"/>
        <v>19062.992730530303</v>
      </c>
      <c r="N18" s="111">
        <v>9283.441073238071</v>
      </c>
      <c r="O18" s="111">
        <v>7643.791828822345</v>
      </c>
      <c r="P18" s="111">
        <v>3226.9772663856784</v>
      </c>
      <c r="Q18" s="111">
        <v>3009.0349081403374</v>
      </c>
      <c r="R18" s="111">
        <v>1235.7595200681421</v>
      </c>
      <c r="S18" s="111">
        <v>2307.7799626980745</v>
      </c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1" ht="17.25" customHeight="1">
      <c r="A19" s="69" t="s">
        <v>56</v>
      </c>
      <c r="B19" s="101">
        <f t="shared" si="1"/>
        <v>11471</v>
      </c>
      <c r="C19" s="102">
        <f t="shared" si="2"/>
        <v>1707</v>
      </c>
      <c r="D19" s="61">
        <v>149</v>
      </c>
      <c r="E19" s="103">
        <v>149</v>
      </c>
      <c r="F19" s="61">
        <v>75</v>
      </c>
      <c r="G19" s="103">
        <v>73</v>
      </c>
      <c r="H19" s="103">
        <v>651</v>
      </c>
      <c r="I19" s="104">
        <v>759</v>
      </c>
      <c r="J19" s="102">
        <f t="shared" si="3"/>
        <v>1516</v>
      </c>
      <c r="K19" s="103">
        <v>826</v>
      </c>
      <c r="L19" s="104">
        <v>690</v>
      </c>
      <c r="M19" s="95">
        <f t="shared" si="4"/>
        <v>8248</v>
      </c>
      <c r="N19" s="103">
        <v>4155</v>
      </c>
      <c r="O19" s="103">
        <v>3491</v>
      </c>
      <c r="P19" s="103">
        <v>1544</v>
      </c>
      <c r="Q19" s="103">
        <v>1168</v>
      </c>
      <c r="R19" s="103">
        <v>472</v>
      </c>
      <c r="S19" s="104">
        <v>909</v>
      </c>
      <c r="T19" s="2"/>
      <c r="U19" s="2"/>
    </row>
    <row r="20" spans="1:256" s="4" customFormat="1" ht="17.25" customHeight="1">
      <c r="A20" s="105" t="s">
        <v>57</v>
      </c>
      <c r="B20" s="106">
        <f t="shared" si="1"/>
        <v>12558.20839994187</v>
      </c>
      <c r="C20" s="107">
        <f t="shared" si="2"/>
        <v>1740.5993314925156</v>
      </c>
      <c r="D20" s="111">
        <v>147.44746403139078</v>
      </c>
      <c r="E20" s="111">
        <v>147.44746403139078</v>
      </c>
      <c r="F20" s="111">
        <v>76.12125175604321</v>
      </c>
      <c r="G20" s="111">
        <v>74.9224918858693</v>
      </c>
      <c r="H20" s="111">
        <v>698.8770043113889</v>
      </c>
      <c r="I20" s="111">
        <v>743.2311195078235</v>
      </c>
      <c r="J20" s="107">
        <f t="shared" si="3"/>
        <v>1644.698541878603</v>
      </c>
      <c r="K20" s="111">
        <v>872.0978055515187</v>
      </c>
      <c r="L20" s="111">
        <v>772.6007363270843</v>
      </c>
      <c r="M20" s="95">
        <f t="shared" si="4"/>
        <v>9172.910526570751</v>
      </c>
      <c r="N20" s="111">
        <v>4424.023300876811</v>
      </c>
      <c r="O20" s="111">
        <v>3680.7921813689873</v>
      </c>
      <c r="P20" s="111">
        <v>1683.658237659255</v>
      </c>
      <c r="Q20" s="111">
        <v>1409.1422273894298</v>
      </c>
      <c r="R20" s="111">
        <v>550.2307804098242</v>
      </c>
      <c r="S20" s="111">
        <v>1105.855980235431</v>
      </c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17.25" customHeight="1">
      <c r="A21" s="105" t="s">
        <v>58</v>
      </c>
      <c r="B21" s="106">
        <f t="shared" si="1"/>
        <v>13838.438177874186</v>
      </c>
      <c r="C21" s="107">
        <f t="shared" si="2"/>
        <v>1791.9696312364426</v>
      </c>
      <c r="D21" s="111">
        <v>156.76355748373103</v>
      </c>
      <c r="E21" s="111">
        <v>156.76355748373103</v>
      </c>
      <c r="F21" s="111">
        <v>79.2827187274042</v>
      </c>
      <c r="G21" s="111">
        <v>80.18365871294289</v>
      </c>
      <c r="H21" s="111">
        <v>699.1294287780188</v>
      </c>
      <c r="I21" s="111">
        <v>776.6102675343457</v>
      </c>
      <c r="J21" s="107">
        <f t="shared" si="3"/>
        <v>1795.5733911785974</v>
      </c>
      <c r="K21" s="111">
        <v>954.9963846710051</v>
      </c>
      <c r="L21" s="111">
        <v>840.5770065075922</v>
      </c>
      <c r="M21" s="95">
        <f t="shared" si="4"/>
        <v>10250.895155459146</v>
      </c>
      <c r="N21" s="111">
        <v>4910.122921185828</v>
      </c>
      <c r="O21" s="111">
        <v>4056.932754880694</v>
      </c>
      <c r="P21" s="111">
        <v>1764.941431670282</v>
      </c>
      <c r="Q21" s="111">
        <v>1581.1496746203904</v>
      </c>
      <c r="R21" s="111">
        <v>672.1012292118583</v>
      </c>
      <c r="S21" s="111">
        <v>1322.579898770788</v>
      </c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17.25" customHeight="1">
      <c r="A22" s="105" t="s">
        <v>59</v>
      </c>
      <c r="B22" s="106">
        <f t="shared" si="1"/>
        <v>10187.523717767073</v>
      </c>
      <c r="C22" s="107">
        <f t="shared" si="2"/>
        <v>1265.9867384528193</v>
      </c>
      <c r="D22" s="111">
        <v>118.11289317086992</v>
      </c>
      <c r="E22" s="111">
        <v>118.11289317086992</v>
      </c>
      <c r="F22" s="111">
        <v>59.05644658543496</v>
      </c>
      <c r="G22" s="111">
        <v>58.48308302635307</v>
      </c>
      <c r="H22" s="111">
        <v>489.6524794559365</v>
      </c>
      <c r="I22" s="111">
        <v>540.681836214225</v>
      </c>
      <c r="J22" s="107">
        <f t="shared" si="3"/>
        <v>1294.654916406914</v>
      </c>
      <c r="K22" s="111">
        <v>665.1017285349957</v>
      </c>
      <c r="L22" s="111">
        <v>629.5531878719183</v>
      </c>
      <c r="M22" s="95">
        <f t="shared" si="4"/>
        <v>7626.88206290734</v>
      </c>
      <c r="N22" s="111">
        <v>3384.5650892604135</v>
      </c>
      <c r="O22" s="111">
        <v>2738.3843581751203</v>
      </c>
      <c r="P22" s="111">
        <v>1315.8693680929441</v>
      </c>
      <c r="Q22" s="111">
        <v>1243.0521960895437</v>
      </c>
      <c r="R22" s="111">
        <v>509.14684046472087</v>
      </c>
      <c r="S22" s="111">
        <v>1174.2485689997166</v>
      </c>
      <c r="T22" s="2"/>
      <c r="U22" s="2"/>
      <c r="V22" s="1"/>
      <c r="W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17.25" customHeight="1">
      <c r="A23" s="105" t="s">
        <v>60</v>
      </c>
      <c r="B23" s="106">
        <f t="shared" si="1"/>
        <v>14170.537313432835</v>
      </c>
      <c r="C23" s="107">
        <f t="shared" si="2"/>
        <v>2071.9477611940297</v>
      </c>
      <c r="D23" s="111">
        <v>204.07462686567163</v>
      </c>
      <c r="E23" s="111">
        <v>204.07462686567163</v>
      </c>
      <c r="F23" s="111">
        <v>98.66417910447761</v>
      </c>
      <c r="G23" s="111">
        <v>99.50746268656717</v>
      </c>
      <c r="H23" s="111">
        <v>800.276119402985</v>
      </c>
      <c r="I23" s="111">
        <v>869.4253731343283</v>
      </c>
      <c r="J23" s="107">
        <f t="shared" si="3"/>
        <v>1861.9701492537315</v>
      </c>
      <c r="K23" s="111">
        <v>988.3283582089553</v>
      </c>
      <c r="L23" s="111">
        <v>873.6417910447761</v>
      </c>
      <c r="M23" s="95">
        <f t="shared" si="4"/>
        <v>10236.619402985074</v>
      </c>
      <c r="N23" s="111">
        <v>5122.104477611941</v>
      </c>
      <c r="O23" s="111">
        <v>4275.44776119403</v>
      </c>
      <c r="P23" s="111">
        <v>1831.6119402985075</v>
      </c>
      <c r="Q23" s="111">
        <v>1515.3805970149253</v>
      </c>
      <c r="R23" s="111">
        <v>594.5149253731344</v>
      </c>
      <c r="S23" s="111">
        <v>1173.0074626865671</v>
      </c>
      <c r="T23" s="2"/>
      <c r="U23" s="2"/>
      <c r="V23" s="1"/>
      <c r="W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17.25" customHeight="1">
      <c r="A24" s="105" t="s">
        <v>61</v>
      </c>
      <c r="B24" s="106">
        <f t="shared" si="1"/>
        <v>13024.449868638116</v>
      </c>
      <c r="C24" s="107">
        <f t="shared" si="2"/>
        <v>1712.0233396468504</v>
      </c>
      <c r="D24" s="111">
        <v>158.2873464898882</v>
      </c>
      <c r="E24" s="111">
        <v>158.2873464898882</v>
      </c>
      <c r="F24" s="111">
        <v>79.53742286307815</v>
      </c>
      <c r="G24" s="111">
        <v>78.74992362681004</v>
      </c>
      <c r="H24" s="111">
        <v>678.8243416631026</v>
      </c>
      <c r="I24" s="111">
        <v>716.6243050039715</v>
      </c>
      <c r="J24" s="107">
        <f t="shared" si="3"/>
        <v>1686.8233640862713</v>
      </c>
      <c r="K24" s="111">
        <v>859.9491660047657</v>
      </c>
      <c r="L24" s="111">
        <v>826.8741980815055</v>
      </c>
      <c r="M24" s="95">
        <f t="shared" si="4"/>
        <v>9625.603164904993</v>
      </c>
      <c r="N24" s="111">
        <v>4552.533084865889</v>
      </c>
      <c r="O24" s="111">
        <v>3700.458911223804</v>
      </c>
      <c r="P24" s="111">
        <v>1702.5733488116332</v>
      </c>
      <c r="Q24" s="111">
        <v>1578.1484694812734</v>
      </c>
      <c r="R24" s="111">
        <v>604.011914217633</v>
      </c>
      <c r="S24" s="111">
        <v>1188.3363475285637</v>
      </c>
      <c r="T24" s="1"/>
      <c r="U24" s="2"/>
      <c r="V24" s="1"/>
      <c r="W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" customFormat="1" ht="17.25" customHeight="1">
      <c r="A25" s="105" t="s">
        <v>78</v>
      </c>
      <c r="B25" s="106">
        <f t="shared" si="1"/>
        <v>7680.495963781828</v>
      </c>
      <c r="C25" s="107">
        <f t="shared" si="2"/>
        <v>1025.9458164658538</v>
      </c>
      <c r="D25" s="61">
        <v>95.6821807555034</v>
      </c>
      <c r="E25" s="61">
        <v>95.6821807555034</v>
      </c>
      <c r="F25" s="61">
        <v>47.8410903777517</v>
      </c>
      <c r="G25" s="61">
        <v>46.84061130141088</v>
      </c>
      <c r="H25" s="61">
        <v>393.37018228854765</v>
      </c>
      <c r="I25" s="61">
        <v>442.21175174264016</v>
      </c>
      <c r="J25" s="107">
        <f t="shared" si="3"/>
        <v>1021.9439001604906</v>
      </c>
      <c r="K25" s="111">
        <v>540.5315591539512</v>
      </c>
      <c r="L25" s="111">
        <v>481.4123410065394</v>
      </c>
      <c r="M25" s="95">
        <f t="shared" si="4"/>
        <v>5632.606247155484</v>
      </c>
      <c r="N25" s="111">
        <v>2849.0915514887297</v>
      </c>
      <c r="O25" s="111">
        <v>2338.574364625003</v>
      </c>
      <c r="P25" s="111">
        <v>936.9031786715213</v>
      </c>
      <c r="Q25" s="111">
        <v>856.8648525642561</v>
      </c>
      <c r="R25" s="111">
        <v>331.3404795554172</v>
      </c>
      <c r="S25" s="111">
        <v>658.4061848755599</v>
      </c>
      <c r="T25" s="1"/>
      <c r="U25" s="1"/>
      <c r="V25" s="1"/>
      <c r="W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4" customFormat="1" ht="17.25" customHeight="1">
      <c r="A26" s="105" t="s">
        <v>62</v>
      </c>
      <c r="B26" s="106">
        <f t="shared" si="1"/>
        <v>7694</v>
      </c>
      <c r="C26" s="107">
        <f t="shared" si="2"/>
        <v>981</v>
      </c>
      <c r="D26" s="61">
        <v>95</v>
      </c>
      <c r="E26" s="61">
        <v>96</v>
      </c>
      <c r="F26" s="61">
        <v>47</v>
      </c>
      <c r="G26" s="61">
        <v>48</v>
      </c>
      <c r="H26" s="61">
        <v>379</v>
      </c>
      <c r="I26" s="108">
        <v>411</v>
      </c>
      <c r="J26" s="107">
        <f t="shared" si="3"/>
        <v>1018</v>
      </c>
      <c r="K26" s="61">
        <v>548</v>
      </c>
      <c r="L26" s="108">
        <v>470</v>
      </c>
      <c r="M26" s="95">
        <f t="shared" si="4"/>
        <v>5695</v>
      </c>
      <c r="N26" s="61">
        <v>2729</v>
      </c>
      <c r="O26" s="61">
        <v>2241</v>
      </c>
      <c r="P26" s="61">
        <v>997</v>
      </c>
      <c r="Q26" s="61">
        <v>963</v>
      </c>
      <c r="R26" s="61">
        <v>377</v>
      </c>
      <c r="S26" s="108">
        <v>629</v>
      </c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" customFormat="1" ht="17.25" customHeight="1">
      <c r="A27" s="147" t="s">
        <v>79</v>
      </c>
      <c r="B27" s="106">
        <f t="shared" si="1"/>
        <v>3901.94277433109</v>
      </c>
      <c r="C27" s="107">
        <f t="shared" si="2"/>
        <v>521.213979447625</v>
      </c>
      <c r="D27" s="61">
        <v>48.609672551321054</v>
      </c>
      <c r="E27" s="61">
        <v>48.609672551321054</v>
      </c>
      <c r="F27" s="61">
        <v>24.304836275660527</v>
      </c>
      <c r="G27" s="61">
        <v>23.79656023187295</v>
      </c>
      <c r="H27" s="61">
        <v>199.84489903466118</v>
      </c>
      <c r="I27" s="61">
        <v>224.65801135410928</v>
      </c>
      <c r="J27" s="107">
        <f t="shared" si="3"/>
        <v>519.1808752724746</v>
      </c>
      <c r="K27" s="111">
        <v>274.6076843845067</v>
      </c>
      <c r="L27" s="111">
        <v>244.573190887968</v>
      </c>
      <c r="M27" s="95">
        <f t="shared" si="4"/>
        <v>2861.5479196109904</v>
      </c>
      <c r="N27" s="111">
        <v>1447.4315519678062</v>
      </c>
      <c r="O27" s="111">
        <v>1188.0721488969268</v>
      </c>
      <c r="P27" s="111">
        <v>475.9774115505306</v>
      </c>
      <c r="Q27" s="111">
        <v>435.31532804752436</v>
      </c>
      <c r="R27" s="111">
        <v>168.33178431983137</v>
      </c>
      <c r="S27" s="111">
        <v>334.4918437252976</v>
      </c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" customFormat="1" ht="17.25" customHeight="1">
      <c r="A28" s="147" t="s">
        <v>50</v>
      </c>
      <c r="B28" s="106">
        <f t="shared" si="1"/>
        <v>3657.46906436785</v>
      </c>
      <c r="C28" s="107">
        <f t="shared" si="2"/>
        <v>467.122552979014</v>
      </c>
      <c r="D28" s="111">
        <v>44.54133317668483</v>
      </c>
      <c r="E28" s="111">
        <v>44.54133317668483</v>
      </c>
      <c r="F28" s="111">
        <v>22.243931094238764</v>
      </c>
      <c r="G28" s="111">
        <v>22.19046010603146</v>
      </c>
      <c r="H28" s="111">
        <v>180.036817293995</v>
      </c>
      <c r="I28" s="111">
        <v>198.11001130806397</v>
      </c>
      <c r="J28" s="107">
        <f t="shared" si="3"/>
        <v>482.36178461809584</v>
      </c>
      <c r="K28" s="111">
        <v>252.00876742102713</v>
      </c>
      <c r="L28" s="111">
        <v>230.35301719706874</v>
      </c>
      <c r="M28" s="95">
        <f t="shared" si="4"/>
        <v>2707.98472677074</v>
      </c>
      <c r="N28" s="111">
        <v>1318.7549821567563</v>
      </c>
      <c r="O28" s="111">
        <v>1086</v>
      </c>
      <c r="P28" s="111">
        <v>458.4067819012234</v>
      </c>
      <c r="Q28" s="111">
        <v>427.44707972919394</v>
      </c>
      <c r="R28" s="111">
        <v>175.5452542845814</v>
      </c>
      <c r="S28" s="111">
        <v>327.8306286989852</v>
      </c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16" s="4" customFormat="1" ht="17.25" customHeight="1">
      <c r="A29" s="147" t="s">
        <v>80</v>
      </c>
      <c r="B29" s="106">
        <f t="shared" si="1"/>
        <v>4217.195175119895</v>
      </c>
      <c r="C29" s="107">
        <f t="shared" si="2"/>
        <v>584.5138787966864</v>
      </c>
      <c r="D29" s="111">
        <v>49.5146054352565</v>
      </c>
      <c r="E29" s="111">
        <v>49.5146054352565</v>
      </c>
      <c r="F29" s="111">
        <v>25.562418253160878</v>
      </c>
      <c r="G29" s="111">
        <v>25.159860485394564</v>
      </c>
      <c r="H29" s="111">
        <v>234.6911786077605</v>
      </c>
      <c r="I29" s="111">
        <v>249.58581601511406</v>
      </c>
      <c r="J29" s="107">
        <f>SUM(K29:L29)</f>
        <v>552.3092573753815</v>
      </c>
      <c r="K29" s="111">
        <v>292.86077604999275</v>
      </c>
      <c r="L29" s="111">
        <v>259.44848132538874</v>
      </c>
      <c r="M29" s="95">
        <f>+N29+P29+Q29+R29+S29</f>
        <v>3080.372038947827</v>
      </c>
      <c r="N29" s="111">
        <v>1485.6394419415783</v>
      </c>
      <c r="O29" s="111">
        <v>1236.053625926464</v>
      </c>
      <c r="P29" s="111">
        <v>565.3923848277866</v>
      </c>
      <c r="Q29" s="111">
        <v>473.20665600930096</v>
      </c>
      <c r="R29" s="111">
        <v>184.77401540473767</v>
      </c>
      <c r="S29" s="111">
        <v>371.35954076442374</v>
      </c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</row>
    <row r="30" spans="1:19" s="4" customFormat="1" ht="17.25" customHeight="1">
      <c r="A30" s="147" t="s">
        <v>51</v>
      </c>
      <c r="B30" s="106">
        <f t="shared" si="1"/>
        <v>2125.100323822325</v>
      </c>
      <c r="C30" s="107">
        <f t="shared" si="2"/>
        <v>279.3378138938107</v>
      </c>
      <c r="D30" s="111">
        <v>25.8265412109733</v>
      </c>
      <c r="E30" s="111">
        <v>25.8265412109733</v>
      </c>
      <c r="F30" s="111">
        <v>12.97751573287713</v>
      </c>
      <c r="G30" s="111">
        <v>12.849025478096168</v>
      </c>
      <c r="H30" s="111">
        <v>110.75859962118896</v>
      </c>
      <c r="I30" s="111">
        <v>116.92613185067513</v>
      </c>
      <c r="J30" s="107">
        <f t="shared" si="3"/>
        <v>275.22612574081995</v>
      </c>
      <c r="K30" s="111">
        <v>140.31135822081015</v>
      </c>
      <c r="L30" s="111">
        <v>134.91476752000978</v>
      </c>
      <c r="M30" s="95">
        <f t="shared" si="4"/>
        <v>1570.5363841876945</v>
      </c>
      <c r="N30" s="111">
        <v>742.8021628887395</v>
      </c>
      <c r="O30" s="111">
        <v>603.775707215739</v>
      </c>
      <c r="P30" s="111">
        <v>277.79593083643914</v>
      </c>
      <c r="Q30" s="111">
        <v>257.4944705810472</v>
      </c>
      <c r="R30" s="111">
        <v>98.55202541699761</v>
      </c>
      <c r="S30" s="111">
        <v>193.8917944644712</v>
      </c>
    </row>
    <row r="31" spans="1:19" s="4" customFormat="1" ht="17.25" customHeight="1">
      <c r="A31" s="147" t="s">
        <v>81</v>
      </c>
      <c r="B31" s="106">
        <f t="shared" si="1"/>
        <v>1521.5618221258135</v>
      </c>
      <c r="C31" s="107">
        <f t="shared" si="2"/>
        <v>197.03036876355748</v>
      </c>
      <c r="D31" s="111">
        <v>17.23644251626898</v>
      </c>
      <c r="E31" s="111">
        <v>17.23644251626898</v>
      </c>
      <c r="F31" s="111">
        <v>8.717281272595805</v>
      </c>
      <c r="G31" s="111">
        <v>8.816341287057122</v>
      </c>
      <c r="H31" s="111">
        <v>76.8705712219812</v>
      </c>
      <c r="I31" s="111">
        <v>85.38973246565438</v>
      </c>
      <c r="J31" s="107">
        <f>SUM(K31:L31)</f>
        <v>197.42660882140274</v>
      </c>
      <c r="K31" s="111">
        <v>105.00361532899493</v>
      </c>
      <c r="L31" s="111">
        <v>92.4229934924078</v>
      </c>
      <c r="M31" s="95">
        <f>+N31+P31+Q31+R31+S31</f>
        <v>1127.1048445408533</v>
      </c>
      <c r="N31" s="111">
        <v>539.877078814172</v>
      </c>
      <c r="O31" s="111">
        <v>446.0672451193058</v>
      </c>
      <c r="P31" s="111">
        <v>194.05856832971799</v>
      </c>
      <c r="Q31" s="111">
        <v>173.85032537960953</v>
      </c>
      <c r="R31" s="111">
        <v>73.89877078814172</v>
      </c>
      <c r="S31" s="111">
        <v>145.42010122921184</v>
      </c>
    </row>
    <row r="32" spans="1:19" s="4" customFormat="1" ht="17.25" customHeight="1">
      <c r="A32" s="192" t="s">
        <v>89</v>
      </c>
      <c r="B32" s="106">
        <f t="shared" si="1"/>
        <v>1384.5848682346275</v>
      </c>
      <c r="C32" s="107">
        <f t="shared" si="2"/>
        <v>172.06007367526212</v>
      </c>
      <c r="D32" s="111">
        <v>16.052706149050724</v>
      </c>
      <c r="E32" s="111">
        <v>16.052706149050724</v>
      </c>
      <c r="F32" s="111">
        <v>8.026353074525362</v>
      </c>
      <c r="G32" s="111">
        <v>7.948427316520261</v>
      </c>
      <c r="H32" s="111">
        <v>66.54859733635591</v>
      </c>
      <c r="I32" s="111">
        <v>73.48398979880986</v>
      </c>
      <c r="J32" s="194">
        <f>SUM(K32:L32)</f>
        <v>175.95636157551715</v>
      </c>
      <c r="K32" s="111">
        <v>90.3938792859167</v>
      </c>
      <c r="L32" s="111">
        <v>85.56248228960045</v>
      </c>
      <c r="M32" s="195">
        <f>+N32+P32+Q32+R32+S32</f>
        <v>1036.5684329838482</v>
      </c>
      <c r="N32" s="111">
        <v>459.99574950410886</v>
      </c>
      <c r="O32" s="111">
        <v>372.17342023236046</v>
      </c>
      <c r="P32" s="111">
        <v>178.83961462170586</v>
      </c>
      <c r="Q32" s="111">
        <v>168.9430433550581</v>
      </c>
      <c r="R32" s="111">
        <v>69.19807310852933</v>
      </c>
      <c r="S32" s="111">
        <v>159.59195239444603</v>
      </c>
    </row>
    <row r="33" spans="1:19" s="4" customFormat="1" ht="17.25" customHeight="1">
      <c r="A33" s="105" t="s">
        <v>63</v>
      </c>
      <c r="B33" s="106">
        <f t="shared" si="1"/>
        <v>1711.237320156954</v>
      </c>
      <c r="C33" s="107">
        <f t="shared" si="2"/>
        <v>237.18180497020782</v>
      </c>
      <c r="D33" s="111">
        <v>20.091847115244878</v>
      </c>
      <c r="E33" s="111">
        <v>20.091847115244878</v>
      </c>
      <c r="F33" s="111">
        <v>10.372620258683332</v>
      </c>
      <c r="G33" s="111">
        <v>10.209271908152886</v>
      </c>
      <c r="H33" s="111">
        <v>95.23208835925011</v>
      </c>
      <c r="I33" s="111">
        <v>101.27597732887662</v>
      </c>
      <c r="J33" s="107">
        <f t="shared" si="3"/>
        <v>224.11393692777216</v>
      </c>
      <c r="K33" s="111">
        <v>118.83592501089959</v>
      </c>
      <c r="L33" s="111">
        <v>105.27801191687256</v>
      </c>
      <c r="M33" s="95">
        <f t="shared" si="4"/>
        <v>1249.941578258974</v>
      </c>
      <c r="N33" s="111">
        <v>602.8370876326115</v>
      </c>
      <c r="O33" s="111">
        <v>501.56111030373495</v>
      </c>
      <c r="P33" s="111">
        <v>229.42275832001164</v>
      </c>
      <c r="Q33" s="111">
        <v>192.01598604853947</v>
      </c>
      <c r="R33" s="111">
        <v>74.97689289347478</v>
      </c>
      <c r="S33" s="111">
        <v>150.68885336433658</v>
      </c>
    </row>
    <row r="34" spans="1:19" s="4" customFormat="1" ht="14.25" customHeight="1">
      <c r="A34" s="105" t="s">
        <v>64</v>
      </c>
      <c r="B34" s="106">
        <f t="shared" si="1"/>
        <v>862.7234413602674</v>
      </c>
      <c r="C34" s="107">
        <f t="shared" si="2"/>
        <v>119.57564307513442</v>
      </c>
      <c r="D34" s="111">
        <v>10.129341665455602</v>
      </c>
      <c r="E34" s="111">
        <v>10.129341665455602</v>
      </c>
      <c r="F34" s="111">
        <v>5.229375575255535</v>
      </c>
      <c r="G34" s="111">
        <v>5.147023203991668</v>
      </c>
      <c r="H34" s="111">
        <v>48.01143244683428</v>
      </c>
      <c r="I34" s="111">
        <v>51.05847018359734</v>
      </c>
      <c r="J34" s="107">
        <f t="shared" si="3"/>
        <v>112.9874533740251</v>
      </c>
      <c r="K34" s="111">
        <v>59.91135009446302</v>
      </c>
      <c r="L34" s="111">
        <v>53.076103279562076</v>
      </c>
      <c r="M34" s="95">
        <f t="shared" si="4"/>
        <v>630.1603449111079</v>
      </c>
      <c r="N34" s="111">
        <v>303.92142614930003</v>
      </c>
      <c r="O34" s="111">
        <v>252.86295596570267</v>
      </c>
      <c r="P34" s="111">
        <v>115.66390544010076</v>
      </c>
      <c r="Q34" s="111">
        <v>96.80521242067529</v>
      </c>
      <c r="R34" s="111">
        <v>37.799738410114806</v>
      </c>
      <c r="S34" s="111">
        <v>75.97006249091702</v>
      </c>
    </row>
    <row r="35" spans="1:19" s="4" customFormat="1" ht="14.25" customHeight="1">
      <c r="A35" s="105" t="s">
        <v>65</v>
      </c>
      <c r="B35" s="106">
        <f t="shared" si="1"/>
        <v>1602.6356634210142</v>
      </c>
      <c r="C35" s="107">
        <f t="shared" si="2"/>
        <v>222.12934166545563</v>
      </c>
      <c r="D35" s="111">
        <v>18.81674175265223</v>
      </c>
      <c r="E35" s="111">
        <v>18.81674175265223</v>
      </c>
      <c r="F35" s="111">
        <v>9.714334156857046</v>
      </c>
      <c r="G35" s="111">
        <v>9.561352516591581</v>
      </c>
      <c r="H35" s="111">
        <v>89.18829627476626</v>
      </c>
      <c r="I35" s="111">
        <v>94.84861696458849</v>
      </c>
      <c r="J35" s="107">
        <f t="shared" si="3"/>
        <v>209.89081044421837</v>
      </c>
      <c r="K35" s="111">
        <v>111.294143293126</v>
      </c>
      <c r="L35" s="111">
        <v>98.59666715109238</v>
      </c>
      <c r="M35" s="95">
        <f t="shared" si="4"/>
        <v>1170.6155113113402</v>
      </c>
      <c r="N35" s="111">
        <v>564.5787433996996</v>
      </c>
      <c r="O35" s="111">
        <v>469.7301264351112</v>
      </c>
      <c r="P35" s="111">
        <v>214.862713752846</v>
      </c>
      <c r="Q35" s="111">
        <v>179.82991813205444</v>
      </c>
      <c r="R35" s="111">
        <v>70.21857288184857</v>
      </c>
      <c r="S35" s="111">
        <v>141.12556314489174</v>
      </c>
    </row>
    <row r="36" spans="1:19" s="4" customFormat="1" ht="15">
      <c r="A36" s="105" t="s">
        <v>66</v>
      </c>
      <c r="B36" s="106">
        <f t="shared" si="1"/>
        <v>1875.4448621737915</v>
      </c>
      <c r="C36" s="107">
        <f t="shared" si="2"/>
        <v>239.52699983845622</v>
      </c>
      <c r="D36" s="111">
        <v>22.839513606391257</v>
      </c>
      <c r="E36" s="111">
        <v>22.839513606391257</v>
      </c>
      <c r="F36" s="111">
        <v>11.406047611355058</v>
      </c>
      <c r="G36" s="111">
        <v>11.378629227673915</v>
      </c>
      <c r="H36" s="111">
        <v>92.317697854405</v>
      </c>
      <c r="I36" s="111">
        <v>101.58511153863098</v>
      </c>
      <c r="J36" s="107">
        <f t="shared" si="3"/>
        <v>247.34123918758166</v>
      </c>
      <c r="K36" s="111">
        <v>129.2228422892221</v>
      </c>
      <c r="L36" s="111">
        <v>118.11839689835959</v>
      </c>
      <c r="M36" s="95">
        <f t="shared" si="4"/>
        <v>1388.5766231477537</v>
      </c>
      <c r="N36" s="111">
        <v>676.2195967280044</v>
      </c>
      <c r="O36" s="111">
        <v>557</v>
      </c>
      <c r="P36" s="111">
        <v>235.0578032984301</v>
      </c>
      <c r="Q36" s="111">
        <v>219.1825591470489</v>
      </c>
      <c r="R36" s="111">
        <v>90.01455362518908</v>
      </c>
      <c r="S36" s="111">
        <v>168.10211034908139</v>
      </c>
    </row>
    <row r="37" spans="1:19" s="4" customFormat="1" ht="15">
      <c r="A37" s="105" t="s">
        <v>67</v>
      </c>
      <c r="B37" s="106">
        <f t="shared" si="1"/>
        <v>2633.4626865671644</v>
      </c>
      <c r="C37" s="107">
        <f t="shared" si="2"/>
        <v>385.0522388059702</v>
      </c>
      <c r="D37" s="111">
        <v>37.92537313432836</v>
      </c>
      <c r="E37" s="111">
        <v>37.92537313432836</v>
      </c>
      <c r="F37" s="111">
        <v>18.33582089552239</v>
      </c>
      <c r="G37" s="111">
        <v>18.492537313432837</v>
      </c>
      <c r="H37" s="111">
        <v>148.72388059701493</v>
      </c>
      <c r="I37" s="111">
        <v>161.57462686567166</v>
      </c>
      <c r="J37" s="107">
        <f t="shared" si="3"/>
        <v>346.02985074626866</v>
      </c>
      <c r="K37" s="111">
        <v>183.67164179104478</v>
      </c>
      <c r="L37" s="111">
        <v>162.3582089552239</v>
      </c>
      <c r="M37" s="95">
        <f t="shared" si="4"/>
        <v>1902.3805970149256</v>
      </c>
      <c r="N37" s="111">
        <v>951.8955223880597</v>
      </c>
      <c r="O37" s="111">
        <v>794.5522388059702</v>
      </c>
      <c r="P37" s="111">
        <v>340.3880597014926</v>
      </c>
      <c r="Q37" s="111">
        <v>281.61940298507466</v>
      </c>
      <c r="R37" s="111">
        <v>110.48507462686568</v>
      </c>
      <c r="S37" s="111">
        <v>217.99253731343285</v>
      </c>
    </row>
    <row r="38" spans="1:19" s="4" customFormat="1" ht="15">
      <c r="A38" s="105" t="s">
        <v>68</v>
      </c>
      <c r="B38" s="106">
        <f t="shared" si="1"/>
        <v>1201.3161802210257</v>
      </c>
      <c r="C38" s="107">
        <f t="shared" si="2"/>
        <v>149.28557665060924</v>
      </c>
      <c r="D38" s="111">
        <v>13.927911589685463</v>
      </c>
      <c r="E38" s="111">
        <v>13.927911589685463</v>
      </c>
      <c r="F38" s="111">
        <v>6.9639557948427315</v>
      </c>
      <c r="G38" s="111">
        <v>6.896344573533579</v>
      </c>
      <c r="H38" s="111">
        <v>57.73998299801643</v>
      </c>
      <c r="I38" s="111">
        <v>63.75738169453103</v>
      </c>
      <c r="J38" s="107">
        <f t="shared" si="3"/>
        <v>152.66613771606686</v>
      </c>
      <c r="K38" s="111">
        <v>78.42901671861716</v>
      </c>
      <c r="L38" s="111">
        <v>74.2371209974497</v>
      </c>
      <c r="M38" s="95">
        <f t="shared" si="4"/>
        <v>899.3644658543496</v>
      </c>
      <c r="N38" s="111">
        <v>399.1090393879286</v>
      </c>
      <c r="O38" s="111">
        <v>322.91119297251345</v>
      </c>
      <c r="P38" s="111">
        <v>155.1677529045055</v>
      </c>
      <c r="Q38" s="111">
        <v>146.58112779824313</v>
      </c>
      <c r="R38" s="111">
        <v>60.03876452252762</v>
      </c>
      <c r="S38" s="111">
        <v>138.4677812411448</v>
      </c>
    </row>
    <row r="39" spans="1:19" s="4" customFormat="1" ht="15">
      <c r="A39" s="105" t="s">
        <v>69</v>
      </c>
      <c r="B39" s="106">
        <f t="shared" si="1"/>
        <v>1356.3896854633042</v>
      </c>
      <c r="C39" s="107">
        <f t="shared" si="2"/>
        <v>168.5563049022386</v>
      </c>
      <c r="D39" s="111">
        <v>15.725814678379145</v>
      </c>
      <c r="E39" s="111">
        <v>15.725814678379145</v>
      </c>
      <c r="F39" s="111">
        <v>7.862907339189572</v>
      </c>
      <c r="G39" s="111">
        <v>7.786568432983849</v>
      </c>
      <c r="H39" s="111">
        <v>65.19342589968831</v>
      </c>
      <c r="I39" s="111">
        <v>71.98758855199773</v>
      </c>
      <c r="J39" s="107">
        <f t="shared" si="3"/>
        <v>172.3732502125248</v>
      </c>
      <c r="K39" s="111">
        <v>88.55313119863985</v>
      </c>
      <c r="L39" s="111">
        <v>83.82011901388496</v>
      </c>
      <c r="M39" s="95">
        <f t="shared" si="4"/>
        <v>1015.4601303485408</v>
      </c>
      <c r="N39" s="111">
        <v>450.6285633323888</v>
      </c>
      <c r="O39" s="111">
        <v>364.5946160385378</v>
      </c>
      <c r="P39" s="111">
        <v>175.1977897421366</v>
      </c>
      <c r="Q39" s="111">
        <v>165.50274865400965</v>
      </c>
      <c r="R39" s="111">
        <v>67.78894871068292</v>
      </c>
      <c r="S39" s="111">
        <v>156.34207990932276</v>
      </c>
    </row>
    <row r="40" spans="1:19" s="4" customFormat="1" ht="15">
      <c r="A40" s="105" t="s">
        <v>70</v>
      </c>
      <c r="B40" s="106">
        <f t="shared" si="1"/>
        <v>1113.7097194672713</v>
      </c>
      <c r="C40" s="107">
        <f t="shared" si="2"/>
        <v>138.39886653442903</v>
      </c>
      <c r="D40" s="111">
        <v>12.912213091527345</v>
      </c>
      <c r="E40" s="111">
        <v>12.912213091527345</v>
      </c>
      <c r="F40" s="111">
        <v>6.456106545763673</v>
      </c>
      <c r="G40" s="111">
        <v>6.393425899688297</v>
      </c>
      <c r="H40" s="111">
        <v>53.52927174837065</v>
      </c>
      <c r="I40" s="111">
        <v>59.10784924907906</v>
      </c>
      <c r="J40" s="107">
        <f t="shared" si="3"/>
        <v>141.5328988381978</v>
      </c>
      <c r="K40" s="111">
        <v>72.70954944743553</v>
      </c>
      <c r="L40" s="111">
        <v>68.82334939076226</v>
      </c>
      <c r="M40" s="95">
        <f t="shared" si="4"/>
        <v>833.7779540946444</v>
      </c>
      <c r="N40" s="111">
        <v>370.00385378294135</v>
      </c>
      <c r="O40" s="111">
        <v>299.3627656559932</v>
      </c>
      <c r="P40" s="111">
        <v>143.85208274298668</v>
      </c>
      <c r="Q40" s="111">
        <v>135.891640691414</v>
      </c>
      <c r="R40" s="111">
        <v>55.66041371493341</v>
      </c>
      <c r="S40" s="111">
        <v>128.36996316236895</v>
      </c>
    </row>
    <row r="41" spans="1:19" s="4" customFormat="1" ht="15">
      <c r="A41" s="105" t="s">
        <v>71</v>
      </c>
      <c r="B41" s="106">
        <f t="shared" si="1"/>
        <v>2524.4758288466987</v>
      </c>
      <c r="C41" s="107">
        <f t="shared" si="2"/>
        <v>313.71243978464156</v>
      </c>
      <c r="D41" s="111">
        <v>29.26846132048739</v>
      </c>
      <c r="E41" s="111">
        <v>29.26846132048739</v>
      </c>
      <c r="F41" s="111">
        <v>14.634230660243695</v>
      </c>
      <c r="G41" s="111">
        <v>14.492150750920942</v>
      </c>
      <c r="H41" s="111">
        <v>121.33624256163219</v>
      </c>
      <c r="I41" s="111">
        <v>133.98135449135734</v>
      </c>
      <c r="J41" s="107">
        <f t="shared" si="3"/>
        <v>320.81643525077925</v>
      </c>
      <c r="K41" s="111">
        <v>164.81269481439503</v>
      </c>
      <c r="L41" s="111">
        <v>156.00374043638425</v>
      </c>
      <c r="M41" s="95">
        <f t="shared" si="4"/>
        <v>1889.946953811278</v>
      </c>
      <c r="N41" s="111">
        <v>838.6977047322188</v>
      </c>
      <c r="O41" s="111">
        <v>678.5736469254747</v>
      </c>
      <c r="P41" s="111">
        <v>326.07339189572116</v>
      </c>
      <c r="Q41" s="111">
        <v>308.0292434117314</v>
      </c>
      <c r="R41" s="111">
        <v>126.16695947860585</v>
      </c>
      <c r="S41" s="111">
        <v>290.97965429300086</v>
      </c>
    </row>
    <row r="42" spans="1:19" s="4" customFormat="1" ht="15">
      <c r="A42" s="105" t="s">
        <v>72</v>
      </c>
      <c r="B42" s="106">
        <f t="shared" si="1"/>
        <v>1389.4498075395613</v>
      </c>
      <c r="C42" s="107">
        <f t="shared" si="2"/>
        <v>182.63884645933894</v>
      </c>
      <c r="D42" s="111">
        <v>16.88611229913851</v>
      </c>
      <c r="E42" s="111">
        <v>16.88611229913851</v>
      </c>
      <c r="F42" s="111">
        <v>8.485061404044725</v>
      </c>
      <c r="G42" s="111">
        <v>8.401050895093787</v>
      </c>
      <c r="H42" s="111">
        <v>72.41705871570844</v>
      </c>
      <c r="I42" s="111">
        <v>76.44956314535347</v>
      </c>
      <c r="J42" s="107">
        <f t="shared" si="3"/>
        <v>179.9505101729089</v>
      </c>
      <c r="K42" s="111">
        <v>91.73947577442415</v>
      </c>
      <c r="L42" s="111">
        <v>88.21103439848476</v>
      </c>
      <c r="M42" s="95">
        <f t="shared" si="4"/>
        <v>1026.8604509073136</v>
      </c>
      <c r="N42" s="111">
        <v>485.6647522453718</v>
      </c>
      <c r="O42" s="111">
        <v>394.76538156045706</v>
      </c>
      <c r="P42" s="111">
        <v>181.63072035192766</v>
      </c>
      <c r="Q42" s="111">
        <v>168.35705993767948</v>
      </c>
      <c r="R42" s="111">
        <v>64.43606036536934</v>
      </c>
      <c r="S42" s="111">
        <v>126.77185800696525</v>
      </c>
    </row>
    <row r="43" spans="1:19" s="4" customFormat="1" ht="15">
      <c r="A43" s="110"/>
      <c r="B43" s="106"/>
      <c r="C43" s="107"/>
      <c r="D43" s="61"/>
      <c r="E43" s="61"/>
      <c r="F43" s="61"/>
      <c r="G43" s="61"/>
      <c r="H43" s="61"/>
      <c r="I43" s="108"/>
      <c r="J43" s="107"/>
      <c r="K43" s="61"/>
      <c r="L43" s="108"/>
      <c r="M43" s="95"/>
      <c r="N43" s="61"/>
      <c r="O43" s="61"/>
      <c r="P43" s="61"/>
      <c r="Q43" s="61"/>
      <c r="R43" s="61"/>
      <c r="S43" s="108"/>
    </row>
    <row r="44" spans="1:19" s="4" customFormat="1" ht="25.5" customHeight="1" thickBot="1">
      <c r="A44" s="49" t="s">
        <v>18</v>
      </c>
      <c r="B44" s="50">
        <f>SUM(C44,J44,M44)</f>
        <v>4024.1200417076643</v>
      </c>
      <c r="C44" s="51">
        <f>SUM(E44:I44)</f>
        <v>513.9502738901209</v>
      </c>
      <c r="D44" s="111">
        <v>49.006476436638124</v>
      </c>
      <c r="E44" s="111">
        <v>49.006476436638124</v>
      </c>
      <c r="F44" s="111">
        <v>24.473822566196233</v>
      </c>
      <c r="G44" s="111">
        <v>24.41499126195057</v>
      </c>
      <c r="H44" s="111">
        <v>198.08500139515075</v>
      </c>
      <c r="I44" s="111">
        <v>217.9699822301852</v>
      </c>
      <c r="J44" s="51">
        <f>SUM(K44:L44)</f>
        <v>530.7171956001351</v>
      </c>
      <c r="K44" s="111">
        <v>277.27193690981454</v>
      </c>
      <c r="L44" s="111">
        <v>253.4452586903206</v>
      </c>
      <c r="M44" s="148">
        <f t="shared" si="4"/>
        <v>2979.4525722174085</v>
      </c>
      <c r="N44" s="111">
        <v>1450.9564566108118</v>
      </c>
      <c r="O44" s="111">
        <v>1195</v>
      </c>
      <c r="P44" s="111">
        <v>504.3607712980776</v>
      </c>
      <c r="Q44" s="111">
        <v>470.29744613983814</v>
      </c>
      <c r="R44" s="111">
        <v>193.14317183851497</v>
      </c>
      <c r="S44" s="111">
        <v>360.6947263301661</v>
      </c>
    </row>
    <row r="45" spans="1:19" s="4" customFormat="1" ht="15">
      <c r="A45" s="200" t="s">
        <v>91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1:19" s="4" customFormat="1" ht="15">
      <c r="A46" s="59"/>
      <c r="B46" s="203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3:5" s="4" customFormat="1" ht="15">
      <c r="C47" s="129"/>
      <c r="E47" s="4" t="s">
        <v>19</v>
      </c>
    </row>
    <row r="48" s="4" customFormat="1" ht="15">
      <c r="C48" s="129"/>
    </row>
    <row r="49" s="4" customFormat="1" ht="15">
      <c r="G49" s="4" t="str">
        <f>+G3</f>
        <v>           SERVICIO DE SALUD ACONCAGUA  2021</v>
      </c>
    </row>
    <row r="50" spans="8:12" s="4" customFormat="1" ht="15">
      <c r="H50" s="5"/>
      <c r="I50" s="5"/>
      <c r="J50" s="5"/>
      <c r="K50" s="5"/>
      <c r="L50" s="5"/>
    </row>
    <row r="51" s="4" customFormat="1" ht="15"/>
    <row r="52" spans="1:19" s="4" customFormat="1" ht="15">
      <c r="A52" s="6"/>
      <c r="B52" s="7"/>
      <c r="C52" s="6"/>
      <c r="D52" s="8"/>
      <c r="E52" s="8"/>
      <c r="F52" s="8"/>
      <c r="G52" s="8"/>
      <c r="H52" s="8"/>
      <c r="I52" s="9"/>
      <c r="J52" s="10"/>
      <c r="K52" s="11"/>
      <c r="L52" s="12"/>
      <c r="M52" s="10"/>
      <c r="N52" s="11"/>
      <c r="O52" s="11"/>
      <c r="P52" s="11"/>
      <c r="Q52" s="11"/>
      <c r="R52" s="11"/>
      <c r="S52" s="12"/>
    </row>
    <row r="53" spans="1:19" s="4" customFormat="1" ht="15">
      <c r="A53" s="14"/>
      <c r="B53" s="15"/>
      <c r="C53" s="14"/>
      <c r="D53" s="59"/>
      <c r="E53" s="4" t="s">
        <v>2</v>
      </c>
      <c r="I53" s="16"/>
      <c r="J53" s="17" t="s">
        <v>20</v>
      </c>
      <c r="K53" s="18"/>
      <c r="L53" s="19"/>
      <c r="M53" s="17"/>
      <c r="N53" s="18" t="s">
        <v>21</v>
      </c>
      <c r="O53" s="18"/>
      <c r="P53" s="18"/>
      <c r="Q53" s="18"/>
      <c r="R53" s="18"/>
      <c r="S53" s="19"/>
    </row>
    <row r="54" spans="1:19" s="4" customFormat="1" ht="15">
      <c r="A54" s="14"/>
      <c r="B54" s="15"/>
      <c r="C54" s="21"/>
      <c r="D54" s="22"/>
      <c r="E54" s="22"/>
      <c r="F54" s="22"/>
      <c r="G54" s="22"/>
      <c r="H54" s="22"/>
      <c r="I54" s="23"/>
      <c r="J54" s="24"/>
      <c r="K54" s="25"/>
      <c r="L54" s="26"/>
      <c r="M54" s="24"/>
      <c r="N54" s="25"/>
      <c r="O54" s="25"/>
      <c r="P54" s="25"/>
      <c r="Q54" s="25"/>
      <c r="R54" s="25"/>
      <c r="S54" s="26"/>
    </row>
    <row r="55" spans="1:26" s="4" customFormat="1" ht="15">
      <c r="A55" s="14"/>
      <c r="B55" s="28" t="s">
        <v>5</v>
      </c>
      <c r="C55" s="14"/>
      <c r="D55" s="59"/>
      <c r="I55" s="16"/>
      <c r="J55" s="29"/>
      <c r="K55" s="30"/>
      <c r="L55" s="31"/>
      <c r="M55" s="29"/>
      <c r="N55" s="30"/>
      <c r="O55" s="30"/>
      <c r="P55" s="30"/>
      <c r="Q55" s="30"/>
      <c r="R55" s="30"/>
      <c r="S55" s="31"/>
      <c r="T55" s="128"/>
      <c r="V55" s="189"/>
      <c r="W55" s="189"/>
      <c r="X55" s="128"/>
      <c r="Y55" s="128"/>
      <c r="Z55" s="128"/>
    </row>
    <row r="56" spans="1:26" s="4" customFormat="1" ht="15">
      <c r="A56" s="33" t="s">
        <v>6</v>
      </c>
      <c r="B56" s="15"/>
      <c r="C56" s="14"/>
      <c r="D56" s="59"/>
      <c r="F56" s="86" t="s">
        <v>75</v>
      </c>
      <c r="G56" s="86" t="s">
        <v>76</v>
      </c>
      <c r="H56" s="5" t="s">
        <v>7</v>
      </c>
      <c r="I56" s="34" t="s">
        <v>8</v>
      </c>
      <c r="J56" s="35"/>
      <c r="K56" s="36" t="s">
        <v>9</v>
      </c>
      <c r="L56" s="37" t="s">
        <v>10</v>
      </c>
      <c r="M56" s="35"/>
      <c r="N56" s="36" t="s">
        <v>11</v>
      </c>
      <c r="O56" s="76" t="s">
        <v>77</v>
      </c>
      <c r="P56" s="76" t="s">
        <v>54</v>
      </c>
      <c r="Q56" s="76" t="s">
        <v>49</v>
      </c>
      <c r="R56" s="5" t="s">
        <v>34</v>
      </c>
      <c r="S56" s="34" t="s">
        <v>35</v>
      </c>
      <c r="V56" s="189"/>
      <c r="W56" s="189"/>
      <c r="X56" s="128"/>
      <c r="Y56" s="128"/>
      <c r="Z56" s="128"/>
    </row>
    <row r="57" spans="1:26" s="4" customFormat="1" ht="15">
      <c r="A57" s="14"/>
      <c r="B57" s="28" t="s">
        <v>12</v>
      </c>
      <c r="C57" s="33" t="s">
        <v>13</v>
      </c>
      <c r="D57" s="86" t="s">
        <v>74</v>
      </c>
      <c r="E57" s="5" t="s">
        <v>14</v>
      </c>
      <c r="F57" s="76" t="s">
        <v>15</v>
      </c>
      <c r="G57" s="76" t="s">
        <v>15</v>
      </c>
      <c r="H57" s="5" t="s">
        <v>16</v>
      </c>
      <c r="I57" s="34" t="s">
        <v>16</v>
      </c>
      <c r="J57" s="35" t="s">
        <v>13</v>
      </c>
      <c r="K57" s="36" t="s">
        <v>16</v>
      </c>
      <c r="L57" s="37" t="s">
        <v>16</v>
      </c>
      <c r="M57" s="35" t="s">
        <v>13</v>
      </c>
      <c r="N57" s="36" t="s">
        <v>16</v>
      </c>
      <c r="O57" s="76" t="s">
        <v>16</v>
      </c>
      <c r="P57" s="76" t="s">
        <v>16</v>
      </c>
      <c r="Q57" s="76" t="s">
        <v>16</v>
      </c>
      <c r="R57" s="36" t="s">
        <v>16</v>
      </c>
      <c r="S57" s="37" t="s">
        <v>16</v>
      </c>
      <c r="V57" s="189"/>
      <c r="W57" s="189"/>
      <c r="Y57" s="128"/>
      <c r="Z57" s="128"/>
    </row>
    <row r="58" spans="1:23" s="4" customFormat="1" ht="15">
      <c r="A58" s="21"/>
      <c r="B58" s="38"/>
      <c r="C58" s="21"/>
      <c r="D58" s="22"/>
      <c r="E58" s="22"/>
      <c r="F58" s="22"/>
      <c r="G58" s="22"/>
      <c r="H58" s="22"/>
      <c r="I58" s="23"/>
      <c r="J58" s="39"/>
      <c r="K58" s="40"/>
      <c r="L58" s="41"/>
      <c r="M58" s="24"/>
      <c r="N58" s="25"/>
      <c r="O58" s="25"/>
      <c r="P58" s="25"/>
      <c r="Q58" s="25"/>
      <c r="R58" s="25"/>
      <c r="S58" s="26"/>
      <c r="V58" s="189"/>
      <c r="W58" s="189"/>
    </row>
    <row r="59" spans="1:23" s="4" customFormat="1" ht="15">
      <c r="A59" s="14"/>
      <c r="B59" s="15"/>
      <c r="C59" s="14"/>
      <c r="D59" s="59"/>
      <c r="I59" s="16"/>
      <c r="J59" s="17"/>
      <c r="K59" s="18"/>
      <c r="L59" s="19"/>
      <c r="M59" s="10"/>
      <c r="N59" s="11"/>
      <c r="O59" s="11"/>
      <c r="P59" s="11"/>
      <c r="Q59" s="11"/>
      <c r="R59" s="11"/>
      <c r="S59" s="13"/>
      <c r="V59" s="189"/>
      <c r="W59" s="189"/>
    </row>
    <row r="60" spans="1:26" s="4" customFormat="1" ht="15">
      <c r="A60" s="14" t="s">
        <v>17</v>
      </c>
      <c r="B60" s="42">
        <f>SUM(B61:B91)</f>
        <v>239803.87805270663</v>
      </c>
      <c r="C60" s="17">
        <f>SUM(C61:C91)</f>
        <v>31793.21946095981</v>
      </c>
      <c r="D60" s="18">
        <f>SUM(D61:D88)</f>
        <v>2965.0695975222898</v>
      </c>
      <c r="E60" s="18">
        <f>SUM(E61:E89)</f>
        <v>2955.355995314282</v>
      </c>
      <c r="F60" s="18">
        <f>SUM(F61:F89)</f>
        <v>1470.6396576028383</v>
      </c>
      <c r="G60" s="18">
        <f>SUM(G61:G89)</f>
        <v>1462.6431155862747</v>
      </c>
      <c r="H60" s="18">
        <f>SUM(H61:H89)</f>
        <v>12365.563511869761</v>
      </c>
      <c r="I60" s="18">
        <f>SUM(I61:I89)</f>
        <v>13539.01718058665</v>
      </c>
      <c r="J60" s="17">
        <f aca="true" t="shared" si="5" ref="J60:S60">SUM(J61:J91)</f>
        <v>31481.796932290054</v>
      </c>
      <c r="K60" s="18">
        <f t="shared" si="5"/>
        <v>16585.923070026518</v>
      </c>
      <c r="L60" s="19">
        <f t="shared" si="5"/>
        <v>14895.873862263536</v>
      </c>
      <c r="M60" s="17">
        <f t="shared" si="5"/>
        <v>176528.86165945683</v>
      </c>
      <c r="N60" s="18">
        <f t="shared" si="5"/>
        <v>86323.10878713385</v>
      </c>
      <c r="O60" s="18">
        <f t="shared" si="5"/>
        <v>70999.35409949168</v>
      </c>
      <c r="P60" s="18">
        <f t="shared" si="5"/>
        <v>30314.493841950425</v>
      </c>
      <c r="Q60" s="18">
        <f t="shared" si="5"/>
        <v>27496.461977999563</v>
      </c>
      <c r="R60" s="61">
        <f t="shared" si="5"/>
        <v>10942.749853824722</v>
      </c>
      <c r="S60" s="20">
        <f t="shared" si="5"/>
        <v>21452.047198548225</v>
      </c>
      <c r="T60" s="204"/>
      <c r="U60" s="20"/>
      <c r="V60" s="20"/>
      <c r="W60" s="20"/>
      <c r="X60" s="20"/>
      <c r="Y60" s="190"/>
      <c r="Z60" s="190"/>
    </row>
    <row r="61" spans="1:26" s="4" customFormat="1" ht="15">
      <c r="A61" s="93" t="s">
        <v>55</v>
      </c>
      <c r="B61" s="42">
        <f aca="true" t="shared" si="6" ref="B61:B89">SUM(C61,J61,M61)</f>
        <v>21312.516010978958</v>
      </c>
      <c r="C61" s="17">
        <f aca="true" t="shared" si="7" ref="C61:C89">SUM(E61:I61)</f>
        <v>2881.490393412626</v>
      </c>
      <c r="D61" s="18">
        <v>256.45105215004577</v>
      </c>
      <c r="E61" s="18">
        <v>266.8046660567246</v>
      </c>
      <c r="F61" s="18">
        <v>125.83623055809699</v>
      </c>
      <c r="G61" s="18">
        <v>130.61482159194875</v>
      </c>
      <c r="H61" s="18">
        <v>1181.9048490393413</v>
      </c>
      <c r="I61" s="18">
        <v>1176.329826166514</v>
      </c>
      <c r="J61" s="17">
        <f aca="true" t="shared" si="8" ref="J61:J89">SUM(K61:L61)</f>
        <v>2721.407593778591</v>
      </c>
      <c r="K61" s="18">
        <v>1450.3023787740165</v>
      </c>
      <c r="L61" s="18">
        <v>1271.1052150045746</v>
      </c>
      <c r="M61" s="95">
        <f aca="true" t="shared" si="9" ref="M61:M89">+N61+P61+Q61+R61+S61</f>
        <v>15709.61802378774</v>
      </c>
      <c r="N61" s="18">
        <v>7533.448764867338</v>
      </c>
      <c r="O61" s="18">
        <v>6165.178865507777</v>
      </c>
      <c r="P61" s="18">
        <v>2746.096980786825</v>
      </c>
      <c r="Q61" s="18">
        <v>2512.742451967063</v>
      </c>
      <c r="R61" s="18">
        <v>986.7790484903934</v>
      </c>
      <c r="S61" s="18">
        <v>1930.5507776761208</v>
      </c>
      <c r="T61"/>
      <c r="V61" s="191"/>
      <c r="W61" s="191"/>
      <c r="X61" s="186"/>
      <c r="Y61" s="186"/>
      <c r="Z61" s="186"/>
    </row>
    <row r="62" spans="1:26" s="4" customFormat="1" ht="15">
      <c r="A62" s="93" t="s">
        <v>84</v>
      </c>
      <c r="B62" s="42">
        <f t="shared" si="6"/>
        <v>31505.626851604564</v>
      </c>
      <c r="C62" s="17">
        <f t="shared" si="7"/>
        <v>4208.4607837776</v>
      </c>
      <c r="D62" s="18">
        <v>392.49120075656344</v>
      </c>
      <c r="E62" s="18">
        <v>392.49120075656344</v>
      </c>
      <c r="F62" s="18">
        <v>196.24560037828172</v>
      </c>
      <c r="G62" s="18">
        <v>192.14160493310854</v>
      </c>
      <c r="H62" s="18">
        <v>1613.616390943096</v>
      </c>
      <c r="I62" s="18">
        <v>1813.965986766551</v>
      </c>
      <c r="J62" s="17">
        <f t="shared" si="8"/>
        <v>4192.044801996907</v>
      </c>
      <c r="K62" s="18">
        <v>2217.2768118785707</v>
      </c>
      <c r="L62" s="18">
        <v>1974.7679901183367</v>
      </c>
      <c r="M62" s="95">
        <f t="shared" si="9"/>
        <v>23105.121265830057</v>
      </c>
      <c r="N62" s="18">
        <v>11687.059756368204</v>
      </c>
      <c r="O62" s="18">
        <v>9592.902807844828</v>
      </c>
      <c r="P62" s="18">
        <v>3843.2051891571864</v>
      </c>
      <c r="Q62" s="18">
        <v>3514.885553543331</v>
      </c>
      <c r="R62" s="18">
        <v>1359.168673342358</v>
      </c>
      <c r="S62" s="18">
        <v>2700.802093418976</v>
      </c>
      <c r="T62"/>
      <c r="V62" s="191"/>
      <c r="W62" s="191"/>
      <c r="X62" s="186"/>
      <c r="Y62" s="186"/>
      <c r="Z62" s="186"/>
    </row>
    <row r="63" spans="1:26" s="4" customFormat="1" ht="15">
      <c r="A63" s="93" t="s">
        <v>85</v>
      </c>
      <c r="B63" s="42">
        <f t="shared" si="6"/>
        <v>33555.66907350281</v>
      </c>
      <c r="C63" s="17">
        <f t="shared" si="7"/>
        <v>4482.301464256163</v>
      </c>
      <c r="D63" s="18">
        <v>463.47319424150237</v>
      </c>
      <c r="E63" s="18">
        <v>418.03024294303935</v>
      </c>
      <c r="F63" s="18">
        <v>209.01512147151968</v>
      </c>
      <c r="G63" s="18">
        <v>204.64408280956775</v>
      </c>
      <c r="H63" s="18">
        <v>1718.6129284492824</v>
      </c>
      <c r="I63" s="18">
        <v>1931.999088582754</v>
      </c>
      <c r="J63" s="17">
        <f t="shared" si="8"/>
        <v>4464.817309608356</v>
      </c>
      <c r="K63" s="18">
        <v>2361.5529789073034</v>
      </c>
      <c r="L63" s="18">
        <v>2103.2643307010526</v>
      </c>
      <c r="M63" s="95">
        <f t="shared" si="9"/>
        <v>24608.550299638293</v>
      </c>
      <c r="N63" s="18">
        <v>12447.526007785844</v>
      </c>
      <c r="O63" s="18">
        <v>10217.1041887371</v>
      </c>
      <c r="P63" s="18">
        <v>4093.2790233424416</v>
      </c>
      <c r="Q63" s="18">
        <v>3743.595930386287</v>
      </c>
      <c r="R63" s="18">
        <v>1447.6085314082627</v>
      </c>
      <c r="S63" s="18">
        <v>2876.540806715458</v>
      </c>
      <c r="T63"/>
      <c r="V63" s="191"/>
      <c r="W63" s="191"/>
      <c r="X63" s="186"/>
      <c r="Y63" s="186"/>
      <c r="Z63" s="186"/>
    </row>
    <row r="64" spans="1:26" s="4" customFormat="1" ht="15">
      <c r="A64" s="99" t="s">
        <v>86</v>
      </c>
      <c r="B64" s="42">
        <f t="shared" si="6"/>
        <v>31177.40342496292</v>
      </c>
      <c r="C64" s="17">
        <f t="shared" si="7"/>
        <v>3981.8978716755023</v>
      </c>
      <c r="D64" s="18">
        <v>379.6841720588019</v>
      </c>
      <c r="E64" s="18">
        <v>379.6841720588019</v>
      </c>
      <c r="F64" s="18">
        <v>189.6141843655001</v>
      </c>
      <c r="G64" s="18">
        <v>189.15838103769843</v>
      </c>
      <c r="H64" s="18">
        <v>1534.6898047082666</v>
      </c>
      <c r="I64" s="18">
        <v>1688.7513295052354</v>
      </c>
      <c r="J64" s="17">
        <f t="shared" si="8"/>
        <v>4111.801820098982</v>
      </c>
      <c r="K64" s="18">
        <v>2148.2010839293316</v>
      </c>
      <c r="L64" s="18">
        <v>1963.6007361696504</v>
      </c>
      <c r="M64" s="95">
        <f t="shared" si="9"/>
        <v>23083.703733188435</v>
      </c>
      <c r="N64" s="18">
        <v>11241.477473572908</v>
      </c>
      <c r="O64" s="18">
        <v>9255.998177668776</v>
      </c>
      <c r="P64" s="18">
        <v>3907.6019292438277</v>
      </c>
      <c r="Q64" s="18">
        <v>3643.6918024466536</v>
      </c>
      <c r="R64" s="18">
        <v>1496.4023251729252</v>
      </c>
      <c r="S64" s="18">
        <v>2794.5302027521184</v>
      </c>
      <c r="T64"/>
      <c r="V64" s="191"/>
      <c r="W64" s="191"/>
      <c r="X64" s="186"/>
      <c r="Y64" s="186"/>
      <c r="Z64" s="186"/>
    </row>
    <row r="65" spans="1:26" s="4" customFormat="1" ht="15">
      <c r="A65" s="99" t="s">
        <v>87</v>
      </c>
      <c r="B65" s="42">
        <f t="shared" si="6"/>
        <v>24253.61257694623</v>
      </c>
      <c r="C65" s="17">
        <f t="shared" si="7"/>
        <v>3097.609091565946</v>
      </c>
      <c r="D65" s="18">
        <v>295.3649694682273</v>
      </c>
      <c r="E65" s="18">
        <v>295.3649694682273</v>
      </c>
      <c r="F65" s="18">
        <v>147.50519483647363</v>
      </c>
      <c r="G65" s="18">
        <v>147.15061504119365</v>
      </c>
      <c r="H65" s="18">
        <v>1193.8701707077084</v>
      </c>
      <c r="I65" s="18">
        <v>1313.7181415123432</v>
      </c>
      <c r="J65" s="17">
        <f t="shared" si="8"/>
        <v>3198.6643332207423</v>
      </c>
      <c r="K65" s="18">
        <v>1671.134575154568</v>
      </c>
      <c r="L65" s="18">
        <v>1527.529758066174</v>
      </c>
      <c r="M65" s="95">
        <f t="shared" si="9"/>
        <v>17957.339152159544</v>
      </c>
      <c r="N65" s="18">
        <v>8745.001490990262</v>
      </c>
      <c r="O65" s="18">
        <v>7200.451902750649</v>
      </c>
      <c r="P65" s="18">
        <v>3039.8125849353087</v>
      </c>
      <c r="Q65" s="18">
        <v>2834.510883468198</v>
      </c>
      <c r="R65" s="18">
        <v>1164.0854679041897</v>
      </c>
      <c r="S65" s="18">
        <v>2173.928724861586</v>
      </c>
      <c r="T65"/>
      <c r="V65" s="191"/>
      <c r="W65" s="191"/>
      <c r="X65" s="186"/>
      <c r="Y65" s="186"/>
      <c r="Z65" s="186"/>
    </row>
    <row r="66" spans="1:26" s="4" customFormat="1" ht="15">
      <c r="A66" s="69" t="s">
        <v>56</v>
      </c>
      <c r="B66" s="42">
        <f t="shared" si="6"/>
        <v>8258.911625794732</v>
      </c>
      <c r="C66" s="17">
        <f t="shared" si="7"/>
        <v>1229.008991825613</v>
      </c>
      <c r="D66" s="18">
        <v>107.27729336966395</v>
      </c>
      <c r="E66" s="18">
        <v>107.27729336966395</v>
      </c>
      <c r="F66" s="18">
        <v>53.99863760217984</v>
      </c>
      <c r="G66" s="18">
        <v>52.55867393278837</v>
      </c>
      <c r="H66" s="18">
        <v>468.708174386921</v>
      </c>
      <c r="I66" s="18">
        <v>546.46621253406</v>
      </c>
      <c r="J66" s="17">
        <f t="shared" si="8"/>
        <v>1091.4924613987284</v>
      </c>
      <c r="K66" s="18">
        <v>594.7049954586739</v>
      </c>
      <c r="L66" s="18">
        <v>496.7874659400545</v>
      </c>
      <c r="M66" s="95">
        <f t="shared" si="9"/>
        <v>5938.41017257039</v>
      </c>
      <c r="N66" s="18">
        <v>2991.5245231607632</v>
      </c>
      <c r="O66" s="18">
        <v>2513.4565849227974</v>
      </c>
      <c r="P66" s="18">
        <v>1111.651952770209</v>
      </c>
      <c r="Q66" s="18">
        <v>840.938782924614</v>
      </c>
      <c r="R66" s="18">
        <v>339.8314259763851</v>
      </c>
      <c r="S66" s="18">
        <v>654.4634877384196</v>
      </c>
      <c r="T66"/>
      <c r="V66" s="191"/>
      <c r="W66" s="191"/>
      <c r="X66" s="186"/>
      <c r="Y66" s="186"/>
      <c r="Z66" s="186"/>
    </row>
    <row r="67" spans="1:26" s="4" customFormat="1" ht="15">
      <c r="A67" s="105" t="s">
        <v>57</v>
      </c>
      <c r="B67" s="42">
        <f t="shared" si="6"/>
        <v>8972.095427182774</v>
      </c>
      <c r="C67" s="17">
        <f t="shared" si="7"/>
        <v>1243.5550362991016</v>
      </c>
      <c r="D67" s="18">
        <v>105.34247208318834</v>
      </c>
      <c r="E67" s="18">
        <v>105.34247208318834</v>
      </c>
      <c r="F67" s="18">
        <v>54.38412176652407</v>
      </c>
      <c r="G67" s="18">
        <v>53.52767890405912</v>
      </c>
      <c r="H67" s="18">
        <v>499.3061888170635</v>
      </c>
      <c r="I67" s="18">
        <v>530.9945747282665</v>
      </c>
      <c r="J67" s="17">
        <f t="shared" si="8"/>
        <v>1175.039607301906</v>
      </c>
      <c r="K67" s="18">
        <v>623.0621824432482</v>
      </c>
      <c r="L67" s="18">
        <v>551.9774248586577</v>
      </c>
      <c r="M67" s="95">
        <f t="shared" si="9"/>
        <v>6553.500783581767</v>
      </c>
      <c r="N67" s="18">
        <v>3160.702383926883</v>
      </c>
      <c r="O67" s="18">
        <v>2629.707809198617</v>
      </c>
      <c r="P67" s="18">
        <v>1202.8740003320167</v>
      </c>
      <c r="Q67" s="18">
        <v>1006.7485848275439</v>
      </c>
      <c r="R67" s="18">
        <v>393.1072738714102</v>
      </c>
      <c r="S67" s="18">
        <v>790.0685406239127</v>
      </c>
      <c r="T67"/>
      <c r="V67" s="191"/>
      <c r="W67" s="191"/>
      <c r="X67" s="186"/>
      <c r="Y67" s="186"/>
      <c r="Z67" s="186"/>
    </row>
    <row r="68" spans="1:26" s="4" customFormat="1" ht="15">
      <c r="A68" s="105" t="s">
        <v>58</v>
      </c>
      <c r="B68" s="42">
        <f t="shared" si="6"/>
        <v>12128.783564405872</v>
      </c>
      <c r="C68" s="17">
        <f>SUM(E68:I68)</f>
        <v>1570.5827154689634</v>
      </c>
      <c r="D68" s="18">
        <v>137.39637631553526</v>
      </c>
      <c r="E68" s="18">
        <v>137.39637631553526</v>
      </c>
      <c r="F68" s="18">
        <v>69.48782250440864</v>
      </c>
      <c r="G68" s="18">
        <v>70.27745685104965</v>
      </c>
      <c r="H68" s="18">
        <v>612.7562529934216</v>
      </c>
      <c r="I68" s="18">
        <v>680.6648068045483</v>
      </c>
      <c r="J68" s="17">
        <f t="shared" si="8"/>
        <v>1573.7412528555274</v>
      </c>
      <c r="K68" s="18">
        <v>837.0124074394677</v>
      </c>
      <c r="L68" s="18">
        <v>736.7288454160597</v>
      </c>
      <c r="M68" s="95">
        <f t="shared" si="9"/>
        <v>8984.459596081382</v>
      </c>
      <c r="N68" s="18">
        <v>4303.5071891934895</v>
      </c>
      <c r="O68" s="18">
        <v>3555.723462924456</v>
      </c>
      <c r="P68" s="18">
        <v>1546.8936850697332</v>
      </c>
      <c r="Q68" s="18">
        <v>1385.8082783549678</v>
      </c>
      <c r="R68" s="18">
        <v>589.0672225941914</v>
      </c>
      <c r="S68" s="18">
        <v>1159.1832208689987</v>
      </c>
      <c r="T68"/>
      <c r="V68" s="191"/>
      <c r="W68" s="191"/>
      <c r="X68" s="186"/>
      <c r="Y68" s="186"/>
      <c r="Z68" s="186"/>
    </row>
    <row r="69" spans="1:26" s="4" customFormat="1" ht="15">
      <c r="A69" s="105" t="s">
        <v>59</v>
      </c>
      <c r="B69" s="42">
        <f t="shared" si="6"/>
        <v>8274.921245425707</v>
      </c>
      <c r="C69" s="17">
        <f t="shared" si="7"/>
        <v>1028.3107896161619</v>
      </c>
      <c r="D69" s="18">
        <v>95.9384160602035</v>
      </c>
      <c r="E69" s="18">
        <v>95.9384160602035</v>
      </c>
      <c r="F69" s="18">
        <v>47.96920803010175</v>
      </c>
      <c r="G69" s="18">
        <v>47.50348756379008</v>
      </c>
      <c r="H69" s="18">
        <v>397.725278230164</v>
      </c>
      <c r="I69" s="18">
        <v>439.17439973190244</v>
      </c>
      <c r="J69" s="17">
        <f t="shared" si="8"/>
        <v>1051.596812931745</v>
      </c>
      <c r="K69" s="18">
        <v>540.2357409215342</v>
      </c>
      <c r="L69" s="18">
        <v>511.3610720102109</v>
      </c>
      <c r="M69" s="95">
        <f t="shared" si="9"/>
        <v>6195.0136428778005</v>
      </c>
      <c r="N69" s="18">
        <v>2749.147912637773</v>
      </c>
      <c r="O69" s="18">
        <v>2224.280947104524</v>
      </c>
      <c r="P69" s="18">
        <v>1068.8284701852767</v>
      </c>
      <c r="Q69" s="18">
        <v>1009.681970963695</v>
      </c>
      <c r="R69" s="18">
        <v>413.5597740847607</v>
      </c>
      <c r="S69" s="18">
        <v>953.795515006295</v>
      </c>
      <c r="T69"/>
      <c r="V69" s="191"/>
      <c r="W69" s="191"/>
      <c r="X69" s="186"/>
      <c r="Y69" s="186"/>
      <c r="Z69" s="186"/>
    </row>
    <row r="70" spans="1:26" s="4" customFormat="1" ht="15">
      <c r="A70" s="105" t="s">
        <v>60</v>
      </c>
      <c r="B70" s="42">
        <f t="shared" si="6"/>
        <v>9352.009166312226</v>
      </c>
      <c r="C70" s="17">
        <f t="shared" si="7"/>
        <v>1367.4057677713126</v>
      </c>
      <c r="D70" s="18">
        <v>134.68139837226605</v>
      </c>
      <c r="E70" s="18">
        <v>134.68139837226605</v>
      </c>
      <c r="F70" s="18">
        <v>65.11456037006252</v>
      </c>
      <c r="G70" s="18">
        <v>65.67109507408014</v>
      </c>
      <c r="H70" s="18">
        <v>528.1514341127292</v>
      </c>
      <c r="I70" s="18">
        <v>573.7872798421748</v>
      </c>
      <c r="J70" s="17">
        <f t="shared" si="8"/>
        <v>1228.8286264709234</v>
      </c>
      <c r="K70" s="18">
        <v>652.2586731086604</v>
      </c>
      <c r="L70" s="18">
        <v>576.5699533622629</v>
      </c>
      <c r="M70" s="95">
        <f t="shared" si="9"/>
        <v>6755.774772069991</v>
      </c>
      <c r="N70" s="18">
        <v>3380.391792203075</v>
      </c>
      <c r="O70" s="18">
        <v>2821.630949369376</v>
      </c>
      <c r="P70" s="18">
        <v>1208.7933771262888</v>
      </c>
      <c r="Q70" s="18">
        <v>1000.0928631196781</v>
      </c>
      <c r="R70" s="18">
        <v>392.356966332428</v>
      </c>
      <c r="S70" s="18">
        <v>774.139773288521</v>
      </c>
      <c r="T70"/>
      <c r="V70" s="191"/>
      <c r="W70" s="191"/>
      <c r="X70" s="186"/>
      <c r="Y70" s="186"/>
      <c r="Z70" s="186"/>
    </row>
    <row r="71" spans="1:26" s="4" customFormat="1" ht="15">
      <c r="A71" s="105" t="s">
        <v>61</v>
      </c>
      <c r="B71" s="42">
        <f t="shared" si="6"/>
        <v>10501.013110807238</v>
      </c>
      <c r="C71" s="17">
        <f t="shared" si="7"/>
        <v>1380.3254430675938</v>
      </c>
      <c r="D71" s="18">
        <v>127.61978567460274</v>
      </c>
      <c r="E71" s="18">
        <v>127.61978567460274</v>
      </c>
      <c r="F71" s="18">
        <v>64.12735499072078</v>
      </c>
      <c r="G71" s="18">
        <v>63.492430683881956</v>
      </c>
      <c r="H71" s="18">
        <v>547.3047524950624</v>
      </c>
      <c r="I71" s="18">
        <v>577.7811192233258</v>
      </c>
      <c r="J71" s="17">
        <f t="shared" si="8"/>
        <v>1360.0078652487516</v>
      </c>
      <c r="K71" s="18">
        <v>693.337343067991</v>
      </c>
      <c r="L71" s="18">
        <v>666.6705221807606</v>
      </c>
      <c r="M71" s="95">
        <f t="shared" si="9"/>
        <v>7760.679802490892</v>
      </c>
      <c r="N71" s="18">
        <v>3670.497417835216</v>
      </c>
      <c r="O71" s="18">
        <v>2983.5093178356133</v>
      </c>
      <c r="P71" s="18">
        <v>1372.706351385528</v>
      </c>
      <c r="Q71" s="18">
        <v>1272.3883109049946</v>
      </c>
      <c r="R71" s="18">
        <v>486.9869433453746</v>
      </c>
      <c r="S71" s="18">
        <v>958.1007790197788</v>
      </c>
      <c r="T71"/>
      <c r="V71" s="191"/>
      <c r="W71" s="191"/>
      <c r="X71" s="186"/>
      <c r="Y71" s="186"/>
      <c r="Z71" s="186"/>
    </row>
    <row r="72" spans="1:26" s="4" customFormat="1" ht="15">
      <c r="A72" s="105" t="s">
        <v>78</v>
      </c>
      <c r="B72" s="42">
        <f t="shared" si="6"/>
        <v>6858.158869204983</v>
      </c>
      <c r="C72" s="17">
        <f t="shared" si="7"/>
        <v>916.0996156626468</v>
      </c>
      <c r="D72" s="18">
        <v>69.84799195151747</v>
      </c>
      <c r="E72" s="18">
        <v>85.43765919123267</v>
      </c>
      <c r="F72" s="18">
        <v>42.718829595616334</v>
      </c>
      <c r="G72" s="18">
        <v>41.825470041335386</v>
      </c>
      <c r="H72" s="18">
        <v>351.25273384228257</v>
      </c>
      <c r="I72" s="18">
        <v>394.86492299217986</v>
      </c>
      <c r="J72" s="17">
        <f t="shared" si="8"/>
        <v>912.5261774455231</v>
      </c>
      <c r="K72" s="18">
        <v>482.6578028265169</v>
      </c>
      <c r="L72" s="18">
        <v>429.8683746190062</v>
      </c>
      <c r="M72" s="95">
        <f t="shared" si="9"/>
        <v>5029.533076096813</v>
      </c>
      <c r="N72" s="18">
        <v>2544.0443670773416</v>
      </c>
      <c r="O72" s="18">
        <v>2088.1873508792532</v>
      </c>
      <c r="P72" s="18">
        <v>836.5906153316423</v>
      </c>
      <c r="Q72" s="18">
        <v>765.1218509891663</v>
      </c>
      <c r="R72" s="18">
        <v>295.8644414768637</v>
      </c>
      <c r="S72" s="18">
        <v>587.9118012217997</v>
      </c>
      <c r="T72"/>
      <c r="V72" s="191"/>
      <c r="W72" s="191"/>
      <c r="X72" s="186"/>
      <c r="Y72" s="186"/>
      <c r="Z72" s="186"/>
    </row>
    <row r="73" spans="1:26" s="4" customFormat="1" ht="15">
      <c r="A73" s="105" t="s">
        <v>62</v>
      </c>
      <c r="B73" s="42">
        <f t="shared" si="6"/>
        <v>6815.908115980405</v>
      </c>
      <c r="C73" s="17">
        <f t="shared" si="7"/>
        <v>869.0415728849464</v>
      </c>
      <c r="D73" s="18">
        <v>84.15795048325168</v>
      </c>
      <c r="E73" s="18">
        <v>85.04382364623328</v>
      </c>
      <c r="F73" s="18">
        <v>41.63603866013504</v>
      </c>
      <c r="G73" s="18">
        <v>42.52191182311664</v>
      </c>
      <c r="H73" s="18">
        <v>335.74592877002516</v>
      </c>
      <c r="I73" s="18">
        <v>364.09386998543624</v>
      </c>
      <c r="J73" s="17">
        <f t="shared" si="8"/>
        <v>901.8188799152654</v>
      </c>
      <c r="K73" s="18">
        <v>485.45849331391497</v>
      </c>
      <c r="L73" s="18">
        <v>416.36038660135046</v>
      </c>
      <c r="M73" s="95">
        <f t="shared" si="9"/>
        <v>5045.047663180193</v>
      </c>
      <c r="N73" s="18">
        <v>2417.547861776777</v>
      </c>
      <c r="O73" s="18">
        <v>1985.2417582417581</v>
      </c>
      <c r="P73" s="18">
        <v>883.2155434926519</v>
      </c>
      <c r="Q73" s="18">
        <v>853.0958559512776</v>
      </c>
      <c r="R73" s="18">
        <v>333.97418244406197</v>
      </c>
      <c r="S73" s="18">
        <v>557.2142195154244</v>
      </c>
      <c r="T73"/>
      <c r="V73" s="191"/>
      <c r="W73" s="191"/>
      <c r="X73" s="186"/>
      <c r="Y73" s="186"/>
      <c r="Z73" s="186"/>
    </row>
    <row r="74" spans="1:26" s="4" customFormat="1" ht="15">
      <c r="A74" s="109" t="s">
        <v>79</v>
      </c>
      <c r="B74" s="42">
        <f t="shared" si="6"/>
        <v>3484.16867492663</v>
      </c>
      <c r="C74" s="17">
        <f t="shared" si="7"/>
        <v>465.40852215255353</v>
      </c>
      <c r="D74" s="18">
        <v>48.12357582580784</v>
      </c>
      <c r="E74" s="18">
        <v>43.405121037631766</v>
      </c>
      <c r="F74" s="18">
        <v>21.702560518815883</v>
      </c>
      <c r="G74" s="18">
        <v>21.248704690475627</v>
      </c>
      <c r="H74" s="18">
        <v>178.44785977923706</v>
      </c>
      <c r="I74" s="18">
        <v>200.6042761263932</v>
      </c>
      <c r="J74" s="17">
        <f t="shared" si="8"/>
        <v>463.5930988391925</v>
      </c>
      <c r="K74" s="18">
        <v>245.20592616601292</v>
      </c>
      <c r="L74" s="18">
        <v>218.3871726731796</v>
      </c>
      <c r="M74" s="95">
        <f t="shared" si="9"/>
        <v>2555.167053934884</v>
      </c>
      <c r="N74" s="18">
        <v>1292.4576202507749</v>
      </c>
      <c r="O74" s="18">
        <v>1060.8673689349696</v>
      </c>
      <c r="P74" s="18">
        <v>425.01535343027075</v>
      </c>
      <c r="Q74" s="18">
        <v>388.7068871630502</v>
      </c>
      <c r="R74" s="18">
        <v>150.3087984221412</v>
      </c>
      <c r="S74" s="18">
        <v>298.6783946686467</v>
      </c>
      <c r="T74" s="206"/>
      <c r="V74" s="191"/>
      <c r="W74" s="191"/>
      <c r="X74" s="186"/>
      <c r="Y74" s="186"/>
      <c r="Z74" s="186"/>
    </row>
    <row r="75" spans="1:26" s="4" customFormat="1" ht="15">
      <c r="A75" s="109" t="s">
        <v>50</v>
      </c>
      <c r="B75" s="42">
        <f t="shared" si="6"/>
        <v>3511.170301793136</v>
      </c>
      <c r="C75" s="17">
        <f t="shared" si="7"/>
        <v>448.4376508598534</v>
      </c>
      <c r="D75" s="18">
        <v>42.759679849617434</v>
      </c>
      <c r="E75" s="18">
        <v>42.759679849617434</v>
      </c>
      <c r="F75" s="18">
        <v>21.354173850469213</v>
      </c>
      <c r="G75" s="18">
        <v>21.3028417017902</v>
      </c>
      <c r="H75" s="18">
        <v>172.83534460223518</v>
      </c>
      <c r="I75" s="18">
        <v>190.1856108557414</v>
      </c>
      <c r="J75" s="17">
        <f t="shared" si="8"/>
        <v>463.06731323337203</v>
      </c>
      <c r="K75" s="18">
        <v>241.92841672418604</v>
      </c>
      <c r="L75" s="18">
        <v>221.13889650918597</v>
      </c>
      <c r="M75" s="95">
        <f t="shared" si="9"/>
        <v>2599.6653376999107</v>
      </c>
      <c r="N75" s="18">
        <v>1266.004782870486</v>
      </c>
      <c r="O75" s="18">
        <v>1042.56</v>
      </c>
      <c r="P75" s="18">
        <v>440.07051062517445</v>
      </c>
      <c r="Q75" s="18">
        <v>410.3491965400262</v>
      </c>
      <c r="R75" s="18">
        <v>168.52344411319814</v>
      </c>
      <c r="S75" s="18">
        <v>314.71740355102577</v>
      </c>
      <c r="T75"/>
      <c r="V75" s="191"/>
      <c r="W75" s="191"/>
      <c r="X75" s="186"/>
      <c r="Y75" s="186"/>
      <c r="Z75" s="186"/>
    </row>
    <row r="76" spans="1:26" s="4" customFormat="1" ht="15">
      <c r="A76" s="109" t="s">
        <v>80</v>
      </c>
      <c r="B76" s="42">
        <f t="shared" si="6"/>
        <v>3012.9359492398307</v>
      </c>
      <c r="C76" s="17">
        <f t="shared" si="7"/>
        <v>417.6005153012823</v>
      </c>
      <c r="D76" s="18">
        <v>35.37525026312515</v>
      </c>
      <c r="E76" s="18">
        <v>35.37525026312515</v>
      </c>
      <c r="F76" s="18">
        <v>18.262832452914207</v>
      </c>
      <c r="G76" s="18">
        <v>17.975228792238394</v>
      </c>
      <c r="H76" s="18">
        <v>167.67293417399972</v>
      </c>
      <c r="I76" s="18">
        <v>178.31426961900485</v>
      </c>
      <c r="J76" s="17">
        <f t="shared" si="8"/>
        <v>394.5922224472172</v>
      </c>
      <c r="K76" s="18">
        <v>209.2316631416549</v>
      </c>
      <c r="L76" s="18">
        <v>185.3605593055623</v>
      </c>
      <c r="M76" s="95">
        <f t="shared" si="9"/>
        <v>2200.7432114913313</v>
      </c>
      <c r="N76" s="18">
        <v>1061.4013097240927</v>
      </c>
      <c r="O76" s="18">
        <v>883.0870401050877</v>
      </c>
      <c r="P76" s="18">
        <v>403.9393414191811</v>
      </c>
      <c r="Q76" s="18">
        <v>338.0781031244197</v>
      </c>
      <c r="R76" s="18">
        <v>132.01008025019874</v>
      </c>
      <c r="S76" s="18">
        <v>265.31437697343864</v>
      </c>
      <c r="T76" s="206"/>
      <c r="V76" s="191"/>
      <c r="W76" s="191"/>
      <c r="X76" s="186"/>
      <c r="Y76" s="186"/>
      <c r="Z76" s="186"/>
    </row>
    <row r="77" spans="1:26" s="4" customFormat="1" ht="15">
      <c r="A77" s="109" t="s">
        <v>51</v>
      </c>
      <c r="B77" s="42">
        <f t="shared" si="6"/>
        <v>1713.8934111627054</v>
      </c>
      <c r="C77" s="17">
        <f t="shared" si="7"/>
        <v>225.28594690535834</v>
      </c>
      <c r="D77" s="18">
        <v>20.829105486649965</v>
      </c>
      <c r="E77" s="18">
        <v>20.829105486649965</v>
      </c>
      <c r="F77" s="18">
        <v>10.466366438565405</v>
      </c>
      <c r="G77" s="18">
        <v>10.36273904808456</v>
      </c>
      <c r="H77" s="18">
        <v>89.3268105944889</v>
      </c>
      <c r="I77" s="18">
        <v>94.3009253375695</v>
      </c>
      <c r="J77" s="17">
        <f t="shared" si="8"/>
        <v>221.9698704099713</v>
      </c>
      <c r="K77" s="18">
        <v>113.16111040508339</v>
      </c>
      <c r="L77" s="18">
        <v>108.80876000488789</v>
      </c>
      <c r="M77" s="95">
        <f t="shared" si="9"/>
        <v>1266.6375938473757</v>
      </c>
      <c r="N77" s="18">
        <v>599.0699443697685</v>
      </c>
      <c r="O77" s="18">
        <v>486.9451078694935</v>
      </c>
      <c r="P77" s="18">
        <v>224.04241821958817</v>
      </c>
      <c r="Q77" s="18">
        <v>207.66929052361456</v>
      </c>
      <c r="R77" s="18">
        <v>79.48220849880857</v>
      </c>
      <c r="S77" s="18">
        <v>156.373732235596</v>
      </c>
      <c r="T77"/>
      <c r="V77" s="191"/>
      <c r="W77" s="191"/>
      <c r="X77" s="186"/>
      <c r="Y77" s="186"/>
      <c r="Z77" s="186"/>
    </row>
    <row r="78" spans="1:26" s="4" customFormat="1" ht="15">
      <c r="A78" s="109" t="s">
        <v>81</v>
      </c>
      <c r="B78" s="42">
        <f t="shared" si="6"/>
        <v>1333.5821415117207</v>
      </c>
      <c r="C78" s="17">
        <f>SUM(E78:I78)</f>
        <v>172.6884687152873</v>
      </c>
      <c r="D78" s="18">
        <v>15.106985196812463</v>
      </c>
      <c r="E78" s="18">
        <v>15.106985196812463</v>
      </c>
      <c r="F78" s="18">
        <v>7.6403143524109005</v>
      </c>
      <c r="G78" s="18">
        <v>7.727136106415571</v>
      </c>
      <c r="H78" s="18">
        <v>67.3736811076234</v>
      </c>
      <c r="I78" s="18">
        <v>74.84035195202497</v>
      </c>
      <c r="J78" s="17">
        <f t="shared" si="8"/>
        <v>173.03575573130598</v>
      </c>
      <c r="K78" s="18">
        <v>92.03105924494949</v>
      </c>
      <c r="L78" s="18">
        <v>81.00469648635648</v>
      </c>
      <c r="M78" s="95">
        <f t="shared" si="9"/>
        <v>987.8579170651275</v>
      </c>
      <c r="N78" s="18">
        <v>473.17855932544785</v>
      </c>
      <c r="O78" s="18">
        <v>390.958358283026</v>
      </c>
      <c r="P78" s="18">
        <v>170.0838160951472</v>
      </c>
      <c r="Q78" s="18">
        <v>152.37217827819467</v>
      </c>
      <c r="R78" s="18">
        <v>64.76902848748333</v>
      </c>
      <c r="S78" s="18">
        <v>127.45433487885457</v>
      </c>
      <c r="T78"/>
      <c r="V78" s="191"/>
      <c r="W78" s="191"/>
      <c r="X78" s="186"/>
      <c r="Y78" s="186"/>
      <c r="Z78" s="186"/>
    </row>
    <row r="79" spans="1:26" s="4" customFormat="1" ht="15">
      <c r="A79" s="192" t="s">
        <v>89</v>
      </c>
      <c r="B79" s="42">
        <f>SUM(C79,J79,M79)</f>
        <v>1124.6433441198328</v>
      </c>
      <c r="C79" s="17">
        <f>SUM(E79:I79)</f>
        <v>139.75757000318498</v>
      </c>
      <c r="D79" s="18">
        <v>13.038976186891354</v>
      </c>
      <c r="E79" s="18">
        <v>13.038976186891354</v>
      </c>
      <c r="F79" s="18">
        <v>6.519488093445677</v>
      </c>
      <c r="G79" s="18">
        <v>6.456192092538437</v>
      </c>
      <c r="H79" s="18">
        <v>54.0547847747826</v>
      </c>
      <c r="I79" s="18">
        <v>59.68812885552692</v>
      </c>
      <c r="J79" s="17">
        <f t="shared" si="8"/>
        <v>142.92237004854695</v>
      </c>
      <c r="K79" s="18">
        <v>73.42336105239791</v>
      </c>
      <c r="L79" s="18">
        <v>69.49900899614906</v>
      </c>
      <c r="M79" s="95">
        <f t="shared" si="9"/>
        <v>841.9634040681009</v>
      </c>
      <c r="N79" s="18">
        <v>373.63629335543527</v>
      </c>
      <c r="O79" s="18">
        <v>302.3017003329762</v>
      </c>
      <c r="P79" s="18">
        <v>145.26432208211483</v>
      </c>
      <c r="Q79" s="18">
        <v>137.22572996689541</v>
      </c>
      <c r="R79" s="18">
        <v>56.206848805628745</v>
      </c>
      <c r="S79" s="18">
        <v>129.63020985802666</v>
      </c>
      <c r="T79" s="206"/>
      <c r="V79" s="191"/>
      <c r="W79" s="191"/>
      <c r="X79" s="186"/>
      <c r="Y79" s="186"/>
      <c r="Z79" s="186"/>
    </row>
    <row r="80" spans="1:26" s="4" customFormat="1" ht="15">
      <c r="A80" s="105" t="s">
        <v>63</v>
      </c>
      <c r="B80" s="42">
        <f t="shared" si="6"/>
        <v>1222.5776198359458</v>
      </c>
      <c r="C80" s="17">
        <f t="shared" si="7"/>
        <v>169.45233906088137</v>
      </c>
      <c r="D80" s="18">
        <v>14.354433680777142</v>
      </c>
      <c r="E80" s="18">
        <v>14.354433680777142</v>
      </c>
      <c r="F80" s="18">
        <v>7.410622266092265</v>
      </c>
      <c r="G80" s="18">
        <v>7.293919553240418</v>
      </c>
      <c r="H80" s="18">
        <v>68.03768159262661</v>
      </c>
      <c r="I80" s="18">
        <v>72.35568196814494</v>
      </c>
      <c r="J80" s="17">
        <f t="shared" si="8"/>
        <v>160.11612203273364</v>
      </c>
      <c r="K80" s="18">
        <v>84.90122359971846</v>
      </c>
      <c r="L80" s="18">
        <v>75.21489843301518</v>
      </c>
      <c r="M80" s="95">
        <f t="shared" si="9"/>
        <v>893.0091587423307</v>
      </c>
      <c r="N80" s="18">
        <v>430.69136177974013</v>
      </c>
      <c r="O80" s="18">
        <v>358.33567981159524</v>
      </c>
      <c r="P80" s="18">
        <v>163.90896020041865</v>
      </c>
      <c r="Q80" s="18">
        <v>137.18403895734576</v>
      </c>
      <c r="R80" s="18">
        <v>53.566545198997616</v>
      </c>
      <c r="S80" s="18">
        <v>107.65825260582855</v>
      </c>
      <c r="T80" s="206"/>
      <c r="V80" s="191"/>
      <c r="W80" s="191"/>
      <c r="X80" s="186"/>
      <c r="Y80" s="186"/>
      <c r="Z80" s="186"/>
    </row>
    <row r="81" spans="1:26" s="4" customFormat="1" ht="15">
      <c r="A81" s="105" t="s">
        <v>64</v>
      </c>
      <c r="B81" s="42">
        <f t="shared" si="6"/>
        <v>616.3647549588102</v>
      </c>
      <c r="C81" s="17">
        <f t="shared" si="7"/>
        <v>85.42970830471481</v>
      </c>
      <c r="D81" s="18">
        <v>7.2368141332506335</v>
      </c>
      <c r="E81" s="18">
        <v>7.2368141332506335</v>
      </c>
      <c r="F81" s="18">
        <v>3.736078841149718</v>
      </c>
      <c r="G81" s="18">
        <v>3.6772429538875175</v>
      </c>
      <c r="H81" s="18">
        <v>34.30132227386276</v>
      </c>
      <c r="I81" s="18">
        <v>36.47825010256417</v>
      </c>
      <c r="J81" s="17">
        <f t="shared" si="8"/>
        <v>80.72283732373879</v>
      </c>
      <c r="K81" s="18">
        <v>42.803107983250705</v>
      </c>
      <c r="L81" s="18">
        <v>37.919729340488075</v>
      </c>
      <c r="M81" s="95">
        <f t="shared" si="9"/>
        <v>450.21220933035653</v>
      </c>
      <c r="N81" s="18">
        <v>217.13384194115014</v>
      </c>
      <c r="O81" s="18">
        <v>180.65559183858596</v>
      </c>
      <c r="P81" s="18">
        <v>82.63500365976029</v>
      </c>
      <c r="Q81" s="18">
        <v>69.16158547671643</v>
      </c>
      <c r="R81" s="18">
        <v>27.005672253349925</v>
      </c>
      <c r="S81" s="18">
        <v>54.27610599937976</v>
      </c>
      <c r="T81" s="206"/>
      <c r="V81" s="191"/>
      <c r="W81" s="191"/>
      <c r="X81" s="186"/>
      <c r="Y81" s="186"/>
      <c r="Z81" s="186"/>
    </row>
    <row r="82" spans="1:26" s="4" customFormat="1" ht="15">
      <c r="A82" s="105" t="s">
        <v>65</v>
      </c>
      <c r="B82" s="42">
        <f t="shared" si="6"/>
        <v>1144.988174211719</v>
      </c>
      <c r="C82" s="17">
        <f t="shared" si="7"/>
        <v>158.6982463684055</v>
      </c>
      <c r="D82" s="18">
        <v>13.44344648988559</v>
      </c>
      <c r="E82" s="18">
        <v>13.44344648988559</v>
      </c>
      <c r="F82" s="18">
        <v>6.940315870794593</v>
      </c>
      <c r="G82" s="18">
        <v>6.831019557868695</v>
      </c>
      <c r="H82" s="18">
        <v>63.71975043579918</v>
      </c>
      <c r="I82" s="18">
        <v>67.76371401405746</v>
      </c>
      <c r="J82" s="17">
        <f t="shared" si="8"/>
        <v>149.95454133433356</v>
      </c>
      <c r="K82" s="18">
        <v>79.5130676535916</v>
      </c>
      <c r="L82" s="18">
        <v>70.44147368074196</v>
      </c>
      <c r="M82" s="95">
        <f t="shared" si="9"/>
        <v>836.33538650898</v>
      </c>
      <c r="N82" s="18">
        <v>403.35804285303067</v>
      </c>
      <c r="O82" s="18">
        <v>335.5943288389732</v>
      </c>
      <c r="P82" s="18">
        <v>153.5066715044253</v>
      </c>
      <c r="Q82" s="18">
        <v>128.4778158443944</v>
      </c>
      <c r="R82" s="18">
        <v>50.16700763298769</v>
      </c>
      <c r="S82" s="18">
        <v>100.82584867414194</v>
      </c>
      <c r="T82" s="206"/>
      <c r="V82" s="191"/>
      <c r="W82" s="191"/>
      <c r="X82" s="186"/>
      <c r="Y82" s="186"/>
      <c r="Z82" s="186"/>
    </row>
    <row r="83" spans="1:26" s="4" customFormat="1" ht="15">
      <c r="A83" s="105" t="s">
        <v>66</v>
      </c>
      <c r="B83" s="42">
        <f t="shared" si="6"/>
        <v>1781.6726190651018</v>
      </c>
      <c r="C83" s="17">
        <f t="shared" si="7"/>
        <v>227.55064984653336</v>
      </c>
      <c r="D83" s="18">
        <v>21.697537926071693</v>
      </c>
      <c r="E83" s="18">
        <v>21.697537926071693</v>
      </c>
      <c r="F83" s="18">
        <v>10.835745230787305</v>
      </c>
      <c r="G83" s="18">
        <v>10.809697766290219</v>
      </c>
      <c r="H83" s="18">
        <v>87.70181296168474</v>
      </c>
      <c r="I83" s="18">
        <v>96.50585596169942</v>
      </c>
      <c r="J83" s="17">
        <f t="shared" si="8"/>
        <v>234.97417722820256</v>
      </c>
      <c r="K83" s="18">
        <v>122.76170017476097</v>
      </c>
      <c r="L83" s="18">
        <v>112.2124770534416</v>
      </c>
      <c r="M83" s="95">
        <f t="shared" si="9"/>
        <v>1319.147791990366</v>
      </c>
      <c r="N83" s="18">
        <v>642.4086168916041</v>
      </c>
      <c r="O83" s="18">
        <v>529.15</v>
      </c>
      <c r="P83" s="18">
        <v>223.30491313350856</v>
      </c>
      <c r="Q83" s="18">
        <v>208.22343118969644</v>
      </c>
      <c r="R83" s="18">
        <v>85.51382594392962</v>
      </c>
      <c r="S83" s="18">
        <v>159.6970048316273</v>
      </c>
      <c r="T83"/>
      <c r="V83" s="191"/>
      <c r="W83" s="191"/>
      <c r="X83" s="186"/>
      <c r="Y83" s="186"/>
      <c r="Z83" s="186"/>
    </row>
    <row r="84" spans="1:26" s="4" customFormat="1" ht="15">
      <c r="A84" s="105" t="s">
        <v>67</v>
      </c>
      <c r="B84" s="42">
        <f t="shared" si="6"/>
        <v>1737.9840043589095</v>
      </c>
      <c r="C84" s="17">
        <f t="shared" si="7"/>
        <v>254.1196559575006</v>
      </c>
      <c r="D84" s="18">
        <v>25.02928642316449</v>
      </c>
      <c r="E84" s="18">
        <v>25.02928642316449</v>
      </c>
      <c r="F84" s="18">
        <v>12.10093599797622</v>
      </c>
      <c r="G84" s="18">
        <v>12.204362801377727</v>
      </c>
      <c r="H84" s="18">
        <v>98.15203642802933</v>
      </c>
      <c r="I84" s="18">
        <v>106.63303430695285</v>
      </c>
      <c r="J84" s="17">
        <f t="shared" si="8"/>
        <v>228.3663819105256</v>
      </c>
      <c r="K84" s="18">
        <v>121.21621358656522</v>
      </c>
      <c r="L84" s="18">
        <v>107.15016832396039</v>
      </c>
      <c r="M84" s="95">
        <f t="shared" si="9"/>
        <v>1255.4979664908833</v>
      </c>
      <c r="N84" s="18">
        <v>628.2144038607483</v>
      </c>
      <c r="O84" s="18">
        <v>524.3738932456363</v>
      </c>
      <c r="P84" s="18">
        <v>224.6430169880714</v>
      </c>
      <c r="Q84" s="18">
        <v>185.85796571250657</v>
      </c>
      <c r="R84" s="18">
        <v>72.91589639806185</v>
      </c>
      <c r="S84" s="18">
        <v>143.86668353149506</v>
      </c>
      <c r="T84" s="205"/>
      <c r="V84" s="191"/>
      <c r="W84" s="191"/>
      <c r="X84" s="186"/>
      <c r="Y84" s="186"/>
      <c r="Z84" s="186"/>
    </row>
    <row r="85" spans="1:26" s="4" customFormat="1" ht="15">
      <c r="A85" s="105" t="s">
        <v>68</v>
      </c>
      <c r="B85" s="42">
        <f t="shared" si="6"/>
        <v>975.7814614799712</v>
      </c>
      <c r="C85" s="17">
        <f t="shared" si="7"/>
        <v>121.25874982821793</v>
      </c>
      <c r="D85" s="18">
        <v>11.313089884335552</v>
      </c>
      <c r="E85" s="18">
        <v>11.313089884335552</v>
      </c>
      <c r="F85" s="18">
        <v>5.656544942167776</v>
      </c>
      <c r="G85" s="18">
        <v>5.6016270301078945</v>
      </c>
      <c r="H85" s="18">
        <v>46.89989689913864</v>
      </c>
      <c r="I85" s="18">
        <v>51.78759107246808</v>
      </c>
      <c r="J85" s="17">
        <f t="shared" si="8"/>
        <v>124.004645431212</v>
      </c>
      <c r="K85" s="18">
        <v>63.70477798946232</v>
      </c>
      <c r="L85" s="18">
        <v>60.29986744174968</v>
      </c>
      <c r="M85" s="95">
        <f t="shared" si="9"/>
        <v>730.5180662205413</v>
      </c>
      <c r="N85" s="18">
        <v>324.18043488947944</v>
      </c>
      <c r="O85" s="18">
        <v>262.2879479979932</v>
      </c>
      <c r="P85" s="18">
        <v>126.03660817742761</v>
      </c>
      <c r="Q85" s="18">
        <v>119.0620333458227</v>
      </c>
      <c r="R85" s="18">
        <v>48.7671059091746</v>
      </c>
      <c r="S85" s="18">
        <v>112.47188389863693</v>
      </c>
      <c r="T85" s="206"/>
      <c r="V85" s="191"/>
      <c r="W85" s="191"/>
      <c r="X85" s="186"/>
      <c r="Y85" s="186"/>
      <c r="Z85" s="186"/>
    </row>
    <row r="86" spans="1:26" s="4" customFormat="1" ht="15">
      <c r="A86" s="105" t="s">
        <v>69</v>
      </c>
      <c r="B86" s="42">
        <f t="shared" si="6"/>
        <v>1101.7415160213927</v>
      </c>
      <c r="C86" s="17">
        <f t="shared" si="7"/>
        <v>136.91159766857467</v>
      </c>
      <c r="D86" s="18">
        <v>12.773455217267383</v>
      </c>
      <c r="E86" s="18">
        <v>12.773455217267383</v>
      </c>
      <c r="F86" s="18">
        <v>6.3867276086336915</v>
      </c>
      <c r="G86" s="18">
        <v>6.3247205444722</v>
      </c>
      <c r="H86" s="18">
        <v>52.95403279391431</v>
      </c>
      <c r="I86" s="18">
        <v>58.472661504287096</v>
      </c>
      <c r="J86" s="17">
        <f t="shared" si="8"/>
        <v>140.01195087664928</v>
      </c>
      <c r="K86" s="18">
        <v>71.9281944273309</v>
      </c>
      <c r="L86" s="18">
        <v>68.08375644931839</v>
      </c>
      <c r="M86" s="95">
        <f t="shared" si="9"/>
        <v>824.8179674761686</v>
      </c>
      <c r="N86" s="18">
        <v>366.0276997452882</v>
      </c>
      <c r="O86" s="18">
        <v>296.1457384352865</v>
      </c>
      <c r="P86" s="18">
        <v>142.3062122506245</v>
      </c>
      <c r="Q86" s="18">
        <v>134.431315102115</v>
      </c>
      <c r="R86" s="18">
        <v>55.06227297540503</v>
      </c>
      <c r="S86" s="18">
        <v>126.99046740273593</v>
      </c>
      <c r="T86" s="206"/>
      <c r="V86" s="191"/>
      <c r="W86" s="191"/>
      <c r="X86" s="186"/>
      <c r="Y86" s="186"/>
      <c r="Z86" s="186"/>
    </row>
    <row r="87" spans="1:26" s="4" customFormat="1" ht="15">
      <c r="A87" s="105" t="s">
        <v>70</v>
      </c>
      <c r="B87" s="42">
        <f t="shared" si="6"/>
        <v>904.6222098883892</v>
      </c>
      <c r="C87" s="17">
        <f t="shared" si="7"/>
        <v>112.41590721710733</v>
      </c>
      <c r="D87" s="18">
        <v>10.48807830014679</v>
      </c>
      <c r="E87" s="18">
        <v>10.48807830014679</v>
      </c>
      <c r="F87" s="18">
        <v>5.244039150073395</v>
      </c>
      <c r="G87" s="18">
        <v>5.193126148616371</v>
      </c>
      <c r="H87" s="18">
        <v>43.47970324429786</v>
      </c>
      <c r="I87" s="18">
        <v>48.01096037397293</v>
      </c>
      <c r="J87" s="17">
        <f t="shared" si="8"/>
        <v>114.9615572899585</v>
      </c>
      <c r="K87" s="18">
        <v>59.059081690146975</v>
      </c>
      <c r="L87" s="18">
        <v>55.90247559981153</v>
      </c>
      <c r="M87" s="95">
        <f t="shared" si="9"/>
        <v>677.2447453813234</v>
      </c>
      <c r="N87" s="18">
        <v>300.5394476008083</v>
      </c>
      <c r="O87" s="18">
        <v>243.16049495874304</v>
      </c>
      <c r="P87" s="18">
        <v>116.84533834386836</v>
      </c>
      <c r="Q87" s="18">
        <v>110.37938715882642</v>
      </c>
      <c r="R87" s="18">
        <v>45.21074529383665</v>
      </c>
      <c r="S87" s="18">
        <v>104.26982698398362</v>
      </c>
      <c r="T87" s="206"/>
      <c r="V87" s="191"/>
      <c r="W87" s="191"/>
      <c r="X87" s="186"/>
      <c r="Y87" s="186"/>
      <c r="Z87" s="186"/>
    </row>
    <row r="88" spans="1:26" s="4" customFormat="1" ht="15">
      <c r="A88" s="105" t="s">
        <v>71</v>
      </c>
      <c r="B88" s="42">
        <f t="shared" si="6"/>
        <v>2050.531537242488</v>
      </c>
      <c r="C88" s="17">
        <f t="shared" si="7"/>
        <v>254.8161658167162</v>
      </c>
      <c r="D88" s="18">
        <v>23.77360967311754</v>
      </c>
      <c r="E88" s="18">
        <v>23.77360967311754</v>
      </c>
      <c r="F88" s="18">
        <v>11.88680483655877</v>
      </c>
      <c r="G88" s="18">
        <v>11.771398964359172</v>
      </c>
      <c r="H88" s="18">
        <v>98.55661485845816</v>
      </c>
      <c r="I88" s="18">
        <v>108.82773748422254</v>
      </c>
      <c r="J88" s="17">
        <f t="shared" si="8"/>
        <v>260.5864594266962</v>
      </c>
      <c r="K88" s="18">
        <v>133.87081175153568</v>
      </c>
      <c r="L88" s="18">
        <v>126.7156476751605</v>
      </c>
      <c r="M88" s="95">
        <f t="shared" si="9"/>
        <v>1535.1289119990756</v>
      </c>
      <c r="N88" s="18">
        <v>681.2408635942371</v>
      </c>
      <c r="O88" s="18">
        <v>551.1784456252883</v>
      </c>
      <c r="P88" s="18">
        <v>264.85647669808134</v>
      </c>
      <c r="Q88" s="18">
        <v>250.19993092873221</v>
      </c>
      <c r="R88" s="18">
        <v>102.48041451324455</v>
      </c>
      <c r="S88" s="18">
        <v>236.35122626478022</v>
      </c>
      <c r="T88" s="206"/>
      <c r="V88" s="191"/>
      <c r="W88" s="191"/>
      <c r="X88" s="186"/>
      <c r="Y88" s="186"/>
      <c r="Z88" s="186"/>
    </row>
    <row r="89" spans="1:26" s="4" customFormat="1" ht="15">
      <c r="A89" s="105" t="s">
        <v>72</v>
      </c>
      <c r="B89" s="42">
        <f t="shared" si="6"/>
        <v>1120.5912697806561</v>
      </c>
      <c r="C89" s="17">
        <f t="shared" si="7"/>
        <v>147.29822966945684</v>
      </c>
      <c r="D89" s="18">
        <v>13.618649569255208</v>
      </c>
      <c r="E89" s="18">
        <v>13.618649569255208</v>
      </c>
      <c r="F89" s="18">
        <v>6.84320202236207</v>
      </c>
      <c r="G89" s="18">
        <v>6.775447546893139</v>
      </c>
      <c r="H89" s="18">
        <v>58.40435785421885</v>
      </c>
      <c r="I89" s="18">
        <v>61.65657267672757</v>
      </c>
      <c r="J89" s="17">
        <f t="shared" si="8"/>
        <v>145.13008645445103</v>
      </c>
      <c r="K89" s="18">
        <v>73.98788721207308</v>
      </c>
      <c r="L89" s="18">
        <v>71.14219924237796</v>
      </c>
      <c r="M89" s="95">
        <f t="shared" si="9"/>
        <v>828.1629536567484</v>
      </c>
      <c r="N89" s="18">
        <v>391.68862268589237</v>
      </c>
      <c r="O89" s="18">
        <v>318.37828022850863</v>
      </c>
      <c r="P89" s="18">
        <v>146.48517596382965</v>
      </c>
      <c r="Q89" s="18">
        <v>135.7799688397385</v>
      </c>
      <c r="R89" s="18">
        <v>51.96768268467037</v>
      </c>
      <c r="S89" s="18">
        <v>102.24150348261747</v>
      </c>
      <c r="T89" s="44"/>
      <c r="V89" s="191"/>
      <c r="W89" s="191"/>
      <c r="X89" s="186"/>
      <c r="Y89" s="186"/>
      <c r="Z89" s="186"/>
    </row>
    <row r="90" spans="1:19" s="4" customFormat="1" ht="15">
      <c r="A90" s="59"/>
      <c r="B90" s="42"/>
      <c r="C90" s="17"/>
      <c r="D90" s="61"/>
      <c r="E90" s="18"/>
      <c r="F90" s="18"/>
      <c r="G90" s="18"/>
      <c r="H90" s="18"/>
      <c r="I90" s="19"/>
      <c r="J90" s="17"/>
      <c r="K90" s="18"/>
      <c r="L90" s="19"/>
      <c r="M90" s="96"/>
      <c r="N90" s="18"/>
      <c r="O90" s="18"/>
      <c r="P90" s="18"/>
      <c r="Q90" s="18"/>
      <c r="R90" s="18"/>
      <c r="S90" s="19"/>
    </row>
    <row r="91" spans="1:19" s="59" customFormat="1" ht="26.25" customHeight="1">
      <c r="A91" s="54" t="s">
        <v>18</v>
      </c>
      <c r="B91" s="55"/>
      <c r="C91" s="56"/>
      <c r="D91" s="57"/>
      <c r="E91" s="57"/>
      <c r="F91" s="57"/>
      <c r="G91" s="57"/>
      <c r="H91" s="57"/>
      <c r="I91" s="58"/>
      <c r="J91" s="56"/>
      <c r="K91" s="57"/>
      <c r="L91" s="58"/>
      <c r="M91" s="56"/>
      <c r="N91" s="57"/>
      <c r="O91" s="57"/>
      <c r="P91" s="57"/>
      <c r="Q91" s="57"/>
      <c r="R91" s="57"/>
      <c r="S91" s="58"/>
    </row>
    <row r="92" spans="1:19" s="4" customFormat="1" ht="15">
      <c r="A92" s="215" t="s">
        <v>94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="4" customFormat="1" ht="15"/>
    <row r="94" s="4" customFormat="1" ht="15"/>
    <row r="95" s="4" customFormat="1" ht="15"/>
    <row r="96" s="4" customFormat="1" ht="15">
      <c r="E96" s="4" t="s">
        <v>22</v>
      </c>
    </row>
    <row r="97" s="4" customFormat="1" ht="15"/>
    <row r="98" s="4" customFormat="1" ht="15">
      <c r="G98" s="4" t="str">
        <f>+G3</f>
        <v>           SERVICIO DE SALUD ACONCAGUA  2021</v>
      </c>
    </row>
    <row r="99" s="4" customFormat="1" ht="15"/>
    <row r="100" s="4" customFormat="1" ht="15.75" thickBot="1">
      <c r="K100" s="59"/>
    </row>
    <row r="101" spans="1:19" s="4" customFormat="1" ht="15">
      <c r="A101" s="175"/>
      <c r="B101" s="180"/>
      <c r="C101" s="152"/>
      <c r="D101" s="152"/>
      <c r="E101" s="152"/>
      <c r="F101" s="152"/>
      <c r="G101" s="152"/>
      <c r="H101" s="152"/>
      <c r="I101" s="152"/>
      <c r="J101" s="152"/>
      <c r="K101" s="152"/>
      <c r="L101" s="184"/>
      <c r="M101" s="152"/>
      <c r="N101" s="152"/>
      <c r="O101" s="152"/>
      <c r="P101" s="152"/>
      <c r="Q101" s="185"/>
      <c r="R101"/>
      <c r="S101"/>
    </row>
    <row r="102" spans="1:19" s="4" customFormat="1" ht="15">
      <c r="A102" s="105"/>
      <c r="B102" s="181"/>
      <c r="C102" s="59"/>
      <c r="D102" s="59"/>
      <c r="E102" s="213" t="s">
        <v>23</v>
      </c>
      <c r="F102" s="213"/>
      <c r="G102" s="213"/>
      <c r="H102" s="213"/>
      <c r="I102" s="213"/>
      <c r="J102" s="213"/>
      <c r="K102" s="59"/>
      <c r="L102" s="114"/>
      <c r="M102" s="59"/>
      <c r="N102" s="59" t="s">
        <v>24</v>
      </c>
      <c r="O102" s="59"/>
      <c r="P102" s="59"/>
      <c r="Q102" s="168" t="s">
        <v>25</v>
      </c>
      <c r="R102"/>
      <c r="S102"/>
    </row>
    <row r="103" spans="1:19" s="4" customFormat="1" ht="15">
      <c r="A103" s="105"/>
      <c r="B103" s="181"/>
      <c r="C103" s="59"/>
      <c r="D103" s="59"/>
      <c r="E103" s="59"/>
      <c r="F103" s="59"/>
      <c r="G103" s="59"/>
      <c r="H103" s="59"/>
      <c r="I103" s="59"/>
      <c r="J103" s="59"/>
      <c r="K103" s="112"/>
      <c r="L103" s="114"/>
      <c r="M103" s="59"/>
      <c r="N103" s="59"/>
      <c r="O103" s="59"/>
      <c r="P103" s="59"/>
      <c r="Q103" s="168"/>
      <c r="R103"/>
      <c r="S103"/>
    </row>
    <row r="104" spans="1:19" s="4" customFormat="1" ht="15">
      <c r="A104" s="105"/>
      <c r="B104" s="182" t="s">
        <v>5</v>
      </c>
      <c r="C104" s="113"/>
      <c r="D104" s="113"/>
      <c r="E104" s="113"/>
      <c r="F104" s="113"/>
      <c r="G104" s="113"/>
      <c r="H104" s="113"/>
      <c r="I104" s="113"/>
      <c r="J104" s="113"/>
      <c r="K104" s="114"/>
      <c r="L104" s="116"/>
      <c r="M104" s="47"/>
      <c r="N104" s="47"/>
      <c r="O104" s="47"/>
      <c r="P104" s="47"/>
      <c r="Q104" s="168" t="s">
        <v>26</v>
      </c>
      <c r="R104"/>
      <c r="S104"/>
    </row>
    <row r="105" spans="1:24" s="4" customFormat="1" ht="15">
      <c r="A105" s="178" t="s">
        <v>6</v>
      </c>
      <c r="B105" s="181"/>
      <c r="C105" s="60" t="s">
        <v>27</v>
      </c>
      <c r="D105" s="60" t="s">
        <v>9</v>
      </c>
      <c r="E105" s="60" t="s">
        <v>10</v>
      </c>
      <c r="F105" s="60" t="s">
        <v>82</v>
      </c>
      <c r="G105" s="60" t="s">
        <v>52</v>
      </c>
      <c r="H105" s="60" t="s">
        <v>53</v>
      </c>
      <c r="I105" s="60" t="s">
        <v>28</v>
      </c>
      <c r="J105" s="60" t="s">
        <v>73</v>
      </c>
      <c r="K105" s="119" t="s">
        <v>49</v>
      </c>
      <c r="L105" s="120" t="s">
        <v>29</v>
      </c>
      <c r="M105" s="60" t="s">
        <v>12</v>
      </c>
      <c r="N105" s="60" t="s">
        <v>30</v>
      </c>
      <c r="O105" s="60" t="s">
        <v>31</v>
      </c>
      <c r="P105" s="60" t="s">
        <v>83</v>
      </c>
      <c r="Q105" s="168"/>
      <c r="R105" s="132"/>
      <c r="S105" s="132"/>
      <c r="T105" s="132"/>
      <c r="U105" s="132"/>
      <c r="V105" s="197"/>
      <c r="W105" s="197"/>
      <c r="X105" s="197"/>
    </row>
    <row r="106" spans="1:23" s="4" customFormat="1" ht="15">
      <c r="A106" s="105"/>
      <c r="B106" s="182" t="s">
        <v>12</v>
      </c>
      <c r="C106" s="60" t="s">
        <v>16</v>
      </c>
      <c r="D106" s="60" t="s">
        <v>16</v>
      </c>
      <c r="E106" s="60" t="s">
        <v>16</v>
      </c>
      <c r="F106" s="60" t="s">
        <v>16</v>
      </c>
      <c r="G106" s="60" t="s">
        <v>16</v>
      </c>
      <c r="H106" s="60" t="s">
        <v>16</v>
      </c>
      <c r="I106" s="60" t="s">
        <v>16</v>
      </c>
      <c r="J106" s="60" t="s">
        <v>16</v>
      </c>
      <c r="K106" s="119" t="s">
        <v>16</v>
      </c>
      <c r="L106" s="120" t="s">
        <v>16</v>
      </c>
      <c r="M106" s="60"/>
      <c r="N106" s="60" t="s">
        <v>16</v>
      </c>
      <c r="O106" s="60" t="s">
        <v>16</v>
      </c>
      <c r="P106" s="60" t="s">
        <v>16</v>
      </c>
      <c r="Q106" s="168" t="s">
        <v>32</v>
      </c>
      <c r="R106" s="132"/>
      <c r="S106" s="132"/>
      <c r="T106" s="132"/>
      <c r="U106" s="132"/>
      <c r="V106" s="132"/>
      <c r="W106" s="201"/>
    </row>
    <row r="107" spans="1:21" s="4" customFormat="1" ht="15.75" thickBot="1">
      <c r="A107" s="49"/>
      <c r="B107" s="183"/>
      <c r="C107" s="170"/>
      <c r="D107" s="170"/>
      <c r="E107" s="170"/>
      <c r="F107" s="170"/>
      <c r="G107" s="170"/>
      <c r="H107" s="170"/>
      <c r="I107" s="170"/>
      <c r="J107" s="170"/>
      <c r="K107" s="171"/>
      <c r="L107" s="172"/>
      <c r="M107" s="170"/>
      <c r="N107" s="170"/>
      <c r="O107" s="173"/>
      <c r="P107" s="173"/>
      <c r="Q107" s="174"/>
      <c r="R107" s="131"/>
      <c r="T107" s="127"/>
      <c r="U107" s="128"/>
    </row>
    <row r="108" spans="1:18" s="4" customFormat="1" ht="15">
      <c r="A108" s="15"/>
      <c r="B108" s="124"/>
      <c r="C108" s="125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5"/>
      <c r="R108"/>
    </row>
    <row r="109" spans="1:24" s="4" customFormat="1" ht="15">
      <c r="A109" s="15" t="s">
        <v>17</v>
      </c>
      <c r="B109" s="42">
        <f aca="true" t="shared" si="10" ref="B109:Q109">SUM(B110:B140)</f>
        <v>145448.99999999997</v>
      </c>
      <c r="C109" s="17">
        <f t="shared" si="10"/>
        <v>18729.000000000007</v>
      </c>
      <c r="D109" s="61">
        <f t="shared" si="10"/>
        <v>9869.000000000004</v>
      </c>
      <c r="E109" s="61">
        <f t="shared" si="10"/>
        <v>8766.999999999998</v>
      </c>
      <c r="F109" s="61">
        <f t="shared" si="10"/>
        <v>9083.999999999996</v>
      </c>
      <c r="G109" s="61">
        <f t="shared" si="10"/>
        <v>22059.000000000004</v>
      </c>
      <c r="H109" s="61">
        <f t="shared" si="10"/>
        <v>20428</v>
      </c>
      <c r="I109" s="61">
        <f t="shared" si="10"/>
        <v>9450.999999999996</v>
      </c>
      <c r="J109" s="61">
        <f t="shared" si="10"/>
        <v>9096.999999999996</v>
      </c>
      <c r="K109" s="61">
        <f t="shared" si="10"/>
        <v>16914.999999999996</v>
      </c>
      <c r="L109" s="61">
        <f t="shared" si="10"/>
        <v>21050</v>
      </c>
      <c r="M109" s="17">
        <f t="shared" si="10"/>
        <v>5814.0700000000015</v>
      </c>
      <c r="N109" s="18">
        <f t="shared" si="10"/>
        <v>881.7500000000001</v>
      </c>
      <c r="O109" s="18">
        <f t="shared" si="10"/>
        <v>3737.159999999999</v>
      </c>
      <c r="P109" s="18">
        <f t="shared" si="10"/>
        <v>1195.16</v>
      </c>
      <c r="Q109" s="42">
        <f t="shared" si="10"/>
        <v>3520.0000000000005</v>
      </c>
      <c r="R109" s="103"/>
      <c r="S109" s="103"/>
      <c r="T109" s="103"/>
      <c r="U109" s="103"/>
      <c r="V109" s="103"/>
      <c r="W109" s="103"/>
      <c r="X109" s="103"/>
    </row>
    <row r="110" spans="1:29" s="4" customFormat="1" ht="15">
      <c r="A110" s="93" t="s">
        <v>55</v>
      </c>
      <c r="B110" s="42">
        <f>SUM(C110:L110)</f>
        <v>13520</v>
      </c>
      <c r="C110" s="18">
        <v>1762</v>
      </c>
      <c r="D110" s="18">
        <v>881</v>
      </c>
      <c r="E110" s="18">
        <v>829</v>
      </c>
      <c r="F110" s="18">
        <v>863</v>
      </c>
      <c r="G110" s="18">
        <v>2053</v>
      </c>
      <c r="H110" s="18">
        <v>1855</v>
      </c>
      <c r="I110" s="18">
        <v>900</v>
      </c>
      <c r="J110" s="18">
        <v>807</v>
      </c>
      <c r="K110" s="18">
        <v>1627</v>
      </c>
      <c r="L110" s="18">
        <v>1943</v>
      </c>
      <c r="M110" s="17">
        <f>SUM(N110:P110)</f>
        <v>542.245</v>
      </c>
      <c r="N110" s="18">
        <f aca="true" t="shared" si="11" ref="N110:N138">(+D14+E14)*0.125</f>
        <v>82.125</v>
      </c>
      <c r="O110" s="18">
        <f>(+F110+G110)*0.12</f>
        <v>349.91999999999996</v>
      </c>
      <c r="P110" s="18">
        <f>(+H110+I110)*0.04</f>
        <v>110.2</v>
      </c>
      <c r="Q110" s="42">
        <f aca="true" t="shared" si="12" ref="Q110:Q138">D14</f>
        <v>322</v>
      </c>
      <c r="R110" s="126"/>
      <c r="S110" s="186"/>
      <c r="T110" s="123"/>
      <c r="U110" s="123"/>
      <c r="V110" s="126"/>
      <c r="W110" s="126"/>
      <c r="X110" s="44"/>
      <c r="AB110" s="123"/>
      <c r="AC110" s="123"/>
    </row>
    <row r="111" spans="1:29" s="4" customFormat="1" ht="15">
      <c r="A111" s="93" t="s">
        <v>84</v>
      </c>
      <c r="B111" s="42">
        <f aca="true" t="shared" si="13" ref="B111:B140">SUM(C111:L111)</f>
        <v>18027.45055424032</v>
      </c>
      <c r="C111" s="44">
        <v>2306.6677395231573</v>
      </c>
      <c r="D111" s="44">
        <v>1254.26886869161</v>
      </c>
      <c r="E111" s="44">
        <v>1084.5810444034414</v>
      </c>
      <c r="F111" s="44">
        <v>1173.6044596088104</v>
      </c>
      <c r="G111" s="44">
        <v>2852.5108393269697</v>
      </c>
      <c r="H111" s="44">
        <v>2489.7299736074374</v>
      </c>
      <c r="I111" s="44">
        <v>1097.5375038934246</v>
      </c>
      <c r="J111" s="44">
        <v>1123.8683731795197</v>
      </c>
      <c r="K111" s="44">
        <v>2063.838611662502</v>
      </c>
      <c r="L111" s="44">
        <v>2580.843140343449</v>
      </c>
      <c r="M111" s="17">
        <f aca="true" t="shared" si="14" ref="M111:M140">SUM(N111:P111)</f>
        <v>736.5128862311012</v>
      </c>
      <c r="N111" s="18">
        <f t="shared" si="11"/>
        <v>109.88835125877308</v>
      </c>
      <c r="O111" s="18">
        <f aca="true" t="shared" si="15" ref="O111:O140">(+F111+G111)*0.12</f>
        <v>483.1338358722936</v>
      </c>
      <c r="P111" s="18">
        <f aca="true" t="shared" si="16" ref="P111:P140">(+H111+I111)*0.04</f>
        <v>143.49069910003448</v>
      </c>
      <c r="Q111" s="42">
        <f t="shared" si="12"/>
        <v>439.55340503509234</v>
      </c>
      <c r="R111" s="126"/>
      <c r="S111" s="186"/>
      <c r="T111" s="123"/>
      <c r="U111" s="123"/>
      <c r="V111" s="126"/>
      <c r="W111" s="126"/>
      <c r="X111" s="44"/>
      <c r="AB111" s="123"/>
      <c r="AC111" s="123"/>
    </row>
    <row r="112" spans="1:29" s="4" customFormat="1" ht="15">
      <c r="A112" s="93" t="s">
        <v>85</v>
      </c>
      <c r="B112" s="42">
        <f t="shared" si="13"/>
        <v>19188.592787789825</v>
      </c>
      <c r="C112" s="44">
        <v>2455.239459249578</v>
      </c>
      <c r="D112" s="44">
        <v>1335.0559190447514</v>
      </c>
      <c r="E112" s="44">
        <v>1154.438557121336</v>
      </c>
      <c r="F112" s="44">
        <v>1249.1959415786944</v>
      </c>
      <c r="G112" s="44">
        <v>3036.240135781549</v>
      </c>
      <c r="H112" s="44">
        <v>2650.092672359075</v>
      </c>
      <c r="I112" s="44">
        <v>1168.2295379578532</v>
      </c>
      <c r="J112" s="44">
        <v>1196.256369980452</v>
      </c>
      <c r="K112" s="44">
        <v>2196.7697861522765</v>
      </c>
      <c r="L112" s="44">
        <v>2747.0744085642586</v>
      </c>
      <c r="M112" s="17">
        <f t="shared" si="14"/>
        <v>784.0239031104272</v>
      </c>
      <c r="N112" s="18">
        <f t="shared" si="11"/>
        <v>117.0386854145208</v>
      </c>
      <c r="O112" s="18">
        <f t="shared" si="15"/>
        <v>514.2523292832292</v>
      </c>
      <c r="P112" s="18">
        <f t="shared" si="16"/>
        <v>152.73288841267714</v>
      </c>
      <c r="Q112" s="42">
        <f t="shared" si="12"/>
        <v>468.1547416580832</v>
      </c>
      <c r="R112" s="126"/>
      <c r="S112" s="186"/>
      <c r="T112" s="123"/>
      <c r="U112" s="123"/>
      <c r="V112" s="126"/>
      <c r="W112" s="126"/>
      <c r="X112" s="44"/>
      <c r="AB112" s="123"/>
      <c r="AC112" s="123"/>
    </row>
    <row r="113" spans="1:29" s="4" customFormat="1" ht="15">
      <c r="A113" s="99" t="s">
        <v>86</v>
      </c>
      <c r="B113" s="42">
        <f t="shared" si="13"/>
        <v>16909.56988682681</v>
      </c>
      <c r="C113" s="44">
        <v>2104.622501225167</v>
      </c>
      <c r="D113" s="44">
        <v>1142.0807318674165</v>
      </c>
      <c r="E113" s="44">
        <v>1040.4549040317565</v>
      </c>
      <c r="F113" s="44">
        <v>1037.0673764372345</v>
      </c>
      <c r="G113" s="44">
        <v>2439.0198680558387</v>
      </c>
      <c r="H113" s="44">
        <v>2401.2731320025937</v>
      </c>
      <c r="I113" s="44">
        <v>1120.303768759775</v>
      </c>
      <c r="J113" s="44">
        <v>1018.6779409241152</v>
      </c>
      <c r="K113" s="44">
        <v>2064.9400351179092</v>
      </c>
      <c r="L113" s="44">
        <v>2541.1296284050018</v>
      </c>
      <c r="M113" s="17">
        <f t="shared" si="14"/>
        <v>658.7589838141439</v>
      </c>
      <c r="N113" s="18">
        <f t="shared" si="11"/>
        <v>100.76543844448034</v>
      </c>
      <c r="O113" s="18">
        <f t="shared" si="15"/>
        <v>417.13046933916877</v>
      </c>
      <c r="P113" s="18">
        <f t="shared" si="16"/>
        <v>140.86307603049474</v>
      </c>
      <c r="Q113" s="42">
        <f t="shared" si="12"/>
        <v>403.06175377792135</v>
      </c>
      <c r="R113" s="126"/>
      <c r="S113" s="186"/>
      <c r="T113" s="123"/>
      <c r="U113" s="123"/>
      <c r="V113" s="126"/>
      <c r="W113" s="126"/>
      <c r="X113" s="44"/>
      <c r="AB113" s="123"/>
      <c r="AC113" s="123"/>
    </row>
    <row r="114" spans="1:29" s="4" customFormat="1" ht="15">
      <c r="A114" s="99" t="s">
        <v>87</v>
      </c>
      <c r="B114" s="42">
        <f t="shared" si="13"/>
        <v>13154.716670957792</v>
      </c>
      <c r="C114" s="44">
        <v>1637.2807166732139</v>
      </c>
      <c r="D114" s="44">
        <v>888.4760844674142</v>
      </c>
      <c r="E114" s="44">
        <v>809.4167718665003</v>
      </c>
      <c r="F114" s="44">
        <v>806.7814614464698</v>
      </c>
      <c r="G114" s="44">
        <v>1897.4235024219356</v>
      </c>
      <c r="H114" s="44">
        <v>1868.0586148844532</v>
      </c>
      <c r="I114" s="44">
        <v>871.5348031957898</v>
      </c>
      <c r="J114" s="44">
        <v>792.4754905948759</v>
      </c>
      <c r="K114" s="44">
        <v>1606.4099374671425</v>
      </c>
      <c r="L114" s="44">
        <v>1976.8592879399966</v>
      </c>
      <c r="M114" s="17">
        <f t="shared" si="14"/>
        <v>512.4760631380095</v>
      </c>
      <c r="N114" s="18">
        <f t="shared" si="11"/>
        <v>78.3877307505911</v>
      </c>
      <c r="O114" s="18">
        <f t="shared" si="15"/>
        <v>324.5045956642087</v>
      </c>
      <c r="P114" s="18">
        <f t="shared" si="16"/>
        <v>109.58373672320971</v>
      </c>
      <c r="Q114" s="42">
        <f t="shared" si="12"/>
        <v>313.5509230023644</v>
      </c>
      <c r="R114" s="126"/>
      <c r="S114" s="186"/>
      <c r="T114" s="123"/>
      <c r="U114" s="123"/>
      <c r="V114" s="126"/>
      <c r="W114" s="126"/>
      <c r="X114" s="44"/>
      <c r="AB114" s="123"/>
      <c r="AC114" s="123"/>
    </row>
    <row r="115" spans="1:29" s="4" customFormat="1" ht="15">
      <c r="A115" s="69" t="s">
        <v>56</v>
      </c>
      <c r="B115" s="42">
        <f t="shared" si="13"/>
        <v>5775</v>
      </c>
      <c r="C115" s="18">
        <v>818</v>
      </c>
      <c r="D115" s="18">
        <v>409</v>
      </c>
      <c r="E115" s="18">
        <v>336</v>
      </c>
      <c r="F115" s="18">
        <v>346</v>
      </c>
      <c r="G115" s="18">
        <v>906</v>
      </c>
      <c r="H115" s="18">
        <v>896</v>
      </c>
      <c r="I115" s="18">
        <v>416</v>
      </c>
      <c r="J115" s="18">
        <v>364</v>
      </c>
      <c r="K115" s="18">
        <v>560</v>
      </c>
      <c r="L115" s="18">
        <v>724</v>
      </c>
      <c r="M115" s="17">
        <f t="shared" si="14"/>
        <v>239.96999999999997</v>
      </c>
      <c r="N115" s="18">
        <f t="shared" si="11"/>
        <v>37.25</v>
      </c>
      <c r="O115" s="18">
        <f t="shared" si="15"/>
        <v>150.23999999999998</v>
      </c>
      <c r="P115" s="18">
        <f t="shared" si="16"/>
        <v>52.480000000000004</v>
      </c>
      <c r="Q115" s="42">
        <f t="shared" si="12"/>
        <v>149</v>
      </c>
      <c r="R115" s="126"/>
      <c r="S115" s="186"/>
      <c r="T115" s="123"/>
      <c r="U115" s="123"/>
      <c r="V115" s="126"/>
      <c r="W115" s="126"/>
      <c r="X115" s="44"/>
      <c r="AB115" s="123"/>
      <c r="AC115" s="123"/>
    </row>
    <row r="116" spans="1:29" s="4" customFormat="1" ht="15">
      <c r="A116" s="105" t="s">
        <v>57</v>
      </c>
      <c r="B116" s="42">
        <f t="shared" si="13"/>
        <v>6384.885025425582</v>
      </c>
      <c r="C116" s="44">
        <v>861.4908850640088</v>
      </c>
      <c r="D116" s="44">
        <v>438.55533200608534</v>
      </c>
      <c r="E116" s="44">
        <v>372.47165184078483</v>
      </c>
      <c r="F116" s="44">
        <v>374.87469475588665</v>
      </c>
      <c r="G116" s="44">
        <v>959.4148838544087</v>
      </c>
      <c r="H116" s="44">
        <v>946.1981478213486</v>
      </c>
      <c r="I116" s="44">
        <v>445.1637000226154</v>
      </c>
      <c r="J116" s="44">
        <v>419.33098868527065</v>
      </c>
      <c r="K116" s="44">
        <v>701.0877704809611</v>
      </c>
      <c r="L116" s="44">
        <v>866.2969708942124</v>
      </c>
      <c r="M116" s="17">
        <f t="shared" si="14"/>
        <v>252.6310893548417</v>
      </c>
      <c r="N116" s="18">
        <f t="shared" si="11"/>
        <v>36.861866007847695</v>
      </c>
      <c r="O116" s="18">
        <f t="shared" si="15"/>
        <v>160.11474943323543</v>
      </c>
      <c r="P116" s="18">
        <f t="shared" si="16"/>
        <v>55.65447391375856</v>
      </c>
      <c r="Q116" s="42">
        <f t="shared" si="12"/>
        <v>147.44746403139078</v>
      </c>
      <c r="R116" s="126"/>
      <c r="S116" s="186"/>
      <c r="T116" s="123"/>
      <c r="U116" s="123"/>
      <c r="V116" s="126"/>
      <c r="W116" s="126"/>
      <c r="X116" s="44"/>
      <c r="AB116" s="123"/>
      <c r="AC116" s="123"/>
    </row>
    <row r="117" spans="1:29" s="4" customFormat="1" ht="15">
      <c r="A117" s="105" t="s">
        <v>58</v>
      </c>
      <c r="B117" s="42">
        <f t="shared" si="13"/>
        <v>6971.411687480532</v>
      </c>
      <c r="C117" s="44">
        <v>908.7266236881388</v>
      </c>
      <c r="D117" s="44">
        <v>485.91631961101865</v>
      </c>
      <c r="E117" s="44">
        <v>400.2724413864421</v>
      </c>
      <c r="F117" s="44">
        <v>412.8936444932218</v>
      </c>
      <c r="G117" s="44">
        <v>1056.5750029389867</v>
      </c>
      <c r="H117" s="44">
        <v>1016.9083646033935</v>
      </c>
      <c r="I117" s="44">
        <v>455.2648263516965</v>
      </c>
      <c r="J117" s="44">
        <v>427.3178766152557</v>
      </c>
      <c r="K117" s="44">
        <v>791.529737696613</v>
      </c>
      <c r="L117" s="44">
        <v>1016.0068500957663</v>
      </c>
      <c r="M117" s="17">
        <f t="shared" si="14"/>
        <v>274.41405470100136</v>
      </c>
      <c r="N117" s="18">
        <f t="shared" si="11"/>
        <v>39.19088937093276</v>
      </c>
      <c r="O117" s="18">
        <f t="shared" si="15"/>
        <v>176.336237691865</v>
      </c>
      <c r="P117" s="18">
        <f t="shared" si="16"/>
        <v>58.886927638203595</v>
      </c>
      <c r="Q117" s="42">
        <f t="shared" si="12"/>
        <v>156.76355748373103</v>
      </c>
      <c r="R117" s="126"/>
      <c r="S117" s="186"/>
      <c r="T117" s="123"/>
      <c r="U117" s="123"/>
      <c r="V117" s="126"/>
      <c r="W117" s="126"/>
      <c r="X117" s="44"/>
      <c r="AB117" s="123"/>
      <c r="AC117" s="123"/>
    </row>
    <row r="118" spans="1:29" s="4" customFormat="1" ht="15">
      <c r="A118" s="105" t="s">
        <v>59</v>
      </c>
      <c r="B118" s="199">
        <f t="shared" si="13"/>
        <v>5175.031932158786</v>
      </c>
      <c r="C118" s="44">
        <v>638.4517738372045</v>
      </c>
      <c r="D118" s="44">
        <v>323.8356470185099</v>
      </c>
      <c r="E118" s="44">
        <v>304.24416659390255</v>
      </c>
      <c r="F118" s="44">
        <v>315.1923468311831</v>
      </c>
      <c r="G118" s="44">
        <v>719.1225755855878</v>
      </c>
      <c r="H118" s="44">
        <v>677.0585146739309</v>
      </c>
      <c r="I118" s="44">
        <v>332.4789472058367</v>
      </c>
      <c r="J118" s="44">
        <v>332.4789472058367</v>
      </c>
      <c r="K118" s="44">
        <v>614.8267533251781</v>
      </c>
      <c r="L118" s="44">
        <v>917.3422598816153</v>
      </c>
      <c r="M118" s="17">
        <f t="shared" si="14"/>
        <v>194.0275124579207</v>
      </c>
      <c r="N118" s="18">
        <f t="shared" si="11"/>
        <v>29.52822329271748</v>
      </c>
      <c r="O118" s="18">
        <f t="shared" si="15"/>
        <v>124.11779069001251</v>
      </c>
      <c r="P118" s="18">
        <f t="shared" si="16"/>
        <v>40.3814984751907</v>
      </c>
      <c r="Q118" s="42">
        <f t="shared" si="12"/>
        <v>118.11289317086992</v>
      </c>
      <c r="R118" s="126"/>
      <c r="S118" s="186"/>
      <c r="T118" s="123"/>
      <c r="U118" s="123"/>
      <c r="V118" s="126"/>
      <c r="W118" s="126"/>
      <c r="X118" s="44"/>
      <c r="AB118" s="123"/>
      <c r="AC118" s="123"/>
    </row>
    <row r="119" spans="1:29" s="4" customFormat="1" ht="15">
      <c r="A119" s="105" t="s">
        <v>60</v>
      </c>
      <c r="B119" s="199">
        <f t="shared" si="13"/>
        <v>7195.748273063438</v>
      </c>
      <c r="C119" s="44">
        <v>1032.6645428807187</v>
      </c>
      <c r="D119" s="44">
        <v>494.396586705965</v>
      </c>
      <c r="E119" s="44">
        <v>424.3711315923215</v>
      </c>
      <c r="F119" s="44">
        <v>426.90217213859773</v>
      </c>
      <c r="G119" s="44">
        <v>1167.6533720154532</v>
      </c>
      <c r="H119" s="44">
        <v>1027.602461788166</v>
      </c>
      <c r="I119" s="44">
        <v>493.5529065238729</v>
      </c>
      <c r="J119" s="44">
        <v>451.36889741926836</v>
      </c>
      <c r="K119" s="44">
        <v>769.4363260679864</v>
      </c>
      <c r="L119" s="44">
        <v>907.7998759310892</v>
      </c>
      <c r="M119" s="17">
        <f t="shared" si="14"/>
        <v>303.21153674738554</v>
      </c>
      <c r="N119" s="18">
        <f t="shared" si="11"/>
        <v>51.01865671641791</v>
      </c>
      <c r="O119" s="18">
        <f t="shared" si="15"/>
        <v>191.3466652984861</v>
      </c>
      <c r="P119" s="18">
        <f t="shared" si="16"/>
        <v>60.846214732481556</v>
      </c>
      <c r="Q119" s="42">
        <f t="shared" si="12"/>
        <v>204.07462686567163</v>
      </c>
      <c r="R119" s="126"/>
      <c r="S119" s="186"/>
      <c r="T119" s="123"/>
      <c r="U119" s="123"/>
      <c r="V119" s="126"/>
      <c r="W119" s="126"/>
      <c r="X119" s="44"/>
      <c r="AB119" s="123"/>
      <c r="AC119" s="123"/>
    </row>
    <row r="120" spans="1:29" s="4" customFormat="1" ht="15">
      <c r="A120" s="105" t="s">
        <v>61</v>
      </c>
      <c r="B120" s="199">
        <f t="shared" si="13"/>
        <v>6577.574370622378</v>
      </c>
      <c r="C120" s="44">
        <v>829.7814558841937</v>
      </c>
      <c r="D120" s="44">
        <v>414.4967196534529</v>
      </c>
      <c r="E120" s="44">
        <v>412.1326699215891</v>
      </c>
      <c r="F120" s="44">
        <v>431.0450677764995</v>
      </c>
      <c r="G120" s="44">
        <v>987.3847713417804</v>
      </c>
      <c r="H120" s="44">
        <v>881.7905499851973</v>
      </c>
      <c r="I120" s="44">
        <v>415.28473623074086</v>
      </c>
      <c r="J120" s="44">
        <v>468.8698634863203</v>
      </c>
      <c r="K120" s="44">
        <v>797.4727762153885</v>
      </c>
      <c r="L120" s="44">
        <v>939.3157601272164</v>
      </c>
      <c r="M120" s="17">
        <f t="shared" si="14"/>
        <v>261.6664287653032</v>
      </c>
      <c r="N120" s="18">
        <f t="shared" si="11"/>
        <v>39.57183662247205</v>
      </c>
      <c r="O120" s="18">
        <f t="shared" si="15"/>
        <v>170.21158069419357</v>
      </c>
      <c r="P120" s="18">
        <f t="shared" si="16"/>
        <v>51.883011448637525</v>
      </c>
      <c r="Q120" s="42">
        <f t="shared" si="12"/>
        <v>158.2873464898882</v>
      </c>
      <c r="R120" s="126"/>
      <c r="S120" s="186"/>
      <c r="T120" s="123"/>
      <c r="U120" s="123"/>
      <c r="V120" s="126"/>
      <c r="W120" s="126"/>
      <c r="X120" s="44"/>
      <c r="AB120" s="123"/>
      <c r="AC120" s="123"/>
    </row>
    <row r="121" spans="1:29" s="4" customFormat="1" ht="15">
      <c r="A121" s="105" t="s">
        <v>78</v>
      </c>
      <c r="B121" s="199">
        <f t="shared" si="13"/>
        <v>3924.8206469442566</v>
      </c>
      <c r="C121" s="44">
        <v>502.1928720581771</v>
      </c>
      <c r="D121" s="44">
        <v>273.0713551452418</v>
      </c>
      <c r="E121" s="44">
        <v>236.12801286301317</v>
      </c>
      <c r="F121" s="44">
        <v>255.50961854309864</v>
      </c>
      <c r="G121" s="44">
        <v>621.0303228478092</v>
      </c>
      <c r="H121" s="44">
        <v>542.0480048651134</v>
      </c>
      <c r="I121" s="44">
        <v>238.94880993382372</v>
      </c>
      <c r="J121" s="44">
        <v>244.68139752934195</v>
      </c>
      <c r="K121" s="44">
        <v>449.3256753439534</v>
      </c>
      <c r="L121" s="44">
        <v>561.8845778146845</v>
      </c>
      <c r="M121" s="17">
        <f t="shared" si="14"/>
        <v>160.3452107477423</v>
      </c>
      <c r="N121" s="18">
        <f t="shared" si="11"/>
        <v>23.92054518887585</v>
      </c>
      <c r="O121" s="18">
        <f t="shared" si="15"/>
        <v>105.18479296690894</v>
      </c>
      <c r="P121" s="18">
        <f t="shared" si="16"/>
        <v>31.239872591957482</v>
      </c>
      <c r="Q121" s="42">
        <f t="shared" si="12"/>
        <v>95.6821807555034</v>
      </c>
      <c r="R121" s="126"/>
      <c r="S121" s="186"/>
      <c r="T121" s="123"/>
      <c r="U121" s="123"/>
      <c r="V121" s="126"/>
      <c r="W121" s="126"/>
      <c r="X121" s="44"/>
      <c r="AB121" s="123"/>
      <c r="AC121" s="123"/>
    </row>
    <row r="122" spans="1:29" s="4" customFormat="1" ht="15">
      <c r="A122" s="105" t="s">
        <v>62</v>
      </c>
      <c r="B122" s="199">
        <f t="shared" si="13"/>
        <v>3861</v>
      </c>
      <c r="C122" s="198">
        <v>454</v>
      </c>
      <c r="D122" s="198">
        <v>275</v>
      </c>
      <c r="E122" s="198">
        <v>239</v>
      </c>
      <c r="F122" s="198">
        <v>242</v>
      </c>
      <c r="G122" s="198">
        <v>581</v>
      </c>
      <c r="H122" s="198">
        <v>543</v>
      </c>
      <c r="I122" s="198">
        <v>259</v>
      </c>
      <c r="J122" s="198">
        <v>253</v>
      </c>
      <c r="K122" s="198">
        <v>487</v>
      </c>
      <c r="L122" s="198">
        <v>528</v>
      </c>
      <c r="M122" s="17">
        <f t="shared" si="14"/>
        <v>154.71499999999997</v>
      </c>
      <c r="N122" s="18">
        <f t="shared" si="11"/>
        <v>23.875</v>
      </c>
      <c r="O122" s="18">
        <f t="shared" si="15"/>
        <v>98.75999999999999</v>
      </c>
      <c r="P122" s="18">
        <f t="shared" si="16"/>
        <v>32.08</v>
      </c>
      <c r="Q122" s="42">
        <f t="shared" si="12"/>
        <v>95</v>
      </c>
      <c r="R122" s="126"/>
      <c r="S122" s="186"/>
      <c r="T122" s="123"/>
      <c r="U122" s="123"/>
      <c r="V122" s="126"/>
      <c r="W122" s="126"/>
      <c r="X122" s="44"/>
      <c r="AB122" s="123"/>
      <c r="AC122" s="123"/>
    </row>
    <row r="123" spans="1:29" s="4" customFormat="1" ht="15">
      <c r="A123" s="109" t="s">
        <v>79</v>
      </c>
      <c r="B123" s="199">
        <f t="shared" si="13"/>
        <v>1992.1360110256003</v>
      </c>
      <c r="C123" s="44">
        <v>254.89992916908832</v>
      </c>
      <c r="D123" s="44">
        <v>138.6038571183972</v>
      </c>
      <c r="E123" s="44">
        <v>119.8523856122095</v>
      </c>
      <c r="F123" s="44">
        <v>129.68998026939664</v>
      </c>
      <c r="G123" s="44">
        <v>315.21870204367235</v>
      </c>
      <c r="H123" s="44">
        <v>275.1293491683746</v>
      </c>
      <c r="I123" s="44">
        <v>121.2841482148987</v>
      </c>
      <c r="J123" s="44">
        <v>124.19385931068645</v>
      </c>
      <c r="K123" s="44">
        <v>228.065926841268</v>
      </c>
      <c r="L123" s="44">
        <v>285.1978732776083</v>
      </c>
      <c r="M123" s="17">
        <f t="shared" si="14"/>
        <v>81.39799991072948</v>
      </c>
      <c r="N123" s="18">
        <f t="shared" si="11"/>
        <v>12.152418137830264</v>
      </c>
      <c r="O123" s="18">
        <f t="shared" si="15"/>
        <v>53.389041877568275</v>
      </c>
      <c r="P123" s="18">
        <f t="shared" si="16"/>
        <v>15.856539895330933</v>
      </c>
      <c r="Q123" s="42">
        <f t="shared" si="12"/>
        <v>48.609672551321054</v>
      </c>
      <c r="R123" s="126"/>
      <c r="S123" s="186"/>
      <c r="T123" s="123"/>
      <c r="U123" s="123"/>
      <c r="V123" s="126"/>
      <c r="W123" s="126"/>
      <c r="X123" s="44"/>
      <c r="AB123" s="123"/>
      <c r="AC123" s="123"/>
    </row>
    <row r="124" spans="1:29" s="4" customFormat="1" ht="15">
      <c r="A124" s="109" t="s">
        <v>50</v>
      </c>
      <c r="B124" s="199">
        <f t="shared" si="13"/>
        <v>1868.7205142361581</v>
      </c>
      <c r="C124" s="44">
        <v>232.58730228415806</v>
      </c>
      <c r="D124" s="44">
        <v>126.21430981619064</v>
      </c>
      <c r="E124" s="44">
        <v>114.98337546813977</v>
      </c>
      <c r="F124" s="44">
        <v>114.60901098987141</v>
      </c>
      <c r="G124" s="44">
        <v>269.54242435322067</v>
      </c>
      <c r="H124" s="44">
        <v>265.37093445251605</v>
      </c>
      <c r="I124" s="44">
        <v>123.80768102732259</v>
      </c>
      <c r="J124" s="44">
        <v>112.57674667927172</v>
      </c>
      <c r="K124" s="44">
        <v>228.20188982444296</v>
      </c>
      <c r="L124" s="44">
        <v>280.82683934102414</v>
      </c>
      <c r="M124" s="17">
        <f t="shared" si="14"/>
        <v>72.8006501545358</v>
      </c>
      <c r="N124" s="18">
        <f t="shared" si="11"/>
        <v>11.135333294171208</v>
      </c>
      <c r="O124" s="18">
        <f t="shared" si="15"/>
        <v>46.09817224117105</v>
      </c>
      <c r="P124" s="18">
        <f t="shared" si="16"/>
        <v>15.567144619193545</v>
      </c>
      <c r="Q124" s="42">
        <f t="shared" si="12"/>
        <v>44.54133317668483</v>
      </c>
      <c r="R124" s="126"/>
      <c r="S124" s="186"/>
      <c r="T124" s="123"/>
      <c r="U124" s="123"/>
      <c r="V124" s="126"/>
      <c r="W124" s="126"/>
      <c r="X124" s="44"/>
      <c r="AB124" s="123"/>
      <c r="AC124" s="123"/>
    </row>
    <row r="125" spans="1:29" s="4" customFormat="1" ht="15">
      <c r="A125" s="109" t="s">
        <v>80</v>
      </c>
      <c r="B125" s="199">
        <f t="shared" si="13"/>
        <v>2138.819302104703</v>
      </c>
      <c r="C125" s="44">
        <v>288.58363560577203</v>
      </c>
      <c r="D125" s="44">
        <v>146.90798744226888</v>
      </c>
      <c r="E125" s="44">
        <v>124.77116741672153</v>
      </c>
      <c r="F125" s="44">
        <v>125.5761426903778</v>
      </c>
      <c r="G125" s="44">
        <v>321.38637800726497</v>
      </c>
      <c r="H125" s="44">
        <v>316.95901400215547</v>
      </c>
      <c r="I125" s="44">
        <v>149.12166944482362</v>
      </c>
      <c r="J125" s="44">
        <v>140.46818525301873</v>
      </c>
      <c r="K125" s="44">
        <v>234.85153608921615</v>
      </c>
      <c r="L125" s="44">
        <v>290.19358615308454</v>
      </c>
      <c r="M125" s="17">
        <f t="shared" si="14"/>
        <v>84.65738118041041</v>
      </c>
      <c r="N125" s="18">
        <f t="shared" si="11"/>
        <v>12.378651358814125</v>
      </c>
      <c r="O125" s="18">
        <f t="shared" si="15"/>
        <v>53.635502483717126</v>
      </c>
      <c r="P125" s="18">
        <f t="shared" si="16"/>
        <v>18.643227337879164</v>
      </c>
      <c r="Q125" s="42">
        <f t="shared" si="12"/>
        <v>49.5146054352565</v>
      </c>
      <c r="R125" s="126"/>
      <c r="S125" s="186"/>
      <c r="T125" s="123"/>
      <c r="U125" s="123"/>
      <c r="V125" s="126"/>
      <c r="W125" s="126"/>
      <c r="X125" s="44"/>
      <c r="AB125" s="123"/>
      <c r="AC125" s="123"/>
    </row>
    <row r="126" spans="1:29" s="4" customFormat="1" ht="15">
      <c r="A126" s="109" t="s">
        <v>51</v>
      </c>
      <c r="B126" s="199">
        <f t="shared" si="13"/>
        <v>1071.6035074722038</v>
      </c>
      <c r="C126" s="44">
        <v>135.18611397726497</v>
      </c>
      <c r="D126" s="44">
        <v>67.52886605132134</v>
      </c>
      <c r="E126" s="44">
        <v>67.1437204274545</v>
      </c>
      <c r="F126" s="44">
        <v>70.2248854183893</v>
      </c>
      <c r="G126" s="44">
        <v>160.86248890172175</v>
      </c>
      <c r="H126" s="44">
        <v>143.65931770233573</v>
      </c>
      <c r="I126" s="44">
        <v>67.65724792594362</v>
      </c>
      <c r="J126" s="44">
        <v>76.38721540025894</v>
      </c>
      <c r="K126" s="44">
        <v>129.92245711775132</v>
      </c>
      <c r="L126" s="44">
        <v>153.03119454976243</v>
      </c>
      <c r="M126" s="17">
        <f t="shared" si="14"/>
        <v>42.63978284628782</v>
      </c>
      <c r="N126" s="18">
        <f t="shared" si="11"/>
        <v>6.456635302743325</v>
      </c>
      <c r="O126" s="18">
        <f t="shared" si="15"/>
        <v>27.730484918413325</v>
      </c>
      <c r="P126" s="18">
        <f t="shared" si="16"/>
        <v>8.452662625131175</v>
      </c>
      <c r="Q126" s="42">
        <f t="shared" si="12"/>
        <v>25.8265412109733</v>
      </c>
      <c r="R126" s="126"/>
      <c r="S126" s="186"/>
      <c r="T126" s="123"/>
      <c r="U126" s="123"/>
      <c r="V126" s="126"/>
      <c r="W126" s="126"/>
      <c r="X126" s="44"/>
      <c r="AB126" s="123"/>
      <c r="AC126" s="123"/>
    </row>
    <row r="127" spans="1:29" s="4" customFormat="1" ht="15">
      <c r="A127" s="109" t="s">
        <v>81</v>
      </c>
      <c r="B127" s="199">
        <f t="shared" si="13"/>
        <v>761.5883125194669</v>
      </c>
      <c r="C127" s="44">
        <v>99.2733763118612</v>
      </c>
      <c r="D127" s="44">
        <v>53.083680388981335</v>
      </c>
      <c r="E127" s="44">
        <v>43.7275586135579</v>
      </c>
      <c r="F127" s="44">
        <v>45.1063555067782</v>
      </c>
      <c r="G127" s="44">
        <v>115.42499706101322</v>
      </c>
      <c r="H127" s="44">
        <v>111.09163539660658</v>
      </c>
      <c r="I127" s="44">
        <v>49.73517364830347</v>
      </c>
      <c r="J127" s="44">
        <v>46.68212338474425</v>
      </c>
      <c r="K127" s="44">
        <v>86.47026230338703</v>
      </c>
      <c r="L127" s="44">
        <v>110.99314990423369</v>
      </c>
      <c r="M127" s="17">
        <f t="shared" si="14"/>
        <v>30.00594529899862</v>
      </c>
      <c r="N127" s="18">
        <f t="shared" si="11"/>
        <v>4.309110629067245</v>
      </c>
      <c r="O127" s="18">
        <f t="shared" si="15"/>
        <v>19.26376230813497</v>
      </c>
      <c r="P127" s="18">
        <f t="shared" si="16"/>
        <v>6.433072361796402</v>
      </c>
      <c r="Q127" s="42">
        <f t="shared" si="12"/>
        <v>17.23644251626898</v>
      </c>
      <c r="R127" s="126"/>
      <c r="S127" s="186"/>
      <c r="T127" s="123"/>
      <c r="U127" s="123"/>
      <c r="V127" s="126"/>
      <c r="W127" s="126"/>
      <c r="X127" s="44"/>
      <c r="AB127" s="123"/>
      <c r="AC127" s="123"/>
    </row>
    <row r="128" spans="1:29" s="4" customFormat="1" ht="15">
      <c r="A128" s="192" t="s">
        <v>89</v>
      </c>
      <c r="B128" s="199">
        <f>SUM(C128:L128)</f>
        <v>702.9939198995982</v>
      </c>
      <c r="C128" s="44">
        <v>86.7294581058629</v>
      </c>
      <c r="D128" s="44">
        <v>43.990934526619995</v>
      </c>
      <c r="E128" s="44">
        <v>41.32956126344369</v>
      </c>
      <c r="F128" s="44">
        <v>42.81679926345398</v>
      </c>
      <c r="G128" s="44">
        <v>97.68805389541237</v>
      </c>
      <c r="H128" s="44">
        <v>91.97392894800444</v>
      </c>
      <c r="I128" s="44">
        <v>45.16506978978601</v>
      </c>
      <c r="J128" s="44">
        <v>45.16506978978601</v>
      </c>
      <c r="K128" s="44">
        <v>83.52015505320914</v>
      </c>
      <c r="L128" s="44">
        <v>124.61488926401962</v>
      </c>
      <c r="M128" s="17">
        <f>SUM(N128:P128)</f>
        <v>26.35931886583826</v>
      </c>
      <c r="N128" s="18">
        <f t="shared" si="11"/>
        <v>4.013176537262681</v>
      </c>
      <c r="O128" s="18">
        <f>(+F128+G128)*0.12</f>
        <v>16.860582379063963</v>
      </c>
      <c r="P128" s="18">
        <f>(+H128+I128)*0.04</f>
        <v>5.485559949511618</v>
      </c>
      <c r="Q128" s="42">
        <f t="shared" si="12"/>
        <v>16.052706149050724</v>
      </c>
      <c r="R128" s="126"/>
      <c r="S128" s="186"/>
      <c r="T128" s="123"/>
      <c r="U128" s="123"/>
      <c r="V128" s="126"/>
      <c r="W128" s="126"/>
      <c r="X128" s="44"/>
      <c r="AB128" s="123"/>
      <c r="AC128" s="123"/>
    </row>
    <row r="129" spans="1:29" s="4" customFormat="1" ht="15">
      <c r="A129" s="105" t="s">
        <v>63</v>
      </c>
      <c r="B129" s="199">
        <f t="shared" si="13"/>
        <v>869.2318362477052</v>
      </c>
      <c r="C129" s="44">
        <v>117.28250406277846</v>
      </c>
      <c r="D129" s="44">
        <v>59.7044825424186</v>
      </c>
      <c r="E129" s="44">
        <v>50.70791667986238</v>
      </c>
      <c r="F129" s="44">
        <v>51.03506452940987</v>
      </c>
      <c r="G129" s="44">
        <v>130.61377893183905</v>
      </c>
      <c r="H129" s="44">
        <v>128.81446575932782</v>
      </c>
      <c r="I129" s="44">
        <v>60.60413912867423</v>
      </c>
      <c r="J129" s="44">
        <v>57.08729974603861</v>
      </c>
      <c r="K129" s="44">
        <v>95.4453851054829</v>
      </c>
      <c r="L129" s="44">
        <v>117.93679976187346</v>
      </c>
      <c r="M129" s="17">
        <f t="shared" si="14"/>
        <v>34.397567189681176</v>
      </c>
      <c r="N129" s="18">
        <f t="shared" si="11"/>
        <v>5.0229617788112195</v>
      </c>
      <c r="O129" s="18">
        <f t="shared" si="15"/>
        <v>21.797861215349872</v>
      </c>
      <c r="P129" s="18">
        <f t="shared" si="16"/>
        <v>7.5767441955200825</v>
      </c>
      <c r="Q129" s="42">
        <f t="shared" si="12"/>
        <v>20.091847115244878</v>
      </c>
      <c r="R129" s="126"/>
      <c r="S129" s="186"/>
      <c r="T129" s="123"/>
      <c r="U129" s="123"/>
      <c r="V129" s="126"/>
      <c r="W129" s="126"/>
      <c r="X129" s="44"/>
      <c r="AB129" s="123"/>
      <c r="AC129" s="123"/>
    </row>
    <row r="130" spans="1:29" s="4" customFormat="1" ht="15">
      <c r="A130" s="105" t="s">
        <v>64</v>
      </c>
      <c r="B130" s="199">
        <f t="shared" si="13"/>
        <v>432.7400346217813</v>
      </c>
      <c r="C130" s="44">
        <v>58.388145431655474</v>
      </c>
      <c r="D130" s="44">
        <v>29.72339342057775</v>
      </c>
      <c r="E130" s="44">
        <v>25.244525918846858</v>
      </c>
      <c r="F130" s="44">
        <v>25.407393828000707</v>
      </c>
      <c r="G130" s="44">
        <v>65.02501272967488</v>
      </c>
      <c r="H130" s="44">
        <v>64.1292392293287</v>
      </c>
      <c r="I130" s="44">
        <v>30.17128017075084</v>
      </c>
      <c r="J130" s="44">
        <v>28.420450147346944</v>
      </c>
      <c r="K130" s="44">
        <v>47.516712495635936</v>
      </c>
      <c r="L130" s="44">
        <v>58.71388124996317</v>
      </c>
      <c r="M130" s="17">
        <f t="shared" si="14"/>
        <v>17.156244979288154</v>
      </c>
      <c r="N130" s="18">
        <f t="shared" si="11"/>
        <v>2.5323354163639005</v>
      </c>
      <c r="O130" s="18">
        <f t="shared" si="15"/>
        <v>10.851888786921071</v>
      </c>
      <c r="P130" s="18">
        <f t="shared" si="16"/>
        <v>3.7720207760031816</v>
      </c>
      <c r="Q130" s="42">
        <f t="shared" si="12"/>
        <v>10.129341665455602</v>
      </c>
      <c r="R130" s="126"/>
      <c r="S130" s="186"/>
      <c r="T130" s="123"/>
      <c r="U130" s="123"/>
      <c r="V130" s="126"/>
      <c r="W130" s="126"/>
      <c r="X130" s="44"/>
      <c r="AB130" s="123"/>
      <c r="AC130" s="123"/>
    </row>
    <row r="131" spans="1:29" s="4" customFormat="1" ht="15">
      <c r="A131" s="105" t="s">
        <v>65</v>
      </c>
      <c r="B131" s="199">
        <f t="shared" si="13"/>
        <v>802.3238016002279</v>
      </c>
      <c r="C131" s="44">
        <v>108.25482983578536</v>
      </c>
      <c r="D131" s="44">
        <v>55.10880458864945</v>
      </c>
      <c r="E131" s="44">
        <v>46.80473814378446</v>
      </c>
      <c r="F131" s="44">
        <v>47.10670419632501</v>
      </c>
      <c r="G131" s="44">
        <v>120.55994647681256</v>
      </c>
      <c r="H131" s="44">
        <v>118.89913318783957</v>
      </c>
      <c r="I131" s="44">
        <v>55.93921123313595</v>
      </c>
      <c r="J131" s="44">
        <v>52.69307616832509</v>
      </c>
      <c r="K131" s="44">
        <v>88.09859582870398</v>
      </c>
      <c r="L131" s="44">
        <v>108.85876194086644</v>
      </c>
      <c r="M131" s="17">
        <f t="shared" si="14"/>
        <v>31.817717295778586</v>
      </c>
      <c r="N131" s="18">
        <f t="shared" si="11"/>
        <v>4.704185438163058</v>
      </c>
      <c r="O131" s="18">
        <f t="shared" si="15"/>
        <v>20.119998080776504</v>
      </c>
      <c r="P131" s="18">
        <f t="shared" si="16"/>
        <v>6.993533776839021</v>
      </c>
      <c r="Q131" s="42">
        <f t="shared" si="12"/>
        <v>18.81674175265223</v>
      </c>
      <c r="R131" s="126"/>
      <c r="S131" s="186"/>
      <c r="T131" s="123"/>
      <c r="U131" s="123"/>
      <c r="V131" s="126"/>
      <c r="W131" s="126"/>
      <c r="X131" s="44"/>
      <c r="AB131" s="123"/>
      <c r="AC131" s="123"/>
    </row>
    <row r="132" spans="1:29" s="4" customFormat="1" ht="15">
      <c r="A132" s="105" t="s">
        <v>66</v>
      </c>
      <c r="B132" s="199">
        <f t="shared" si="13"/>
        <v>958.2260917547123</v>
      </c>
      <c r="C132" s="44">
        <v>119.2640739809182</v>
      </c>
      <c r="D132" s="44">
        <v>64.71906520923591</v>
      </c>
      <c r="E132" s="44">
        <v>58.960165338922536</v>
      </c>
      <c r="F132" s="44">
        <v>58.768202009912095</v>
      </c>
      <c r="G132" s="44">
        <v>138.21359688752074</v>
      </c>
      <c r="H132" s="44">
        <v>136.07457693569006</v>
      </c>
      <c r="I132" s="44">
        <v>63.4850152370259</v>
      </c>
      <c r="J132" s="44">
        <v>57.726115366712534</v>
      </c>
      <c r="K132" s="44">
        <v>117.0153606982244</v>
      </c>
      <c r="L132" s="44">
        <v>143.9999200905499</v>
      </c>
      <c r="M132" s="17">
        <f t="shared" si="14"/>
        <v>37.330077956198394</v>
      </c>
      <c r="N132" s="18">
        <f t="shared" si="11"/>
        <v>5.709878401597814</v>
      </c>
      <c r="O132" s="18">
        <f t="shared" si="15"/>
        <v>23.63781586769194</v>
      </c>
      <c r="P132" s="18">
        <f t="shared" si="16"/>
        <v>7.982383686908638</v>
      </c>
      <c r="Q132" s="42">
        <f t="shared" si="12"/>
        <v>22.839513606391257</v>
      </c>
      <c r="R132" s="126"/>
      <c r="S132" s="186"/>
      <c r="T132" s="123"/>
      <c r="U132" s="123"/>
      <c r="V132" s="126"/>
      <c r="W132" s="126"/>
      <c r="X132" s="44"/>
      <c r="AB132" s="123"/>
      <c r="AC132" s="123"/>
    </row>
    <row r="133" spans="1:29" s="4" customFormat="1" ht="15">
      <c r="A133" s="105" t="s">
        <v>67</v>
      </c>
      <c r="B133" s="199">
        <f t="shared" si="13"/>
        <v>1333.2517269365615</v>
      </c>
      <c r="C133" s="44">
        <v>191.33545711928141</v>
      </c>
      <c r="D133" s="44">
        <v>91.60341329403506</v>
      </c>
      <c r="E133" s="44">
        <v>78.62886840767857</v>
      </c>
      <c r="F133" s="44">
        <v>79.0978278614023</v>
      </c>
      <c r="G133" s="44">
        <v>216.34662798454698</v>
      </c>
      <c r="H133" s="44">
        <v>190.39753821183396</v>
      </c>
      <c r="I133" s="44">
        <v>91.44709347612715</v>
      </c>
      <c r="J133" s="44">
        <v>83.63110258073166</v>
      </c>
      <c r="K133" s="44">
        <v>142.56367393201361</v>
      </c>
      <c r="L133" s="44">
        <v>168.2001240689108</v>
      </c>
      <c r="M133" s="17">
        <f t="shared" si="14"/>
        <v>56.20846325261445</v>
      </c>
      <c r="N133" s="18">
        <f t="shared" si="11"/>
        <v>9.48134328358209</v>
      </c>
      <c r="O133" s="18">
        <f t="shared" si="15"/>
        <v>35.45333470151391</v>
      </c>
      <c r="P133" s="18">
        <f t="shared" si="16"/>
        <v>11.273785267518445</v>
      </c>
      <c r="Q133" s="42">
        <f t="shared" si="12"/>
        <v>37.92537313432836</v>
      </c>
      <c r="R133" s="126"/>
      <c r="S133" s="186"/>
      <c r="T133" s="123"/>
      <c r="U133" s="123"/>
      <c r="V133" s="126"/>
      <c r="W133" s="126"/>
      <c r="X133" s="44"/>
      <c r="AB133" s="123"/>
      <c r="AC133" s="123"/>
    </row>
    <row r="134" spans="1:29" s="4" customFormat="1" ht="15">
      <c r="A134" s="105" t="s">
        <v>68</v>
      </c>
      <c r="B134" s="199">
        <f t="shared" si="13"/>
        <v>609.9430883201605</v>
      </c>
      <c r="C134" s="44">
        <v>75.24963165112324</v>
      </c>
      <c r="D134" s="44">
        <v>38.16813446564193</v>
      </c>
      <c r="E134" s="44">
        <v>35.8590302453006</v>
      </c>
      <c r="F134" s="44">
        <v>37.14941201549134</v>
      </c>
      <c r="G134" s="44">
        <v>84.7577078525287</v>
      </c>
      <c r="H134" s="44">
        <v>79.79992526179585</v>
      </c>
      <c r="I134" s="44">
        <v>39.18685691579252</v>
      </c>
      <c r="J134" s="44">
        <v>39.18685691579252</v>
      </c>
      <c r="K134" s="44">
        <v>72.46512362071164</v>
      </c>
      <c r="L134" s="44">
        <v>108.12040937598212</v>
      </c>
      <c r="M134" s="17">
        <f t="shared" si="14"/>
        <v>22.870303568687305</v>
      </c>
      <c r="N134" s="18">
        <f t="shared" si="11"/>
        <v>3.4819778974213658</v>
      </c>
      <c r="O134" s="18">
        <f t="shared" si="15"/>
        <v>14.628854384162404</v>
      </c>
      <c r="P134" s="18">
        <f t="shared" si="16"/>
        <v>4.759471287103535</v>
      </c>
      <c r="Q134" s="42">
        <f t="shared" si="12"/>
        <v>13.927911589685463</v>
      </c>
      <c r="R134" s="126"/>
      <c r="S134" s="186"/>
      <c r="T134" s="123"/>
      <c r="U134" s="123"/>
      <c r="V134" s="126"/>
      <c r="W134" s="126"/>
      <c r="X134" s="44"/>
      <c r="AB134" s="123"/>
      <c r="AC134" s="123"/>
    </row>
    <row r="135" spans="1:29" s="4" customFormat="1" ht="15">
      <c r="A135" s="105" t="s">
        <v>69</v>
      </c>
      <c r="B135" s="199">
        <f t="shared" si="13"/>
        <v>684.2502991000418</v>
      </c>
      <c r="C135" s="44">
        <v>84.4170283267839</v>
      </c>
      <c r="D135" s="44">
        <v>42.81802339318823</v>
      </c>
      <c r="E135" s="44">
        <v>40.22760916655406</v>
      </c>
      <c r="F135" s="44">
        <v>41.67519358732021</v>
      </c>
      <c r="G135" s="44">
        <v>95.08343984821869</v>
      </c>
      <c r="H135" s="44">
        <v>89.5216681263277</v>
      </c>
      <c r="I135" s="44">
        <v>43.96085319905624</v>
      </c>
      <c r="J135" s="44">
        <v>43.96085319905624</v>
      </c>
      <c r="K135" s="44">
        <v>81.293293524078</v>
      </c>
      <c r="L135" s="44">
        <v>121.29233672945846</v>
      </c>
      <c r="M135" s="17">
        <f t="shared" si="14"/>
        <v>25.681790534874814</v>
      </c>
      <c r="N135" s="18">
        <f t="shared" si="11"/>
        <v>3.931453669594786</v>
      </c>
      <c r="O135" s="18">
        <f t="shared" si="15"/>
        <v>16.41103601226467</v>
      </c>
      <c r="P135" s="18">
        <f t="shared" si="16"/>
        <v>5.339300853015358</v>
      </c>
      <c r="Q135" s="42">
        <f t="shared" si="12"/>
        <v>15.725814678379145</v>
      </c>
      <c r="R135" s="126"/>
      <c r="S135" s="186"/>
      <c r="T135" s="123"/>
      <c r="U135" s="123"/>
      <c r="V135" s="126"/>
      <c r="W135" s="126"/>
      <c r="X135" s="44"/>
      <c r="AB135" s="123"/>
      <c r="AC135" s="123"/>
    </row>
    <row r="136" spans="1:29" s="4" customFormat="1" ht="15">
      <c r="A136" s="105" t="s">
        <v>70</v>
      </c>
      <c r="B136" s="199">
        <f t="shared" si="13"/>
        <v>562.3606229032814</v>
      </c>
      <c r="C136" s="44">
        <v>69.37930855994163</v>
      </c>
      <c r="D136" s="44">
        <v>35.190587915782665</v>
      </c>
      <c r="E136" s="44">
        <v>33.061619963582295</v>
      </c>
      <c r="F136" s="44">
        <v>34.251337348635445</v>
      </c>
      <c r="G136" s="44">
        <v>78.14564718664906</v>
      </c>
      <c r="H136" s="44">
        <v>73.57462775986589</v>
      </c>
      <c r="I136" s="44">
        <v>36.12983848292989</v>
      </c>
      <c r="J136" s="44">
        <v>36.12983848292989</v>
      </c>
      <c r="K136" s="44">
        <v>66.81202367640589</v>
      </c>
      <c r="L136" s="44">
        <v>99.68579352655873</v>
      </c>
      <c r="M136" s="17">
        <f t="shared" si="14"/>
        <v>21.10387006682781</v>
      </c>
      <c r="N136" s="18">
        <f t="shared" si="11"/>
        <v>3.2280532728818363</v>
      </c>
      <c r="O136" s="18">
        <f t="shared" si="15"/>
        <v>13.48763814423414</v>
      </c>
      <c r="P136" s="18">
        <f t="shared" si="16"/>
        <v>4.388178649711831</v>
      </c>
      <c r="Q136" s="42">
        <f t="shared" si="12"/>
        <v>12.912213091527345</v>
      </c>
      <c r="R136" s="126"/>
      <c r="S136" s="186"/>
      <c r="T136" s="123"/>
      <c r="U136" s="123"/>
      <c r="V136" s="126"/>
      <c r="W136" s="126"/>
      <c r="X136" s="44"/>
      <c r="AB136" s="123"/>
      <c r="AC136" s="123"/>
    </row>
    <row r="137" spans="1:29" s="4" customFormat="1" ht="15">
      <c r="A137" s="105" t="s">
        <v>71</v>
      </c>
      <c r="B137" s="199">
        <f t="shared" si="13"/>
        <v>1246.420137618132</v>
      </c>
      <c r="C137" s="44">
        <v>153.77279951908363</v>
      </c>
      <c r="D137" s="44">
        <v>77.99667268025723</v>
      </c>
      <c r="E137" s="44">
        <v>73.27801276721675</v>
      </c>
      <c r="F137" s="44">
        <v>75.91491095391585</v>
      </c>
      <c r="G137" s="44">
        <v>173.20257563160325</v>
      </c>
      <c r="H137" s="44">
        <v>163.07133523007516</v>
      </c>
      <c r="I137" s="44">
        <v>80.07843440659862</v>
      </c>
      <c r="J137" s="44">
        <v>80.07843440659862</v>
      </c>
      <c r="K137" s="44">
        <v>148.08265080041718</v>
      </c>
      <c r="L137" s="44">
        <v>220.94431122236568</v>
      </c>
      <c r="M137" s="17">
        <f t="shared" si="14"/>
        <v>46.937204505851085</v>
      </c>
      <c r="N137" s="18">
        <f t="shared" si="11"/>
        <v>7.3171153301218474</v>
      </c>
      <c r="O137" s="18">
        <f t="shared" si="15"/>
        <v>29.89409839026229</v>
      </c>
      <c r="P137" s="18">
        <f t="shared" si="16"/>
        <v>9.725990785466951</v>
      </c>
      <c r="Q137" s="42">
        <f t="shared" si="12"/>
        <v>29.26846132048739</v>
      </c>
      <c r="R137" s="126"/>
      <c r="S137" s="186"/>
      <c r="T137" s="123"/>
      <c r="U137" s="123"/>
      <c r="V137" s="126"/>
      <c r="W137" s="126"/>
      <c r="X137" s="44"/>
      <c r="AB137" s="123"/>
      <c r="AC137" s="123"/>
    </row>
    <row r="138" spans="1:29" s="4" customFormat="1" ht="15">
      <c r="A138" s="105" t="s">
        <v>72</v>
      </c>
      <c r="B138" s="199">
        <f t="shared" si="13"/>
        <v>697.8221219054169</v>
      </c>
      <c r="C138" s="44">
        <v>88.03243013854126</v>
      </c>
      <c r="D138" s="44">
        <v>43.97441429522574</v>
      </c>
      <c r="E138" s="44">
        <v>43.72360965095639</v>
      </c>
      <c r="F138" s="44">
        <v>45.73004680511118</v>
      </c>
      <c r="G138" s="44">
        <v>104.75273975649782</v>
      </c>
      <c r="H138" s="44">
        <v>93.55013231246693</v>
      </c>
      <c r="I138" s="44">
        <v>44.05801584331552</v>
      </c>
      <c r="J138" s="44">
        <v>49.74292111342075</v>
      </c>
      <c r="K138" s="44">
        <v>84.60476666686017</v>
      </c>
      <c r="L138" s="44">
        <v>99.65304532302108</v>
      </c>
      <c r="M138" s="17">
        <f t="shared" si="14"/>
        <v>27.783788388409004</v>
      </c>
      <c r="N138" s="18">
        <f t="shared" si="11"/>
        <v>4.2215280747846275</v>
      </c>
      <c r="O138" s="18">
        <f t="shared" si="15"/>
        <v>18.05793438739308</v>
      </c>
      <c r="P138" s="18">
        <f t="shared" si="16"/>
        <v>5.5043259262312985</v>
      </c>
      <c r="Q138" s="42">
        <f t="shared" si="12"/>
        <v>16.88611229913851</v>
      </c>
      <c r="R138" s="126"/>
      <c r="S138" s="186"/>
      <c r="T138" s="123"/>
      <c r="U138" s="123"/>
      <c r="V138" s="126"/>
      <c r="W138" s="126"/>
      <c r="X138" s="44"/>
      <c r="AB138" s="123"/>
      <c r="AC138" s="123"/>
    </row>
    <row r="139" spans="2:29" s="59" customFormat="1" ht="26.25" customHeight="1">
      <c r="B139" s="42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17"/>
      <c r="N139" s="61"/>
      <c r="O139" s="61"/>
      <c r="P139" s="61"/>
      <c r="Q139" s="42"/>
      <c r="R139" s="126"/>
      <c r="S139" s="186"/>
      <c r="T139" s="123"/>
      <c r="U139" s="123"/>
      <c r="V139" s="126"/>
      <c r="W139" s="126"/>
      <c r="X139" s="44"/>
      <c r="Z139" s="4"/>
      <c r="AA139" s="4"/>
      <c r="AB139" s="123"/>
      <c r="AC139" s="123"/>
    </row>
    <row r="140" spans="1:29" s="4" customFormat="1" ht="15">
      <c r="A140" s="54" t="s">
        <v>18</v>
      </c>
      <c r="B140" s="55">
        <f t="shared" si="13"/>
        <v>2050.766836224535</v>
      </c>
      <c r="C140" s="44">
        <v>255.24540583654345</v>
      </c>
      <c r="D140" s="44">
        <v>138.50980863974306</v>
      </c>
      <c r="E140" s="44">
        <v>126.18478329468118</v>
      </c>
      <c r="F140" s="44">
        <v>125.77394911651244</v>
      </c>
      <c r="G140" s="44">
        <v>295.80060828148515</v>
      </c>
      <c r="H140" s="44">
        <v>291.2227417247479</v>
      </c>
      <c r="I140" s="44">
        <v>135.86873178008693</v>
      </c>
      <c r="J140" s="44">
        <v>123.54370643502506</v>
      </c>
      <c r="K140" s="44">
        <v>250.4327768922812</v>
      </c>
      <c r="L140" s="44">
        <v>308.1843242234283</v>
      </c>
      <c r="M140" s="56">
        <f t="shared" si="14"/>
        <v>79.92422493711263</v>
      </c>
      <c r="N140" s="57">
        <f>(+D44+E44)*0.125</f>
        <v>12.251619109159531</v>
      </c>
      <c r="O140" s="57">
        <f t="shared" si="15"/>
        <v>50.58894688775971</v>
      </c>
      <c r="P140" s="57">
        <f t="shared" si="16"/>
        <v>17.083658940193395</v>
      </c>
      <c r="Q140" s="55">
        <f>D44</f>
        <v>49.006476436638124</v>
      </c>
      <c r="R140" s="126"/>
      <c r="S140" s="186"/>
      <c r="T140" s="123"/>
      <c r="U140" s="123"/>
      <c r="V140" s="126"/>
      <c r="W140" s="126"/>
      <c r="X140" s="44"/>
      <c r="AB140" s="123"/>
      <c r="AC140" s="123"/>
    </row>
    <row r="141" spans="2:24" s="4" customFormat="1" ht="1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2:12" s="4" customFormat="1" ht="1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2:12" s="4" customFormat="1" ht="1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2:11" s="4" customFormat="1" ht="15"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="4" customFormat="1" ht="15">
      <c r="E145" s="4" t="s">
        <v>33</v>
      </c>
    </row>
    <row r="146" s="4" customFormat="1" ht="15"/>
    <row r="147" s="4" customFormat="1" ht="15">
      <c r="G147" s="4" t="str">
        <f>+G3</f>
        <v>           SERVICIO DE SALUD ACONCAGUA  2021</v>
      </c>
    </row>
    <row r="148" s="4" customFormat="1" ht="15"/>
    <row r="149" s="4" customFormat="1" ht="15.75" thickBot="1">
      <c r="K149" s="59"/>
    </row>
    <row r="150" spans="1:18" s="4" customFormat="1" ht="15">
      <c r="A150" s="175"/>
      <c r="B150" s="180"/>
      <c r="C150" s="152"/>
      <c r="D150" s="152"/>
      <c r="E150" s="152"/>
      <c r="F150" s="152"/>
      <c r="G150" s="152"/>
      <c r="H150" s="152"/>
      <c r="I150" s="152"/>
      <c r="J150" s="152"/>
      <c r="K150" s="152"/>
      <c r="L150" s="166"/>
      <c r="M150" s="152"/>
      <c r="N150" s="152"/>
      <c r="O150" s="152"/>
      <c r="P150" s="166"/>
      <c r="Q150" s="166"/>
      <c r="R150"/>
    </row>
    <row r="151" spans="1:18" s="4" customFormat="1" ht="15">
      <c r="A151" s="105"/>
      <c r="B151" s="181"/>
      <c r="C151" s="59"/>
      <c r="D151" s="59"/>
      <c r="E151" s="213" t="s">
        <v>23</v>
      </c>
      <c r="F151" s="213"/>
      <c r="G151" s="213"/>
      <c r="H151" s="213"/>
      <c r="I151" s="213"/>
      <c r="J151" s="213"/>
      <c r="K151" s="59"/>
      <c r="L151" s="176"/>
      <c r="M151" s="59"/>
      <c r="N151" s="59" t="s">
        <v>24</v>
      </c>
      <c r="O151" s="59"/>
      <c r="P151" s="176"/>
      <c r="Q151" s="167" t="s">
        <v>25</v>
      </c>
      <c r="R151"/>
    </row>
    <row r="152" spans="1:18" s="4" customFormat="1" ht="15.75" thickBot="1">
      <c r="A152" s="105"/>
      <c r="B152" s="181"/>
      <c r="C152" s="179" t="s">
        <v>1</v>
      </c>
      <c r="D152" s="170"/>
      <c r="E152" s="170"/>
      <c r="F152" s="170"/>
      <c r="G152" s="170"/>
      <c r="H152" s="170"/>
      <c r="I152" s="170"/>
      <c r="J152" s="170"/>
      <c r="K152" s="170"/>
      <c r="L152" s="177"/>
      <c r="M152" s="170"/>
      <c r="N152" s="170"/>
      <c r="O152" s="170"/>
      <c r="P152" s="177"/>
      <c r="Q152" s="167"/>
      <c r="R152"/>
    </row>
    <row r="153" spans="1:19" s="4" customFormat="1" ht="15">
      <c r="A153" s="105"/>
      <c r="B153" s="182" t="s">
        <v>5</v>
      </c>
      <c r="C153" s="59"/>
      <c r="D153" s="59"/>
      <c r="E153" s="59"/>
      <c r="F153" s="59"/>
      <c r="G153" s="59"/>
      <c r="H153" s="59"/>
      <c r="I153" s="59"/>
      <c r="J153" s="59"/>
      <c r="K153" s="114"/>
      <c r="L153" s="120"/>
      <c r="M153" s="118"/>
      <c r="N153" s="60"/>
      <c r="O153" s="60"/>
      <c r="P153" s="60"/>
      <c r="Q153" s="168" t="s">
        <v>26</v>
      </c>
      <c r="R153"/>
      <c r="S153" s="60"/>
    </row>
    <row r="154" spans="1:24" s="4" customFormat="1" ht="15">
      <c r="A154" s="178" t="s">
        <v>6</v>
      </c>
      <c r="B154" s="181"/>
      <c r="C154" s="60" t="s">
        <v>27</v>
      </c>
      <c r="D154" s="60" t="s">
        <v>9</v>
      </c>
      <c r="E154" s="60" t="s">
        <v>10</v>
      </c>
      <c r="F154" s="60" t="s">
        <v>82</v>
      </c>
      <c r="G154" s="60" t="s">
        <v>52</v>
      </c>
      <c r="H154" s="60" t="s">
        <v>53</v>
      </c>
      <c r="I154" s="60" t="s">
        <v>28</v>
      </c>
      <c r="J154" s="60" t="s">
        <v>73</v>
      </c>
      <c r="K154" s="119" t="s">
        <v>49</v>
      </c>
      <c r="L154" s="120" t="s">
        <v>29</v>
      </c>
      <c r="M154" s="118" t="s">
        <v>12</v>
      </c>
      <c r="N154" s="60" t="s">
        <v>30</v>
      </c>
      <c r="O154" s="60" t="s">
        <v>31</v>
      </c>
      <c r="P154" s="60" t="s">
        <v>83</v>
      </c>
      <c r="Q154" s="168"/>
      <c r="R154" s="132"/>
      <c r="S154" s="201" t="s">
        <v>92</v>
      </c>
      <c r="T154" s="132"/>
      <c r="U154" s="132"/>
      <c r="V154" s="188"/>
      <c r="W154" s="188"/>
      <c r="X154" s="188"/>
    </row>
    <row r="155" spans="1:23" s="4" customFormat="1" ht="15">
      <c r="A155" s="105"/>
      <c r="B155" s="182" t="s">
        <v>12</v>
      </c>
      <c r="C155" s="60" t="s">
        <v>16</v>
      </c>
      <c r="D155" s="60" t="s">
        <v>16</v>
      </c>
      <c r="E155" s="60" t="s">
        <v>16</v>
      </c>
      <c r="F155" s="60" t="s">
        <v>16</v>
      </c>
      <c r="G155" s="60" t="s">
        <v>16</v>
      </c>
      <c r="H155" s="60" t="s">
        <v>16</v>
      </c>
      <c r="I155" s="60" t="s">
        <v>16</v>
      </c>
      <c r="J155" s="60" t="s">
        <v>16</v>
      </c>
      <c r="K155" s="119" t="s">
        <v>16</v>
      </c>
      <c r="L155" s="120" t="s">
        <v>16</v>
      </c>
      <c r="M155" s="118"/>
      <c r="N155" s="60" t="s">
        <v>16</v>
      </c>
      <c r="O155" s="60" t="s">
        <v>16</v>
      </c>
      <c r="P155" s="60" t="s">
        <v>16</v>
      </c>
      <c r="Q155" s="168" t="s">
        <v>32</v>
      </c>
      <c r="R155" s="132"/>
      <c r="S155" s="60" t="s">
        <v>16</v>
      </c>
      <c r="T155" s="132"/>
      <c r="U155" s="132"/>
      <c r="V155" s="132"/>
      <c r="W155" s="201"/>
    </row>
    <row r="156" spans="1:21" s="4" customFormat="1" ht="15.75" thickBot="1">
      <c r="A156" s="49"/>
      <c r="B156" s="183"/>
      <c r="C156" s="170"/>
      <c r="D156" s="170"/>
      <c r="E156" s="170"/>
      <c r="F156" s="170"/>
      <c r="G156" s="170"/>
      <c r="H156" s="170"/>
      <c r="I156" s="170"/>
      <c r="J156" s="170"/>
      <c r="K156" s="171"/>
      <c r="L156" s="172"/>
      <c r="M156" s="169"/>
      <c r="N156" s="170"/>
      <c r="O156" s="173"/>
      <c r="P156" s="173"/>
      <c r="Q156" s="174"/>
      <c r="R156" s="131"/>
      <c r="T156" s="127"/>
      <c r="U156" s="128"/>
    </row>
    <row r="157" spans="1:18" s="4" customFormat="1" ht="15">
      <c r="A157" s="15"/>
      <c r="B157" s="15"/>
      <c r="C157" s="14"/>
      <c r="D157" s="59"/>
      <c r="E157" s="59"/>
      <c r="F157" s="59"/>
      <c r="G157" s="59"/>
      <c r="H157" s="59"/>
      <c r="I157" s="59"/>
      <c r="J157" s="59"/>
      <c r="K157" s="59"/>
      <c r="L157" s="61"/>
      <c r="M157" s="61"/>
      <c r="N157" s="61"/>
      <c r="O157" s="61"/>
      <c r="P157" s="61"/>
      <c r="Q157" s="19"/>
      <c r="R157"/>
    </row>
    <row r="158" spans="1:25" s="4" customFormat="1" ht="15">
      <c r="A158" s="15" t="s">
        <v>17</v>
      </c>
      <c r="B158" s="42">
        <f aca="true" t="shared" si="17" ref="B158:Q158">SUM(B159:B189)</f>
        <v>124930.25994692557</v>
      </c>
      <c r="C158" s="17">
        <f t="shared" si="17"/>
        <v>16034.925070796964</v>
      </c>
      <c r="D158" s="61">
        <f t="shared" si="17"/>
        <v>8480.481339948607</v>
      </c>
      <c r="E158" s="61">
        <f t="shared" si="17"/>
        <v>7537.887809187712</v>
      </c>
      <c r="F158" s="61">
        <f t="shared" si="17"/>
        <v>7817.001654129553</v>
      </c>
      <c r="G158" s="18">
        <f t="shared" si="17"/>
        <v>18932.52946747428</v>
      </c>
      <c r="H158" s="18">
        <f t="shared" si="17"/>
        <v>17525.420196867566</v>
      </c>
      <c r="I158" s="18">
        <f t="shared" si="17"/>
        <v>8092.9365242679305</v>
      </c>
      <c r="J158" s="18">
        <f t="shared" si="17"/>
        <v>7800.959090532252</v>
      </c>
      <c r="K158" s="61">
        <f t="shared" si="17"/>
        <v>14571.915377664685</v>
      </c>
      <c r="L158" s="61">
        <f t="shared" si="17"/>
        <v>18136.203416056054</v>
      </c>
      <c r="M158" s="18">
        <f t="shared" si="17"/>
        <v>4587.316620050312</v>
      </c>
      <c r="N158" s="18">
        <f t="shared" si="17"/>
        <v>695.5987047126724</v>
      </c>
      <c r="O158" s="18">
        <f t="shared" si="17"/>
        <v>2949.2568424897927</v>
      </c>
      <c r="P158" s="18">
        <f t="shared" si="17"/>
        <v>942.4610728478453</v>
      </c>
      <c r="Q158" s="19">
        <f t="shared" si="17"/>
        <v>2567.2992771075224</v>
      </c>
      <c r="R158" s="103"/>
      <c r="S158" s="103">
        <f>SUM(S159:S187)</f>
        <v>23007.64158775889</v>
      </c>
      <c r="T158" s="103"/>
      <c r="U158" s="103"/>
      <c r="V158" s="103"/>
      <c r="W158" s="103"/>
      <c r="X158" s="103"/>
      <c r="Y158" s="103"/>
    </row>
    <row r="159" spans="1:25" s="4" customFormat="1" ht="15">
      <c r="A159" s="93" t="s">
        <v>55</v>
      </c>
      <c r="B159" s="42">
        <f>SUM(C159:L159)</f>
        <v>11166.708799999999</v>
      </c>
      <c r="C159" s="18">
        <v>1455.30628</v>
      </c>
      <c r="D159" s="18">
        <v>727.65314</v>
      </c>
      <c r="E159" s="18">
        <v>684.70426</v>
      </c>
      <c r="F159" s="18">
        <v>712.78622</v>
      </c>
      <c r="G159" s="18">
        <v>1695.65482</v>
      </c>
      <c r="H159" s="18">
        <v>1532.1187</v>
      </c>
      <c r="I159" s="18">
        <v>743.346</v>
      </c>
      <c r="J159" s="18">
        <v>666.53358</v>
      </c>
      <c r="K159" s="18">
        <v>1343.80438</v>
      </c>
      <c r="L159" s="18">
        <v>1604.80142</v>
      </c>
      <c r="M159" s="18">
        <f aca="true" t="shared" si="18" ref="M159:M187">SUM(N159:P159)</f>
        <v>433.796</v>
      </c>
      <c r="N159" s="18">
        <f aca="true" t="shared" si="19" ref="N159:P187">N110*0.8</f>
        <v>65.7</v>
      </c>
      <c r="O159" s="18">
        <f t="shared" si="19"/>
        <v>279.936</v>
      </c>
      <c r="P159" s="18">
        <f t="shared" si="19"/>
        <v>88.16000000000001</v>
      </c>
      <c r="Q159" s="19">
        <f>Q110*0.91</f>
        <v>293.02</v>
      </c>
      <c r="R159"/>
      <c r="S159" s="186">
        <f>+J159+K159+0.035*L159</f>
        <v>2066.5060097</v>
      </c>
      <c r="T159" s="123"/>
      <c r="U159" s="123"/>
      <c r="V159" s="103"/>
      <c r="W159" s="103"/>
      <c r="X159" s="44"/>
      <c r="Y159" s="123"/>
    </row>
    <row r="160" spans="1:25" s="4" customFormat="1" ht="15">
      <c r="A160" s="93" t="s">
        <v>84</v>
      </c>
      <c r="B160" s="42">
        <f aca="true" t="shared" si="20" ref="B160:B187">SUM(C160:L160)</f>
        <v>16499.912558977325</v>
      </c>
      <c r="C160" s="18">
        <v>2111.214555282402</v>
      </c>
      <c r="D160" s="18">
        <v>1147.989650371895</v>
      </c>
      <c r="E160" s="18">
        <v>992.6801541869602</v>
      </c>
      <c r="F160" s="18">
        <v>1074.1602593283176</v>
      </c>
      <c r="G160" s="18">
        <v>2610.806185867438</v>
      </c>
      <c r="H160" s="18">
        <v>2278.7651940237847</v>
      </c>
      <c r="I160" s="18">
        <v>1004.5387610385192</v>
      </c>
      <c r="J160" s="18">
        <v>1028.6385104465264</v>
      </c>
      <c r="K160" s="18">
        <v>1888.9613107418916</v>
      </c>
      <c r="L160" s="18">
        <v>2362.157977689587</v>
      </c>
      <c r="M160" s="18">
        <f t="shared" si="18"/>
        <v>589.210308984881</v>
      </c>
      <c r="N160" s="18">
        <f t="shared" si="19"/>
        <v>87.91068100701847</v>
      </c>
      <c r="O160" s="18">
        <f t="shared" si="19"/>
        <v>386.50706869783494</v>
      </c>
      <c r="P160" s="18">
        <f t="shared" si="19"/>
        <v>114.79255928002759</v>
      </c>
      <c r="Q160" s="19">
        <f>Q111*0.784</f>
        <v>344.6098695475124</v>
      </c>
      <c r="R160"/>
      <c r="S160" s="186">
        <f aca="true" t="shared" si="21" ref="S160:S187">+J160+K160+0.035*L160</f>
        <v>3000.2753504075536</v>
      </c>
      <c r="T160" s="123"/>
      <c r="U160" s="123"/>
      <c r="V160" s="103"/>
      <c r="W160" s="209"/>
      <c r="X160" s="44"/>
      <c r="Y160" s="123"/>
    </row>
    <row r="161" spans="1:25" s="4" customFormat="1" ht="15">
      <c r="A161" s="93" t="s">
        <v>85</v>
      </c>
      <c r="B161" s="42">
        <f t="shared" si="20"/>
        <v>17562.666566509244</v>
      </c>
      <c r="C161" s="18">
        <v>2247.197198909524</v>
      </c>
      <c r="D161" s="18">
        <v>1221.9312908004135</v>
      </c>
      <c r="E161" s="18">
        <v>1056.618360422217</v>
      </c>
      <c r="F161" s="18">
        <v>1143.3465726649654</v>
      </c>
      <c r="G161" s="18">
        <v>2778.9673641162353</v>
      </c>
      <c r="H161" s="18">
        <v>2425.5397198594014</v>
      </c>
      <c r="I161" s="18">
        <v>1069.2407762885325</v>
      </c>
      <c r="J161" s="18">
        <v>1094.8927827265284</v>
      </c>
      <c r="K161" s="18">
        <v>2010.6286950924496</v>
      </c>
      <c r="L161" s="18">
        <v>2514.3038056289747</v>
      </c>
      <c r="M161" s="18">
        <f t="shared" si="18"/>
        <v>627.2191224883418</v>
      </c>
      <c r="N161" s="18">
        <f t="shared" si="19"/>
        <v>93.63094833161665</v>
      </c>
      <c r="O161" s="18">
        <f t="shared" si="19"/>
        <v>411.40186342658336</v>
      </c>
      <c r="P161" s="18">
        <f t="shared" si="19"/>
        <v>122.18631073014171</v>
      </c>
      <c r="Q161" s="19">
        <f>Q112*0.784</f>
        <v>367.0333174599372</v>
      </c>
      <c r="R161" s="126"/>
      <c r="S161" s="186">
        <f t="shared" si="21"/>
        <v>3193.522111015992</v>
      </c>
      <c r="T161" s="123"/>
      <c r="U161" s="123"/>
      <c r="V161" s="103"/>
      <c r="W161" s="209"/>
      <c r="X161" s="44"/>
      <c r="Y161" s="123"/>
    </row>
    <row r="162" spans="1:24" s="4" customFormat="1" ht="15">
      <c r="A162" s="99" t="s">
        <v>86</v>
      </c>
      <c r="B162" s="42">
        <f t="shared" si="20"/>
        <v>16524.031693407156</v>
      </c>
      <c r="C162" s="18">
        <v>2056.6371081972334</v>
      </c>
      <c r="D162" s="18">
        <v>1116.0412911808394</v>
      </c>
      <c r="E162" s="18">
        <v>1016.7325322198325</v>
      </c>
      <c r="F162" s="18">
        <v>1013.4222402544656</v>
      </c>
      <c r="G162" s="18">
        <v>2383.4102150641656</v>
      </c>
      <c r="H162" s="18">
        <v>2346.5241045929342</v>
      </c>
      <c r="I162" s="18">
        <v>1094.760842832052</v>
      </c>
      <c r="J162" s="18">
        <v>995.4520838710454</v>
      </c>
      <c r="K162" s="18">
        <v>2017.8594023172209</v>
      </c>
      <c r="L162" s="18">
        <v>2483.1918728773676</v>
      </c>
      <c r="M162" s="18">
        <f t="shared" si="18"/>
        <v>527.0071870513151</v>
      </c>
      <c r="N162" s="18">
        <f t="shared" si="19"/>
        <v>80.61235075558427</v>
      </c>
      <c r="O162" s="18">
        <f t="shared" si="19"/>
        <v>333.704375471335</v>
      </c>
      <c r="P162" s="18">
        <f t="shared" si="19"/>
        <v>112.6904608243958</v>
      </c>
      <c r="Q162" s="19">
        <f>Q113*0.67</f>
        <v>270.05137503120733</v>
      </c>
      <c r="R162"/>
      <c r="S162" s="186">
        <f t="shared" si="21"/>
        <v>3100.2232017389742</v>
      </c>
      <c r="T162" s="123"/>
      <c r="U162" s="123"/>
      <c r="V162" s="103"/>
      <c r="W162" s="103"/>
      <c r="X162" s="44"/>
    </row>
    <row r="163" spans="1:24" s="4" customFormat="1" ht="15">
      <c r="A163" s="99" t="s">
        <v>87</v>
      </c>
      <c r="B163" s="42">
        <f t="shared" si="20"/>
        <v>12854.789130859954</v>
      </c>
      <c r="C163" s="18">
        <v>1599.9507163330645</v>
      </c>
      <c r="D163" s="18">
        <v>868.2188297415571</v>
      </c>
      <c r="E163" s="18">
        <v>790.962069467944</v>
      </c>
      <c r="F163" s="18">
        <v>788.3868441254903</v>
      </c>
      <c r="G163" s="18">
        <v>1854.1622465667153</v>
      </c>
      <c r="H163" s="18">
        <v>1825.4668784650876</v>
      </c>
      <c r="I163" s="18">
        <v>851.6638096829257</v>
      </c>
      <c r="J163" s="18">
        <v>774.4070494093127</v>
      </c>
      <c r="K163" s="18">
        <v>1569.7837908928916</v>
      </c>
      <c r="L163" s="18">
        <v>1931.7868961749646</v>
      </c>
      <c r="M163" s="18">
        <f t="shared" si="18"/>
        <v>409.9808505104076</v>
      </c>
      <c r="N163" s="18">
        <f t="shared" si="19"/>
        <v>62.710184600472886</v>
      </c>
      <c r="O163" s="18">
        <f t="shared" si="19"/>
        <v>259.60367653136694</v>
      </c>
      <c r="P163" s="18">
        <f t="shared" si="19"/>
        <v>87.66698937856778</v>
      </c>
      <c r="Q163" s="19">
        <f>Q114*0.67</f>
        <v>210.07911841158418</v>
      </c>
      <c r="R163" s="126"/>
      <c r="S163" s="186">
        <f t="shared" si="21"/>
        <v>2411.8033816683283</v>
      </c>
      <c r="T163" s="123"/>
      <c r="U163" s="123"/>
      <c r="V163" s="103"/>
      <c r="W163" s="103"/>
      <c r="X163" s="44"/>
    </row>
    <row r="164" spans="1:25" s="4" customFormat="1" ht="15">
      <c r="A164" s="69" t="s">
        <v>56</v>
      </c>
      <c r="B164" s="42">
        <f t="shared" si="20"/>
        <v>4186.6404981050355</v>
      </c>
      <c r="C164" s="18">
        <v>593.0167839740119</v>
      </c>
      <c r="D164" s="18">
        <v>296.50839198700595</v>
      </c>
      <c r="E164" s="18">
        <v>243.58635625338385</v>
      </c>
      <c r="F164" s="18">
        <v>250.8359501894965</v>
      </c>
      <c r="G164" s="18">
        <v>656.8132106118029</v>
      </c>
      <c r="H164" s="18">
        <v>649.5636166756904</v>
      </c>
      <c r="I164" s="18">
        <v>301.58310774228477</v>
      </c>
      <c r="J164" s="18">
        <v>263.8852192744992</v>
      </c>
      <c r="K164" s="18">
        <v>405.9772604223064</v>
      </c>
      <c r="L164" s="18">
        <v>524.8706009745533</v>
      </c>
      <c r="M164" s="18">
        <f t="shared" si="18"/>
        <v>191.976</v>
      </c>
      <c r="N164" s="18">
        <f t="shared" si="19"/>
        <v>29.8</v>
      </c>
      <c r="O164" s="18">
        <f t="shared" si="19"/>
        <v>120.192</v>
      </c>
      <c r="P164" s="18">
        <f t="shared" si="19"/>
        <v>41.98400000000001</v>
      </c>
      <c r="Q164" s="19">
        <f>Q115*0.7</f>
        <v>104.30000000000001</v>
      </c>
      <c r="R164"/>
      <c r="S164" s="186">
        <f t="shared" si="21"/>
        <v>688.232950730915</v>
      </c>
      <c r="T164" s="123"/>
      <c r="U164" s="123"/>
      <c r="V164" s="103"/>
      <c r="W164" s="103"/>
      <c r="X164" s="44"/>
      <c r="Y164" s="123"/>
    </row>
    <row r="165" spans="1:24" s="4" customFormat="1" ht="15">
      <c r="A165" s="105" t="s">
        <v>57</v>
      </c>
      <c r="B165" s="42">
        <f t="shared" si="20"/>
        <v>4629.274441866657</v>
      </c>
      <c r="C165" s="18">
        <v>624.6123023745565</v>
      </c>
      <c r="D165" s="18">
        <v>317.96860581131534</v>
      </c>
      <c r="E165" s="18">
        <v>270.05552822330895</v>
      </c>
      <c r="F165" s="18">
        <v>271.7978219537819</v>
      </c>
      <c r="G165" s="18">
        <v>695.6107718913297</v>
      </c>
      <c r="H165" s="18">
        <v>686.0281563737284</v>
      </c>
      <c r="I165" s="18">
        <v>322.759913570116</v>
      </c>
      <c r="J165" s="18">
        <v>304.0302559675317</v>
      </c>
      <c r="K165" s="18">
        <v>508.3141958654864</v>
      </c>
      <c r="L165" s="18">
        <v>628.0968898355025</v>
      </c>
      <c r="M165" s="18">
        <f t="shared" si="18"/>
        <v>202.10487148387335</v>
      </c>
      <c r="N165" s="18">
        <f t="shared" si="19"/>
        <v>29.489492806278157</v>
      </c>
      <c r="O165" s="18">
        <f t="shared" si="19"/>
        <v>128.09179954658836</v>
      </c>
      <c r="P165" s="18">
        <f t="shared" si="19"/>
        <v>44.52357913100685</v>
      </c>
      <c r="Q165" s="19">
        <f>Q116*0.7</f>
        <v>103.21322482197355</v>
      </c>
      <c r="R165"/>
      <c r="S165" s="186">
        <f t="shared" si="21"/>
        <v>834.3278429772606</v>
      </c>
      <c r="T165" s="123"/>
      <c r="U165" s="123"/>
      <c r="V165" s="103"/>
      <c r="W165" s="103"/>
      <c r="X165" s="44"/>
    </row>
    <row r="166" spans="1:24" s="4" customFormat="1" ht="15">
      <c r="A166" s="105" t="s">
        <v>58</v>
      </c>
      <c r="B166" s="42">
        <f t="shared" si="20"/>
        <v>6169.782270601328</v>
      </c>
      <c r="C166" s="18">
        <v>804.2338715590506</v>
      </c>
      <c r="D166" s="18">
        <v>430.0417229864368</v>
      </c>
      <c r="E166" s="18">
        <v>354.2458719962485</v>
      </c>
      <c r="F166" s="18">
        <v>365.4157868790131</v>
      </c>
      <c r="G166" s="18">
        <v>935.0814459000072</v>
      </c>
      <c r="H166" s="18">
        <v>899.9759991256043</v>
      </c>
      <c r="I166" s="18">
        <v>402.91478684257993</v>
      </c>
      <c r="J166" s="18">
        <v>378.1814038878869</v>
      </c>
      <c r="K166" s="18">
        <v>700.5132333619508</v>
      </c>
      <c r="L166" s="18">
        <v>899.1781480625497</v>
      </c>
      <c r="M166" s="18">
        <f t="shared" si="18"/>
        <v>219.5312437608011</v>
      </c>
      <c r="N166" s="18">
        <f t="shared" si="19"/>
        <v>31.35271149674621</v>
      </c>
      <c r="O166" s="18">
        <f t="shared" si="19"/>
        <v>141.068990153492</v>
      </c>
      <c r="P166" s="18">
        <f t="shared" si="19"/>
        <v>47.10954211056288</v>
      </c>
      <c r="Q166" s="19">
        <f>Q117*0.7</f>
        <v>109.73449023861174</v>
      </c>
      <c r="R166"/>
      <c r="S166" s="186">
        <f t="shared" si="21"/>
        <v>1110.165872432027</v>
      </c>
      <c r="T166" s="123"/>
      <c r="U166" s="123"/>
      <c r="V166" s="103"/>
      <c r="W166" s="103"/>
      <c r="X166" s="44"/>
    </row>
    <row r="167" spans="1:24" s="4" customFormat="1" ht="15">
      <c r="A167" s="105" t="s">
        <v>59</v>
      </c>
      <c r="B167" s="42">
        <f t="shared" si="20"/>
        <v>4260.584926713928</v>
      </c>
      <c r="C167" s="18">
        <v>525.6350182383958</v>
      </c>
      <c r="D167" s="18">
        <v>266.6127078068398</v>
      </c>
      <c r="E167" s="18">
        <v>250.48311338436193</v>
      </c>
      <c r="F167" s="18">
        <v>259.4967102675113</v>
      </c>
      <c r="G167" s="18">
        <v>592.0509952721281</v>
      </c>
      <c r="H167" s="18">
        <v>557.4198072473963</v>
      </c>
      <c r="I167" s="18">
        <v>273.7287053461682</v>
      </c>
      <c r="J167" s="18">
        <v>273.7287053461682</v>
      </c>
      <c r="K167" s="18">
        <v>506.1846249642314</v>
      </c>
      <c r="L167" s="18">
        <v>755.2445388407276</v>
      </c>
      <c r="M167" s="18">
        <f t="shared" si="18"/>
        <v>155.22200996633657</v>
      </c>
      <c r="N167" s="18">
        <f t="shared" si="19"/>
        <v>23.622578634173987</v>
      </c>
      <c r="O167" s="18">
        <f t="shared" si="19"/>
        <v>99.29423255201002</v>
      </c>
      <c r="P167" s="18">
        <f t="shared" si="19"/>
        <v>32.305198780152566</v>
      </c>
      <c r="Q167" s="19">
        <f>Q118*0.75</f>
        <v>88.58466987815244</v>
      </c>
      <c r="R167"/>
      <c r="S167" s="186">
        <f t="shared" si="21"/>
        <v>806.3468891698251</v>
      </c>
      <c r="T167" s="123"/>
      <c r="U167" s="123"/>
      <c r="V167" s="103"/>
      <c r="W167" s="103"/>
      <c r="X167" s="44"/>
    </row>
    <row r="168" spans="1:24" s="4" customFormat="1" ht="15">
      <c r="A168" s="105" t="s">
        <v>60</v>
      </c>
      <c r="B168" s="42">
        <f t="shared" si="20"/>
        <v>4845.325110412453</v>
      </c>
      <c r="C168" s="18">
        <v>695.3544301963703</v>
      </c>
      <c r="D168" s="18">
        <v>332.906614456759</v>
      </c>
      <c r="E168" s="18">
        <v>285.7543124091293</v>
      </c>
      <c r="F168" s="18">
        <v>287.45861248314003</v>
      </c>
      <c r="G168" s="18">
        <v>786.2504341436083</v>
      </c>
      <c r="H168" s="18">
        <v>691.9458300483489</v>
      </c>
      <c r="I168" s="18">
        <v>332.33851443208874</v>
      </c>
      <c r="J168" s="18">
        <v>303.93351319857686</v>
      </c>
      <c r="K168" s="18">
        <v>518.1072224992563</v>
      </c>
      <c r="L168" s="18">
        <v>611.2756265451752</v>
      </c>
      <c r="M168" s="18">
        <f t="shared" si="18"/>
        <v>242.5692293979085</v>
      </c>
      <c r="N168" s="18">
        <f t="shared" si="19"/>
        <v>40.81492537313433</v>
      </c>
      <c r="O168" s="18">
        <f t="shared" si="19"/>
        <v>153.0773322387889</v>
      </c>
      <c r="P168" s="18">
        <f t="shared" si="19"/>
        <v>48.676971785985245</v>
      </c>
      <c r="Q168" s="19">
        <f>Q119*0.71</f>
        <v>144.89298507462686</v>
      </c>
      <c r="R168"/>
      <c r="S168" s="186">
        <f t="shared" si="21"/>
        <v>843.4353826269142</v>
      </c>
      <c r="T168" s="123"/>
      <c r="U168" s="123"/>
      <c r="V168" s="103"/>
      <c r="W168" s="103"/>
      <c r="X168" s="44"/>
    </row>
    <row r="169" spans="1:24" s="4" customFormat="1" ht="15">
      <c r="A169" s="105" t="s">
        <v>61</v>
      </c>
      <c r="B169" s="42">
        <f t="shared" si="20"/>
        <v>5221.278535400044</v>
      </c>
      <c r="C169" s="18">
        <v>658.680519680873</v>
      </c>
      <c r="D169" s="18">
        <v>329.0274960609109</v>
      </c>
      <c r="E169" s="18">
        <v>327.1509133837574</v>
      </c>
      <c r="F169" s="18">
        <v>342.16357480098526</v>
      </c>
      <c r="G169" s="18">
        <v>783.7860314911052</v>
      </c>
      <c r="H169" s="18">
        <v>699.9653385782497</v>
      </c>
      <c r="I169" s="18">
        <v>329.6530236199621</v>
      </c>
      <c r="J169" s="18">
        <v>372.18889763544104</v>
      </c>
      <c r="K169" s="18">
        <v>633.0338897597754</v>
      </c>
      <c r="L169" s="18">
        <v>745.6288503889843</v>
      </c>
      <c r="M169" s="18">
        <f t="shared" si="18"/>
        <v>209.33314301224252</v>
      </c>
      <c r="N169" s="18">
        <f t="shared" si="19"/>
        <v>31.65746929797764</v>
      </c>
      <c r="O169" s="18">
        <f t="shared" si="19"/>
        <v>136.16926455535486</v>
      </c>
      <c r="P169" s="18">
        <f t="shared" si="19"/>
        <v>41.506409158910024</v>
      </c>
      <c r="Q169" s="19">
        <f>Q120*0.74</f>
        <v>117.13263640251726</v>
      </c>
      <c r="R169"/>
      <c r="S169" s="186">
        <f t="shared" si="21"/>
        <v>1031.319797158831</v>
      </c>
      <c r="T169" s="123"/>
      <c r="U169" s="123"/>
      <c r="V169" s="103"/>
      <c r="W169" s="103"/>
      <c r="X169" s="44"/>
    </row>
    <row r="170" spans="1:24" s="4" customFormat="1" ht="15">
      <c r="A170" s="187" t="s">
        <v>88</v>
      </c>
      <c r="B170" s="42">
        <f t="shared" si="20"/>
        <v>3592.2548942460826</v>
      </c>
      <c r="C170" s="18">
        <v>459.6400612371995</v>
      </c>
      <c r="D170" s="18">
        <v>249.9329269383649</v>
      </c>
      <c r="E170" s="18">
        <v>216.1199418210786</v>
      </c>
      <c r="F170" s="18">
        <v>233.85926652546772</v>
      </c>
      <c r="G170" s="18">
        <v>568.407939471623</v>
      </c>
      <c r="H170" s="18">
        <v>496.1181092208729</v>
      </c>
      <c r="I170" s="18">
        <v>218.7017214728911</v>
      </c>
      <c r="J170" s="18">
        <v>223.9485639910907</v>
      </c>
      <c r="K170" s="18">
        <v>411.2525135693588</v>
      </c>
      <c r="L170" s="18">
        <v>514.273849998135</v>
      </c>
      <c r="M170" s="18">
        <f t="shared" si="18"/>
        <v>128.27616859819383</v>
      </c>
      <c r="N170" s="18">
        <f t="shared" si="19"/>
        <v>19.13643615110068</v>
      </c>
      <c r="O170" s="18">
        <f t="shared" si="19"/>
        <v>84.14783437352716</v>
      </c>
      <c r="P170" s="18">
        <f t="shared" si="19"/>
        <v>24.991898073565988</v>
      </c>
      <c r="Q170" s="19">
        <f>Q121*0.71</f>
        <v>67.93434833640741</v>
      </c>
      <c r="R170" s="126"/>
      <c r="S170" s="186">
        <f t="shared" si="21"/>
        <v>653.2006623103842</v>
      </c>
      <c r="T170" s="207"/>
      <c r="U170" s="123"/>
      <c r="V170" s="103"/>
      <c r="W170" s="208"/>
      <c r="X170" s="44"/>
    </row>
    <row r="171" spans="1:25" s="4" customFormat="1" ht="15">
      <c r="A171" s="105" t="s">
        <v>62</v>
      </c>
      <c r="B171" s="42">
        <f t="shared" si="20"/>
        <v>3385.502373417722</v>
      </c>
      <c r="C171" s="18">
        <v>398.0880801687764</v>
      </c>
      <c r="D171" s="18">
        <v>241.13264767932492</v>
      </c>
      <c r="E171" s="18">
        <v>209.56619198312237</v>
      </c>
      <c r="F171" s="18">
        <v>212.19672995780593</v>
      </c>
      <c r="G171" s="18">
        <v>509.44752109704643</v>
      </c>
      <c r="H171" s="18">
        <v>476.12737341772157</v>
      </c>
      <c r="I171" s="18">
        <v>227.103111814346</v>
      </c>
      <c r="J171" s="18">
        <v>221.84203586497893</v>
      </c>
      <c r="K171" s="18">
        <v>427.0239978902954</v>
      </c>
      <c r="L171" s="18">
        <v>462.97468354430384</v>
      </c>
      <c r="M171" s="18">
        <f t="shared" si="18"/>
        <v>123.772</v>
      </c>
      <c r="N171" s="18">
        <f t="shared" si="19"/>
        <v>19.1</v>
      </c>
      <c r="O171" s="18">
        <f t="shared" si="19"/>
        <v>79.008</v>
      </c>
      <c r="P171" s="18">
        <f t="shared" si="19"/>
        <v>25.664</v>
      </c>
      <c r="Q171" s="19">
        <f aca="true" t="shared" si="22" ref="Q171:Q187">Q122*0.7</f>
        <v>66.5</v>
      </c>
      <c r="R171"/>
      <c r="S171" s="186">
        <f t="shared" si="21"/>
        <v>665.0701476793249</v>
      </c>
      <c r="T171" s="123"/>
      <c r="U171" s="123"/>
      <c r="V171" s="103"/>
      <c r="W171" s="103"/>
      <c r="X171" s="44"/>
      <c r="Y171" s="123"/>
    </row>
    <row r="172" spans="1:24" s="4" customFormat="1" ht="15">
      <c r="A172" s="109" t="s">
        <v>79</v>
      </c>
      <c r="B172" s="42">
        <f t="shared" si="20"/>
        <v>1823.3343582673567</v>
      </c>
      <c r="C172" s="18">
        <v>233.3012385708748</v>
      </c>
      <c r="D172" s="18">
        <v>126.85939788932694</v>
      </c>
      <c r="E172" s="18">
        <v>109.69681356974455</v>
      </c>
      <c r="F172" s="18">
        <v>118.70082948124958</v>
      </c>
      <c r="G172" s="18">
        <v>288.5089605447038</v>
      </c>
      <c r="H172" s="18">
        <v>251.81653889594153</v>
      </c>
      <c r="I172" s="18">
        <v>111.00725720005748</v>
      </c>
      <c r="J172" s="18">
        <v>113.67041683585475</v>
      </c>
      <c r="K172" s="18">
        <v>208.7409885963</v>
      </c>
      <c r="L172" s="18">
        <v>261.03191668330345</v>
      </c>
      <c r="M172" s="18">
        <f t="shared" si="18"/>
        <v>65.11839992858359</v>
      </c>
      <c r="N172" s="18">
        <f t="shared" si="19"/>
        <v>9.721934510264212</v>
      </c>
      <c r="O172" s="18">
        <f t="shared" si="19"/>
        <v>42.711233502054625</v>
      </c>
      <c r="P172" s="18">
        <f t="shared" si="19"/>
        <v>12.685231916264748</v>
      </c>
      <c r="Q172" s="19">
        <f t="shared" si="22"/>
        <v>34.02677078592474</v>
      </c>
      <c r="R172" s="126"/>
      <c r="S172" s="186">
        <f t="shared" si="21"/>
        <v>331.5475225160704</v>
      </c>
      <c r="T172" s="207"/>
      <c r="U172" s="123"/>
      <c r="V172" s="126"/>
      <c r="W172" s="210"/>
      <c r="X172" s="44"/>
    </row>
    <row r="173" spans="1:24" s="4" customFormat="1" ht="15">
      <c r="A173" s="109" t="s">
        <v>50</v>
      </c>
      <c r="B173" s="42">
        <f t="shared" si="20"/>
        <v>1850.0333090937963</v>
      </c>
      <c r="C173" s="18">
        <v>230.26142926131647</v>
      </c>
      <c r="D173" s="18">
        <v>124.95216671802872</v>
      </c>
      <c r="E173" s="18">
        <v>113.83354171345837</v>
      </c>
      <c r="F173" s="18">
        <v>113.46292087997269</v>
      </c>
      <c r="G173" s="18">
        <v>266.84700010968845</v>
      </c>
      <c r="H173" s="18">
        <v>262.7172251079909</v>
      </c>
      <c r="I173" s="18">
        <v>122.56960421704936</v>
      </c>
      <c r="J173" s="18">
        <v>111.450979212479</v>
      </c>
      <c r="K173" s="18">
        <v>225.9198709261985</v>
      </c>
      <c r="L173" s="18">
        <v>278.0185709476139</v>
      </c>
      <c r="M173" s="18">
        <f t="shared" si="18"/>
        <v>58.24052012362864</v>
      </c>
      <c r="N173" s="18">
        <f t="shared" si="19"/>
        <v>8.908266635336966</v>
      </c>
      <c r="O173" s="18">
        <f t="shared" si="19"/>
        <v>36.87853779293684</v>
      </c>
      <c r="P173" s="18">
        <f t="shared" si="19"/>
        <v>12.453715695354838</v>
      </c>
      <c r="Q173" s="19">
        <f t="shared" si="22"/>
        <v>31.178933223679383</v>
      </c>
      <c r="R173"/>
      <c r="S173" s="186">
        <f t="shared" si="21"/>
        <v>347.10150012184397</v>
      </c>
      <c r="T173" s="207"/>
      <c r="U173" s="123"/>
      <c r="V173" s="126"/>
      <c r="W173" s="126"/>
      <c r="X173" s="44"/>
    </row>
    <row r="174" spans="1:24" s="4" customFormat="1" ht="15">
      <c r="A174" s="109" t="s">
        <v>80</v>
      </c>
      <c r="B174" s="42">
        <f t="shared" si="20"/>
        <v>1550.7219772284661</v>
      </c>
      <c r="C174" s="18">
        <v>209.23365782326127</v>
      </c>
      <c r="D174" s="18">
        <v>106.51364728799213</v>
      </c>
      <c r="E174" s="18">
        <v>90.46364564185635</v>
      </c>
      <c r="F174" s="18">
        <v>91.04728206535219</v>
      </c>
      <c r="G174" s="18">
        <v>233.01684208071705</v>
      </c>
      <c r="H174" s="18">
        <v>229.80684175148988</v>
      </c>
      <c r="I174" s="18">
        <v>108.11864745260571</v>
      </c>
      <c r="J174" s="18">
        <v>101.84455590002536</v>
      </c>
      <c r="K174" s="18">
        <v>170.27592655491347</v>
      </c>
      <c r="L174" s="18">
        <v>210.40093067025293</v>
      </c>
      <c r="M174" s="18">
        <f t="shared" si="18"/>
        <v>67.72590494432833</v>
      </c>
      <c r="N174" s="18">
        <f t="shared" si="19"/>
        <v>9.9029210870513</v>
      </c>
      <c r="O174" s="18">
        <f t="shared" si="19"/>
        <v>42.9084019869737</v>
      </c>
      <c r="P174" s="18">
        <f t="shared" si="19"/>
        <v>14.914581870303332</v>
      </c>
      <c r="Q174" s="19">
        <f t="shared" si="22"/>
        <v>34.66022380467955</v>
      </c>
      <c r="R174" s="126"/>
      <c r="S174" s="186">
        <f t="shared" si="21"/>
        <v>279.4845150283977</v>
      </c>
      <c r="T174" s="207"/>
      <c r="U174" s="123"/>
      <c r="V174" s="126"/>
      <c r="W174" s="126"/>
      <c r="X174" s="44"/>
    </row>
    <row r="175" spans="1:24" s="4" customFormat="1" ht="15">
      <c r="A175" s="109" t="s">
        <v>51</v>
      </c>
      <c r="B175" s="42">
        <f t="shared" si="20"/>
        <v>985.8752268744277</v>
      </c>
      <c r="C175" s="18">
        <v>124.37122485908378</v>
      </c>
      <c r="D175" s="18">
        <v>62.12655676721564</v>
      </c>
      <c r="E175" s="18">
        <v>61.77222279325814</v>
      </c>
      <c r="F175" s="18">
        <v>64.60689458491817</v>
      </c>
      <c r="G175" s="18">
        <v>147.993489789584</v>
      </c>
      <c r="H175" s="18">
        <v>132.16657228614886</v>
      </c>
      <c r="I175" s="18">
        <v>62.244668091868135</v>
      </c>
      <c r="J175" s="18">
        <v>70.27623816823822</v>
      </c>
      <c r="K175" s="18">
        <v>119.52866054833122</v>
      </c>
      <c r="L175" s="18">
        <v>140.78869898578145</v>
      </c>
      <c r="M175" s="18">
        <f t="shared" si="18"/>
        <v>34.11182627703026</v>
      </c>
      <c r="N175" s="18">
        <f t="shared" si="19"/>
        <v>5.16530824219466</v>
      </c>
      <c r="O175" s="18">
        <f t="shared" si="19"/>
        <v>22.184387934730662</v>
      </c>
      <c r="P175" s="18">
        <f t="shared" si="19"/>
        <v>6.76213010010494</v>
      </c>
      <c r="Q175" s="19">
        <f t="shared" si="22"/>
        <v>18.07857884768131</v>
      </c>
      <c r="R175"/>
      <c r="S175" s="186">
        <f t="shared" si="21"/>
        <v>194.73250318107176</v>
      </c>
      <c r="T175" s="207"/>
      <c r="U175" s="123"/>
      <c r="V175" s="126"/>
      <c r="W175" s="126"/>
      <c r="X175" s="44"/>
    </row>
    <row r="176" spans="1:24" s="4" customFormat="1" ht="15">
      <c r="A176" s="109" t="s">
        <v>81</v>
      </c>
      <c r="B176" s="42">
        <f t="shared" si="20"/>
        <v>674.0147159173076</v>
      </c>
      <c r="C176" s="18">
        <v>87.85811892469238</v>
      </c>
      <c r="D176" s="18">
        <v>46.97968859167579</v>
      </c>
      <c r="E176" s="18">
        <v>38.69940952635259</v>
      </c>
      <c r="F176" s="18">
        <v>39.91966117808443</v>
      </c>
      <c r="G176" s="18">
        <v>102.1524954164082</v>
      </c>
      <c r="H176" s="18">
        <v>98.31741879667956</v>
      </c>
      <c r="I176" s="18">
        <v>44.016220294612744</v>
      </c>
      <c r="J176" s="18">
        <v>41.31423449434939</v>
      </c>
      <c r="K176" s="18">
        <v>76.52721073003958</v>
      </c>
      <c r="L176" s="18">
        <v>98.230257964413</v>
      </c>
      <c r="M176" s="18">
        <f t="shared" si="18"/>
        <v>24.004756239198898</v>
      </c>
      <c r="N176" s="18">
        <f t="shared" si="19"/>
        <v>3.4472885032537963</v>
      </c>
      <c r="O176" s="18">
        <f t="shared" si="19"/>
        <v>15.411009846507978</v>
      </c>
      <c r="P176" s="18">
        <f t="shared" si="19"/>
        <v>5.146457889437122</v>
      </c>
      <c r="Q176" s="19">
        <f t="shared" si="22"/>
        <v>12.065509761388286</v>
      </c>
      <c r="R176" s="126"/>
      <c r="S176" s="186">
        <f t="shared" si="21"/>
        <v>121.27950425314343</v>
      </c>
      <c r="T176" s="207"/>
      <c r="U176" s="123"/>
      <c r="V176" s="126"/>
      <c r="W176" s="126"/>
      <c r="X176" s="44"/>
    </row>
    <row r="177" spans="1:24" s="4" customFormat="1" ht="15">
      <c r="A177" s="192" t="s">
        <v>89</v>
      </c>
      <c r="B177" s="42">
        <f t="shared" si="20"/>
        <v>578.7723318349306</v>
      </c>
      <c r="C177" s="18">
        <v>71.4040467289949</v>
      </c>
      <c r="D177" s="18">
        <v>36.21757604846131</v>
      </c>
      <c r="E177" s="18">
        <v>34.0264771416149</v>
      </c>
      <c r="F177" s="18">
        <v>35.25091476602907</v>
      </c>
      <c r="G177" s="18">
        <v>80.42621869836248</v>
      </c>
      <c r="H177" s="18">
        <v>75.72180045719224</v>
      </c>
      <c r="I177" s="18">
        <v>37.18423733089355</v>
      </c>
      <c r="J177" s="18">
        <v>37.18423733089355</v>
      </c>
      <c r="K177" s="18">
        <v>68.76183922368011</v>
      </c>
      <c r="L177" s="18">
        <v>102.59498410880855</v>
      </c>
      <c r="M177" s="18">
        <f>SUM(N177:P177)</f>
        <v>21.08745509267061</v>
      </c>
      <c r="N177" s="18">
        <f t="shared" si="19"/>
        <v>3.2105412298101452</v>
      </c>
      <c r="O177" s="18">
        <f t="shared" si="19"/>
        <v>13.488465903251171</v>
      </c>
      <c r="P177" s="18">
        <f t="shared" si="19"/>
        <v>4.3884479596092945</v>
      </c>
      <c r="Q177" s="19">
        <f t="shared" si="22"/>
        <v>11.236894304335507</v>
      </c>
      <c r="R177" s="126"/>
      <c r="S177" s="186">
        <f t="shared" si="21"/>
        <v>109.53690099838197</v>
      </c>
      <c r="T177" s="207"/>
      <c r="U177" s="123"/>
      <c r="V177" s="126"/>
      <c r="W177" s="126"/>
      <c r="X177" s="44"/>
    </row>
    <row r="178" spans="1:24" s="4" customFormat="1" ht="15">
      <c r="A178" s="105" t="s">
        <v>63</v>
      </c>
      <c r="B178" s="42">
        <f t="shared" si="20"/>
        <v>630.2247742245152</v>
      </c>
      <c r="C178" s="18">
        <v>85.0340916671015</v>
      </c>
      <c r="D178" s="18">
        <v>43.287926720351535</v>
      </c>
      <c r="E178" s="18">
        <v>36.76508844742185</v>
      </c>
      <c r="F178" s="18">
        <v>37.00228256643748</v>
      </c>
      <c r="G178" s="18">
        <v>94.69975201698821</v>
      </c>
      <c r="H178" s="18">
        <v>93.39518436240229</v>
      </c>
      <c r="I178" s="18">
        <v>43.940210547644504</v>
      </c>
      <c r="J178" s="18">
        <v>41.39037376822654</v>
      </c>
      <c r="K178" s="18">
        <v>69.20138422280856</v>
      </c>
      <c r="L178" s="18">
        <v>85.50847990513276</v>
      </c>
      <c r="M178" s="18">
        <f t="shared" si="18"/>
        <v>27.518053751744944</v>
      </c>
      <c r="N178" s="18">
        <f t="shared" si="19"/>
        <v>4.018369423048976</v>
      </c>
      <c r="O178" s="18">
        <f t="shared" si="19"/>
        <v>17.4382889722799</v>
      </c>
      <c r="P178" s="18">
        <f t="shared" si="19"/>
        <v>6.0613953564160665</v>
      </c>
      <c r="Q178" s="19">
        <f t="shared" si="22"/>
        <v>14.064292980671416</v>
      </c>
      <c r="R178" s="126"/>
      <c r="S178" s="186">
        <f t="shared" si="21"/>
        <v>113.58455478771474</v>
      </c>
      <c r="T178" s="207"/>
      <c r="U178" s="123"/>
      <c r="V178" s="126"/>
      <c r="W178" s="126"/>
      <c r="X178" s="44"/>
    </row>
    <row r="179" spans="1:24" s="4" customFormat="1" ht="15">
      <c r="A179" s="105" t="s">
        <v>64</v>
      </c>
      <c r="B179" s="42">
        <f t="shared" si="20"/>
        <v>313.7523031769201</v>
      </c>
      <c r="C179" s="18">
        <v>42.33353432025813</v>
      </c>
      <c r="D179" s="18">
        <v>21.550543970563762</v>
      </c>
      <c r="E179" s="18">
        <v>18.303201728424018</v>
      </c>
      <c r="F179" s="18">
        <v>18.42128690086546</v>
      </c>
      <c r="G179" s="18">
        <v>47.145505097247025</v>
      </c>
      <c r="H179" s="18">
        <v>46.49603664881907</v>
      </c>
      <c r="I179" s="18">
        <v>21.87527819477774</v>
      </c>
      <c r="J179" s="18">
        <v>20.6058625910322</v>
      </c>
      <c r="K179" s="18">
        <v>34.45134905979166</v>
      </c>
      <c r="L179" s="18">
        <v>42.56970466514102</v>
      </c>
      <c r="M179" s="18">
        <f t="shared" si="18"/>
        <v>13.724995983430523</v>
      </c>
      <c r="N179" s="18">
        <f t="shared" si="19"/>
        <v>2.0258683330911205</v>
      </c>
      <c r="O179" s="18">
        <f t="shared" si="19"/>
        <v>8.681511029536857</v>
      </c>
      <c r="P179" s="18">
        <f t="shared" si="19"/>
        <v>3.0176166208025457</v>
      </c>
      <c r="Q179" s="19">
        <f t="shared" si="22"/>
        <v>7.090539165818922</v>
      </c>
      <c r="R179" s="126"/>
      <c r="S179" s="186">
        <f t="shared" si="21"/>
        <v>56.54715131410379</v>
      </c>
      <c r="T179" s="207"/>
      <c r="U179" s="123"/>
      <c r="V179" s="126"/>
      <c r="W179" s="126"/>
      <c r="X179" s="44"/>
    </row>
    <row r="180" spans="1:24" s="4" customFormat="1" ht="15">
      <c r="A180" s="105" t="s">
        <v>65</v>
      </c>
      <c r="B180" s="42">
        <f t="shared" si="20"/>
        <v>581.7140095802529</v>
      </c>
      <c r="C180" s="18">
        <v>78.4886986957172</v>
      </c>
      <c r="D180" s="18">
        <v>39.95589264147389</v>
      </c>
      <c r="E180" s="18">
        <v>33.93514169549837</v>
      </c>
      <c r="F180" s="18">
        <v>34.15407809353385</v>
      </c>
      <c r="G180" s="18">
        <v>87.41035691566275</v>
      </c>
      <c r="H180" s="18">
        <v>86.20620672646764</v>
      </c>
      <c r="I180" s="18">
        <v>40.55796773607145</v>
      </c>
      <c r="J180" s="18">
        <v>38.2044014571901</v>
      </c>
      <c r="K180" s="18">
        <v>63.874694126849356</v>
      </c>
      <c r="L180" s="18">
        <v>78.92657149178815</v>
      </c>
      <c r="M180" s="18">
        <f t="shared" si="18"/>
        <v>25.454173836622868</v>
      </c>
      <c r="N180" s="18">
        <f t="shared" si="19"/>
        <v>3.763348350530446</v>
      </c>
      <c r="O180" s="18">
        <f t="shared" si="19"/>
        <v>16.095998464621204</v>
      </c>
      <c r="P180" s="18">
        <f t="shared" si="19"/>
        <v>5.594827021471217</v>
      </c>
      <c r="Q180" s="19">
        <f t="shared" si="22"/>
        <v>13.171719226856563</v>
      </c>
      <c r="R180" s="126"/>
      <c r="S180" s="186">
        <f t="shared" si="21"/>
        <v>104.84152558625205</v>
      </c>
      <c r="T180" s="207"/>
      <c r="U180" s="123"/>
      <c r="V180" s="126"/>
      <c r="W180" s="126"/>
      <c r="X180" s="44"/>
    </row>
    <row r="181" spans="1:24" s="4" customFormat="1" ht="15">
      <c r="A181" s="105" t="s">
        <v>66</v>
      </c>
      <c r="B181" s="42">
        <f t="shared" si="20"/>
        <v>948.6438308371651</v>
      </c>
      <c r="C181" s="18">
        <v>118.07143324110902</v>
      </c>
      <c r="D181" s="18">
        <v>64.07187455714354</v>
      </c>
      <c r="E181" s="18">
        <v>58.37056368553331</v>
      </c>
      <c r="F181" s="18">
        <v>58.18051998981297</v>
      </c>
      <c r="G181" s="18">
        <v>136.83146091864552</v>
      </c>
      <c r="H181" s="18">
        <v>134.71383116633316</v>
      </c>
      <c r="I181" s="18">
        <v>62.850165084655636</v>
      </c>
      <c r="J181" s="18">
        <v>57.14885421304541</v>
      </c>
      <c r="K181" s="18">
        <v>115.84520709124216</v>
      </c>
      <c r="L181" s="18">
        <v>142.5599208896444</v>
      </c>
      <c r="M181" s="18">
        <f t="shared" si="18"/>
        <v>29.864062364958713</v>
      </c>
      <c r="N181" s="18">
        <f t="shared" si="19"/>
        <v>4.5679027212782515</v>
      </c>
      <c r="O181" s="18">
        <f t="shared" si="19"/>
        <v>18.910252694153552</v>
      </c>
      <c r="P181" s="18">
        <f t="shared" si="19"/>
        <v>6.385906949526911</v>
      </c>
      <c r="Q181" s="19">
        <f t="shared" si="22"/>
        <v>15.987659524473882</v>
      </c>
      <c r="R181" s="126"/>
      <c r="S181" s="186">
        <f t="shared" si="21"/>
        <v>177.98365853542515</v>
      </c>
      <c r="T181" s="207"/>
      <c r="U181" s="123"/>
      <c r="V181" s="126"/>
      <c r="W181" s="126"/>
      <c r="X181" s="44"/>
    </row>
    <row r="182" spans="1:24" s="4" customFormat="1" ht="15">
      <c r="A182" s="105" t="s">
        <v>67</v>
      </c>
      <c r="B182" s="42">
        <f t="shared" si="20"/>
        <v>897.7576515855887</v>
      </c>
      <c r="C182" s="18">
        <v>128.837538461808</v>
      </c>
      <c r="D182" s="18">
        <v>61.68202413285907</v>
      </c>
      <c r="E182" s="18">
        <v>52.94549170448483</v>
      </c>
      <c r="F182" s="18">
        <v>53.26126998502848</v>
      </c>
      <c r="G182" s="18">
        <v>145.6790467574692</v>
      </c>
      <c r="H182" s="18">
        <v>128.2059819007207</v>
      </c>
      <c r="I182" s="18">
        <v>61.57676470601118</v>
      </c>
      <c r="J182" s="18">
        <v>56.31379336361706</v>
      </c>
      <c r="K182" s="18">
        <v>95.99659728526872</v>
      </c>
      <c r="L182" s="18">
        <v>113.25914328832143</v>
      </c>
      <c r="M182" s="18">
        <f t="shared" si="18"/>
        <v>44.96677060209156</v>
      </c>
      <c r="N182" s="18">
        <f t="shared" si="19"/>
        <v>7.585074626865673</v>
      </c>
      <c r="O182" s="18">
        <f t="shared" si="19"/>
        <v>28.362667761211128</v>
      </c>
      <c r="P182" s="18">
        <f t="shared" si="19"/>
        <v>9.019028214014757</v>
      </c>
      <c r="Q182" s="19">
        <f t="shared" si="22"/>
        <v>26.547761194029857</v>
      </c>
      <c r="R182" s="126"/>
      <c r="S182" s="186">
        <f t="shared" si="21"/>
        <v>156.274460663977</v>
      </c>
      <c r="T182" s="207"/>
      <c r="U182" s="123"/>
      <c r="V182" s="126"/>
      <c r="W182" s="126"/>
      <c r="X182" s="44"/>
    </row>
    <row r="183" spans="1:24" s="4" customFormat="1" ht="15">
      <c r="A183" s="105" t="s">
        <v>68</v>
      </c>
      <c r="B183" s="42">
        <f t="shared" si="20"/>
        <v>502.16392136659806</v>
      </c>
      <c r="C183" s="18">
        <v>61.95274745286612</v>
      </c>
      <c r="D183" s="18">
        <v>31.42368598241043</v>
      </c>
      <c r="E183" s="18">
        <v>29.522608894506597</v>
      </c>
      <c r="F183" s="18">
        <v>30.58497550245286</v>
      </c>
      <c r="G183" s="18">
        <v>69.78071193247014</v>
      </c>
      <c r="H183" s="18">
        <v>65.69898759667662</v>
      </c>
      <c r="I183" s="18">
        <v>32.26239646236801</v>
      </c>
      <c r="J183" s="18">
        <v>32.26239646236801</v>
      </c>
      <c r="K183" s="18">
        <v>59.66027214098209</v>
      </c>
      <c r="L183" s="18">
        <v>89.01513893949716</v>
      </c>
      <c r="M183" s="18">
        <f t="shared" si="18"/>
        <v>18.296242854949845</v>
      </c>
      <c r="N183" s="18">
        <f t="shared" si="19"/>
        <v>2.785582317937093</v>
      </c>
      <c r="O183" s="18">
        <f t="shared" si="19"/>
        <v>11.703083507329923</v>
      </c>
      <c r="P183" s="18">
        <f t="shared" si="19"/>
        <v>3.8075770296828284</v>
      </c>
      <c r="Q183" s="19">
        <f t="shared" si="22"/>
        <v>9.749538112779826</v>
      </c>
      <c r="R183" s="126"/>
      <c r="S183" s="186">
        <f t="shared" si="21"/>
        <v>95.0381984662325</v>
      </c>
      <c r="T183" s="207"/>
      <c r="U183" s="123"/>
      <c r="V183" s="126"/>
      <c r="W183" s="126"/>
      <c r="X183" s="44"/>
    </row>
    <row r="184" spans="1:24" s="4" customFormat="1" ht="15">
      <c r="A184" s="105" t="s">
        <v>69</v>
      </c>
      <c r="B184" s="42">
        <f t="shared" si="20"/>
        <v>563.3407771513022</v>
      </c>
      <c r="C184" s="18">
        <v>69.50023172070402</v>
      </c>
      <c r="D184" s="18">
        <v>35.25192258757731</v>
      </c>
      <c r="E184" s="18">
        <v>33.119243996869784</v>
      </c>
      <c r="F184" s="18">
        <v>34.31103497402987</v>
      </c>
      <c r="G184" s="18">
        <v>78.28184944714677</v>
      </c>
      <c r="H184" s="18">
        <v>73.70286306121591</v>
      </c>
      <c r="I184" s="18">
        <v>36.19281020112475</v>
      </c>
      <c r="J184" s="18">
        <v>36.19281020112475</v>
      </c>
      <c r="K184" s="18">
        <v>66.92847224367436</v>
      </c>
      <c r="L184" s="18">
        <v>99.85953871783465</v>
      </c>
      <c r="M184" s="18">
        <f t="shared" si="18"/>
        <v>20.54543242789985</v>
      </c>
      <c r="N184" s="18">
        <f t="shared" si="19"/>
        <v>3.1451629356758293</v>
      </c>
      <c r="O184" s="18">
        <f t="shared" si="19"/>
        <v>13.128828809811736</v>
      </c>
      <c r="P184" s="18">
        <f t="shared" si="19"/>
        <v>4.271440682412286</v>
      </c>
      <c r="Q184" s="19">
        <f t="shared" si="22"/>
        <v>11.008070274865402</v>
      </c>
      <c r="R184" s="126"/>
      <c r="S184" s="186">
        <f t="shared" si="21"/>
        <v>106.61636629992331</v>
      </c>
      <c r="T184" s="123"/>
      <c r="U184" s="123"/>
      <c r="V184" s="126"/>
      <c r="W184" s="126"/>
      <c r="X184" s="44"/>
    </row>
    <row r="185" spans="1:24" s="4" customFormat="1" ht="15">
      <c r="A185" s="105" t="s">
        <v>70</v>
      </c>
      <c r="B185" s="42">
        <f t="shared" si="20"/>
        <v>462.9894510273449</v>
      </c>
      <c r="C185" s="18">
        <v>57.119731849270494</v>
      </c>
      <c r="D185" s="18">
        <v>28.972282761092067</v>
      </c>
      <c r="E185" s="18">
        <v>27.21951120615056</v>
      </c>
      <c r="F185" s="18">
        <v>28.199001192735523</v>
      </c>
      <c r="G185" s="18">
        <v>64.33702648726495</v>
      </c>
      <c r="H185" s="18">
        <v>60.573722854596404</v>
      </c>
      <c r="I185" s="18">
        <v>29.74556432944862</v>
      </c>
      <c r="J185" s="18">
        <v>29.74556432944862</v>
      </c>
      <c r="K185" s="18">
        <v>55.00609556242925</v>
      </c>
      <c r="L185" s="18">
        <v>82.0709504549085</v>
      </c>
      <c r="M185" s="18">
        <f t="shared" si="18"/>
        <v>16.883096053462246</v>
      </c>
      <c r="N185" s="18">
        <f t="shared" si="19"/>
        <v>2.5824426183054694</v>
      </c>
      <c r="O185" s="18">
        <f t="shared" si="19"/>
        <v>10.790110515387312</v>
      </c>
      <c r="P185" s="18">
        <f t="shared" si="19"/>
        <v>3.510542919769465</v>
      </c>
      <c r="Q185" s="19">
        <f t="shared" si="22"/>
        <v>9.038549164069142</v>
      </c>
      <c r="R185" s="126"/>
      <c r="S185" s="186">
        <f t="shared" si="21"/>
        <v>87.62414315779967</v>
      </c>
      <c r="T185" s="123"/>
      <c r="U185" s="123"/>
      <c r="V185" s="126"/>
      <c r="W185" s="126"/>
      <c r="X185" s="44"/>
    </row>
    <row r="186" spans="1:24" s="4" customFormat="1" ht="15">
      <c r="A186" s="105" t="s">
        <v>71</v>
      </c>
      <c r="B186" s="42">
        <f t="shared" si="20"/>
        <v>1026.17315608973</v>
      </c>
      <c r="C186" s="18">
        <v>126.60058534098883</v>
      </c>
      <c r="D186" s="18">
        <v>64.21437631916582</v>
      </c>
      <c r="E186" s="18">
        <v>60.32952081231237</v>
      </c>
      <c r="F186" s="18">
        <v>62.50046947790695</v>
      </c>
      <c r="G186" s="18">
        <v>142.59704919273835</v>
      </c>
      <c r="H186" s="18">
        <v>134.2560358986118</v>
      </c>
      <c r="I186" s="18">
        <v>65.9282831604247</v>
      </c>
      <c r="J186" s="18">
        <v>65.9282831604247</v>
      </c>
      <c r="K186" s="18">
        <v>121.9159066415479</v>
      </c>
      <c r="L186" s="18">
        <v>181.90264608560852</v>
      </c>
      <c r="M186" s="18">
        <f t="shared" si="18"/>
        <v>37.54976360468088</v>
      </c>
      <c r="N186" s="18">
        <f t="shared" si="19"/>
        <v>5.853692264097479</v>
      </c>
      <c r="O186" s="18">
        <f t="shared" si="19"/>
        <v>23.915278712209833</v>
      </c>
      <c r="P186" s="18">
        <f t="shared" si="19"/>
        <v>7.780792628373561</v>
      </c>
      <c r="Q186" s="19">
        <f t="shared" si="22"/>
        <v>20.487922924341174</v>
      </c>
      <c r="R186" s="126"/>
      <c r="S186" s="186">
        <f t="shared" si="21"/>
        <v>194.21078241496892</v>
      </c>
      <c r="T186" s="123"/>
      <c r="U186" s="123"/>
      <c r="V186" s="126"/>
      <c r="W186" s="126"/>
      <c r="X186" s="44"/>
    </row>
    <row r="187" spans="1:24" s="4" customFormat="1" ht="15">
      <c r="A187" s="105" t="s">
        <v>72</v>
      </c>
      <c r="B187" s="42">
        <f t="shared" si="20"/>
        <v>641.9963521529835</v>
      </c>
      <c r="C187" s="18">
        <v>80.98983572745796</v>
      </c>
      <c r="D187" s="18">
        <v>40.456461151607684</v>
      </c>
      <c r="E187" s="18">
        <v>40.22572087887988</v>
      </c>
      <c r="F187" s="18">
        <v>42.071643060702286</v>
      </c>
      <c r="G187" s="18">
        <v>96.372520575978</v>
      </c>
      <c r="H187" s="18">
        <v>86.06612172746958</v>
      </c>
      <c r="I187" s="18">
        <v>40.53337457585028</v>
      </c>
      <c r="J187" s="18">
        <v>45.76348742434709</v>
      </c>
      <c r="K187" s="18">
        <v>77.83638533351136</v>
      </c>
      <c r="L187" s="18">
        <v>91.68080169717939</v>
      </c>
      <c r="M187" s="18">
        <f t="shared" si="18"/>
        <v>22.227030710727206</v>
      </c>
      <c r="N187" s="18">
        <f t="shared" si="19"/>
        <v>3.3772224598277023</v>
      </c>
      <c r="O187" s="18">
        <f t="shared" si="19"/>
        <v>14.446347509914464</v>
      </c>
      <c r="P187" s="18">
        <f t="shared" si="19"/>
        <v>4.403460740985039</v>
      </c>
      <c r="Q187" s="20">
        <f t="shared" si="22"/>
        <v>11.820278609396958</v>
      </c>
      <c r="R187" s="126"/>
      <c r="S187" s="186">
        <f t="shared" si="21"/>
        <v>126.80870081725973</v>
      </c>
      <c r="T187" s="123"/>
      <c r="U187" s="123"/>
      <c r="V187" s="126"/>
      <c r="W187" s="126"/>
      <c r="X187" s="44"/>
    </row>
    <row r="188" spans="1:21" s="4" customFormat="1" ht="15">
      <c r="A188" s="15"/>
      <c r="B188" s="42"/>
      <c r="K188" s="59"/>
      <c r="L188" s="61"/>
      <c r="Q188" s="114"/>
      <c r="R188" s="44"/>
      <c r="S188" s="44"/>
      <c r="T188" s="44"/>
      <c r="U188" s="123"/>
    </row>
    <row r="189" spans="1:18" s="4" customFormat="1" ht="15">
      <c r="A189" s="15" t="s">
        <v>18</v>
      </c>
      <c r="B189" s="42">
        <f>SUM(C189:K189)</f>
        <v>0</v>
      </c>
      <c r="K189" s="59"/>
      <c r="L189" s="61"/>
      <c r="Q189" s="114"/>
      <c r="R189"/>
    </row>
    <row r="190" spans="1:18" s="4" customFormat="1" ht="15">
      <c r="A190" s="38"/>
      <c r="B190" s="38"/>
      <c r="C190" s="22"/>
      <c r="D190" s="22"/>
      <c r="E190" s="22"/>
      <c r="F190" s="22"/>
      <c r="G190" s="22"/>
      <c r="H190" s="22"/>
      <c r="I190" s="22"/>
      <c r="J190" s="22"/>
      <c r="K190" s="112"/>
      <c r="L190" s="25"/>
      <c r="M190" s="22"/>
      <c r="N190" s="22"/>
      <c r="O190" s="22"/>
      <c r="P190" s="22"/>
      <c r="Q190" s="130"/>
      <c r="R190" s="3"/>
    </row>
    <row r="191" s="4" customFormat="1" ht="15"/>
    <row r="192" s="4" customFormat="1" ht="15"/>
    <row r="193" s="4" customFormat="1" ht="15"/>
    <row r="194" s="4" customFormat="1" ht="15"/>
    <row r="195" s="4" customFormat="1" ht="15">
      <c r="E195" s="4" t="s">
        <v>36</v>
      </c>
    </row>
    <row r="196" s="4" customFormat="1" ht="15"/>
    <row r="197" s="4" customFormat="1" ht="15">
      <c r="G197" s="4" t="str">
        <f>+G3</f>
        <v>           SERVICIO DE SALUD ACONCAGUA  2021</v>
      </c>
    </row>
    <row r="198" spans="8:12" s="4" customFormat="1" ht="15">
      <c r="H198" s="5"/>
      <c r="I198" s="5"/>
      <c r="J198" s="5"/>
      <c r="K198" s="5"/>
      <c r="L198" s="5"/>
    </row>
    <row r="199" s="4" customFormat="1" ht="15"/>
    <row r="200" spans="1:19" s="4" customFormat="1" ht="15">
      <c r="A200" s="6"/>
      <c r="B200" s="7"/>
      <c r="C200" s="6"/>
      <c r="D200" s="8"/>
      <c r="E200" s="8"/>
      <c r="F200" s="8"/>
      <c r="G200" s="8"/>
      <c r="H200" s="8"/>
      <c r="I200" s="10"/>
      <c r="J200" s="11"/>
      <c r="K200" s="12"/>
      <c r="L200" s="10"/>
      <c r="M200" s="11"/>
      <c r="N200" s="11"/>
      <c r="O200" s="11"/>
      <c r="P200" s="11"/>
      <c r="Q200" s="11"/>
      <c r="R200" s="13"/>
      <c r="S200"/>
    </row>
    <row r="201" spans="1:19" s="4" customFormat="1" ht="15">
      <c r="A201" s="14"/>
      <c r="B201" s="15"/>
      <c r="C201" s="14"/>
      <c r="D201" s="59"/>
      <c r="E201" s="4" t="s">
        <v>2</v>
      </c>
      <c r="I201" s="17" t="s">
        <v>20</v>
      </c>
      <c r="J201" s="18"/>
      <c r="K201" s="19"/>
      <c r="L201" s="17"/>
      <c r="M201" s="214" t="s">
        <v>21</v>
      </c>
      <c r="N201" s="214"/>
      <c r="O201" s="214"/>
      <c r="P201" s="214"/>
      <c r="Q201" s="214"/>
      <c r="R201" s="20"/>
      <c r="S201"/>
    </row>
    <row r="202" spans="1:19" s="4" customFormat="1" ht="15">
      <c r="A202" s="14"/>
      <c r="B202" s="15"/>
      <c r="C202" s="21"/>
      <c r="D202" s="22"/>
      <c r="E202" s="22"/>
      <c r="F202" s="22"/>
      <c r="G202" s="22"/>
      <c r="H202" s="22"/>
      <c r="I202" s="24"/>
      <c r="J202" s="25"/>
      <c r="K202" s="26"/>
      <c r="L202" s="24"/>
      <c r="M202" s="25"/>
      <c r="N202" s="25"/>
      <c r="O202" s="25"/>
      <c r="P202" s="25"/>
      <c r="Q202" s="25"/>
      <c r="R202" s="27"/>
      <c r="S202"/>
    </row>
    <row r="203" spans="1:19" s="4" customFormat="1" ht="15">
      <c r="A203" s="14"/>
      <c r="B203" s="28" t="s">
        <v>5</v>
      </c>
      <c r="C203" s="14"/>
      <c r="D203" s="59"/>
      <c r="I203" s="29"/>
      <c r="J203" s="30"/>
      <c r="K203" s="31"/>
      <c r="L203" s="29"/>
      <c r="M203" s="30"/>
      <c r="N203" s="30"/>
      <c r="O203" s="30"/>
      <c r="P203" s="30"/>
      <c r="Q203" s="30"/>
      <c r="R203" s="32"/>
      <c r="S203"/>
    </row>
    <row r="204" spans="1:19" s="4" customFormat="1" ht="15">
      <c r="A204" s="33" t="s">
        <v>6</v>
      </c>
      <c r="B204" s="15"/>
      <c r="C204" s="14"/>
      <c r="D204" s="59"/>
      <c r="E204" s="86" t="s">
        <v>75</v>
      </c>
      <c r="F204" s="86" t="s">
        <v>76</v>
      </c>
      <c r="G204" s="5" t="s">
        <v>7</v>
      </c>
      <c r="H204" s="34" t="s">
        <v>8</v>
      </c>
      <c r="I204" s="35"/>
      <c r="J204" s="36" t="s">
        <v>9</v>
      </c>
      <c r="K204" s="37" t="s">
        <v>10</v>
      </c>
      <c r="L204" s="35"/>
      <c r="M204" s="36" t="s">
        <v>11</v>
      </c>
      <c r="N204" s="76" t="s">
        <v>77</v>
      </c>
      <c r="O204" s="76" t="s">
        <v>54</v>
      </c>
      <c r="P204" s="76" t="s">
        <v>49</v>
      </c>
      <c r="Q204" s="76" t="s">
        <v>34</v>
      </c>
      <c r="R204" s="77" t="s">
        <v>35</v>
      </c>
      <c r="S204"/>
    </row>
    <row r="205" spans="1:19" s="4" customFormat="1" ht="15">
      <c r="A205" s="14"/>
      <c r="B205" s="28" t="s">
        <v>12</v>
      </c>
      <c r="C205" s="33" t="s">
        <v>13</v>
      </c>
      <c r="D205" s="5" t="s">
        <v>14</v>
      </c>
      <c r="E205" s="76" t="s">
        <v>15</v>
      </c>
      <c r="F205" s="76" t="s">
        <v>15</v>
      </c>
      <c r="G205" s="5" t="s">
        <v>16</v>
      </c>
      <c r="H205" s="34" t="s">
        <v>16</v>
      </c>
      <c r="I205" s="35" t="s">
        <v>13</v>
      </c>
      <c r="J205" s="36" t="s">
        <v>16</v>
      </c>
      <c r="K205" s="37" t="s">
        <v>16</v>
      </c>
      <c r="L205" s="35" t="s">
        <v>13</v>
      </c>
      <c r="M205" s="36" t="s">
        <v>16</v>
      </c>
      <c r="N205" s="76" t="s">
        <v>16</v>
      </c>
      <c r="O205" s="76" t="s">
        <v>16</v>
      </c>
      <c r="P205" s="76" t="s">
        <v>16</v>
      </c>
      <c r="Q205" s="76" t="s">
        <v>16</v>
      </c>
      <c r="R205" s="77" t="s">
        <v>16</v>
      </c>
      <c r="S205"/>
    </row>
    <row r="206" spans="1:19" s="4" customFormat="1" ht="15">
      <c r="A206" s="21"/>
      <c r="B206" s="38"/>
      <c r="C206" s="21"/>
      <c r="D206" s="22"/>
      <c r="E206" s="22"/>
      <c r="F206" s="22"/>
      <c r="G206" s="22"/>
      <c r="H206" s="23"/>
      <c r="I206" s="39"/>
      <c r="J206" s="40"/>
      <c r="K206" s="41"/>
      <c r="L206" s="24"/>
      <c r="M206" s="25"/>
      <c r="N206" s="25"/>
      <c r="O206" s="25"/>
      <c r="P206" s="25"/>
      <c r="Q206" s="25"/>
      <c r="R206" s="27"/>
      <c r="S206"/>
    </row>
    <row r="207" spans="1:19" s="4" customFormat="1" ht="17.25" customHeight="1">
      <c r="A207" s="14" t="s">
        <v>37</v>
      </c>
      <c r="B207" s="42">
        <f>SUM(C207,I207,L207)</f>
        <v>158346.589682</v>
      </c>
      <c r="C207" s="17">
        <f>SUM(D207:H207)</f>
        <v>25144.104392</v>
      </c>
      <c r="D207" s="18">
        <f>D211-D208</f>
        <v>2335.083432</v>
      </c>
      <c r="E207" s="18">
        <f>E211-E208</f>
        <v>1161.5949839999998</v>
      </c>
      <c r="F207" s="18">
        <f>F211-F208</f>
        <v>1155.6482519999995</v>
      </c>
      <c r="G207" s="18">
        <f>G211-G208</f>
        <v>9787.660123999998</v>
      </c>
      <c r="H207" s="18">
        <f>H211-H208</f>
        <v>10704.117600000003</v>
      </c>
      <c r="I207" s="17">
        <f>SUM(J207:K207)</f>
        <v>20212.451613999998</v>
      </c>
      <c r="J207" s="18">
        <f>J211-J208</f>
        <v>10651.73002</v>
      </c>
      <c r="K207" s="18">
        <f>K211-K208</f>
        <v>9560.721593999999</v>
      </c>
      <c r="L207" s="95">
        <f>+M207+O207+P207+Q207+R207</f>
        <v>112990.03367599998</v>
      </c>
      <c r="M207" s="18">
        <f aca="true" t="shared" si="23" ref="M207:R207">M211-M208</f>
        <v>55221.52015999997</v>
      </c>
      <c r="N207" s="18">
        <f t="shared" si="23"/>
        <v>45435.792602485024</v>
      </c>
      <c r="O207" s="18">
        <f t="shared" si="23"/>
        <v>19455.23048</v>
      </c>
      <c r="P207" s="18">
        <f t="shared" si="23"/>
        <v>17585.897248</v>
      </c>
      <c r="Q207" s="18">
        <f t="shared" si="23"/>
        <v>6995.5128239999995</v>
      </c>
      <c r="R207" s="18">
        <f t="shared" si="23"/>
        <v>13731.872963999995</v>
      </c>
      <c r="S207"/>
    </row>
    <row r="208" spans="1:19" s="4" customFormat="1" ht="17.25" customHeight="1">
      <c r="A208" s="14" t="s">
        <v>38</v>
      </c>
      <c r="B208" s="42">
        <f>SUM(C208,I208,L208)</f>
        <v>88102.533348</v>
      </c>
      <c r="C208" s="17">
        <f>SUM(D208:H208)</f>
        <v>11714.619468</v>
      </c>
      <c r="D208" s="18">
        <f>+E13*0.307842</f>
        <v>1087.9136280000002</v>
      </c>
      <c r="E208" s="18">
        <f>+F13*0.307842</f>
        <v>541.1862360000001</v>
      </c>
      <c r="F208" s="18">
        <f>+G13*0.307842</f>
        <v>538.4156579999999</v>
      </c>
      <c r="G208" s="18">
        <f>+H13*0.307842</f>
        <v>4560.0635459999985</v>
      </c>
      <c r="H208" s="18">
        <f>+I13*0.307842</f>
        <v>4987.040400000002</v>
      </c>
      <c r="I208" s="17">
        <f>SUM(J208:K208)</f>
        <v>11560.390626</v>
      </c>
      <c r="J208" s="18">
        <f>+K13*0.307842</f>
        <v>6092.19318</v>
      </c>
      <c r="K208" s="18">
        <f>+L13*0.307842</f>
        <v>5468.197445999999</v>
      </c>
      <c r="L208" s="95">
        <f>+M208+O208+P208+Q208+R208</f>
        <v>64827.52325399999</v>
      </c>
      <c r="M208" s="18">
        <f aca="true" t="shared" si="24" ref="M208:R208">+N13*0.307842</f>
        <v>31683.098639999993</v>
      </c>
      <c r="N208" s="18">
        <f t="shared" si="24"/>
        <v>26068.581499389045</v>
      </c>
      <c r="O208" s="18">
        <f t="shared" si="24"/>
        <v>11162.35092</v>
      </c>
      <c r="P208" s="18">
        <f t="shared" si="24"/>
        <v>10089.829392</v>
      </c>
      <c r="Q208" s="18">
        <f t="shared" si="24"/>
        <v>4013.6439960000002</v>
      </c>
      <c r="R208" s="18">
        <f t="shared" si="24"/>
        <v>7878.600305999999</v>
      </c>
      <c r="S208"/>
    </row>
    <row r="209" spans="1:19" s="4" customFormat="1" ht="17.25" customHeight="1">
      <c r="A209" s="14" t="s">
        <v>39</v>
      </c>
      <c r="B209" s="42">
        <f>SUM(C209,I209,L209)</f>
        <v>35491.83111262732</v>
      </c>
      <c r="C209" s="17">
        <f>SUM(D209:H209)</f>
        <v>4706.889274698306</v>
      </c>
      <c r="D209" s="18">
        <f>+E61+E68+E88</f>
        <v>427.9746520453774</v>
      </c>
      <c r="E209" s="18">
        <f>+F61+F68+F88</f>
        <v>207.21085789906442</v>
      </c>
      <c r="F209" s="18">
        <f>+G61+G68+G88</f>
        <v>212.6636774073576</v>
      </c>
      <c r="G209" s="18">
        <f>+H61+H68+H88</f>
        <v>1893.2177168912212</v>
      </c>
      <c r="H209" s="18">
        <f>+I61+I68+I88</f>
        <v>1965.822370455285</v>
      </c>
      <c r="I209" s="17">
        <f>SUM(J209:K209)</f>
        <v>4555.735306060815</v>
      </c>
      <c r="J209" s="18">
        <f>+K61+K68+K88</f>
        <v>2421.18559796502</v>
      </c>
      <c r="K209" s="18">
        <f>+L61+L68+L88</f>
        <v>2134.549708095795</v>
      </c>
      <c r="L209" s="95">
        <f>+M209+O209+P209+Q209+R209</f>
        <v>26229.206531868196</v>
      </c>
      <c r="M209" s="18">
        <f aca="true" t="shared" si="25" ref="M209:R209">+N61+N68+N88</f>
        <v>12518.196817655065</v>
      </c>
      <c r="N209" s="18">
        <f t="shared" si="25"/>
        <v>10272.08077405752</v>
      </c>
      <c r="O209" s="18">
        <f t="shared" si="25"/>
        <v>4557.8471425546395</v>
      </c>
      <c r="P209" s="18">
        <f t="shared" si="25"/>
        <v>4148.750661250763</v>
      </c>
      <c r="Q209" s="18">
        <f t="shared" si="25"/>
        <v>1678.3266855978293</v>
      </c>
      <c r="R209" s="18">
        <f t="shared" si="25"/>
        <v>3326.0852248098995</v>
      </c>
      <c r="S209"/>
    </row>
    <row r="210" spans="1:19" s="4" customFormat="1" ht="17.25" customHeight="1">
      <c r="A210" s="14" t="s">
        <v>40</v>
      </c>
      <c r="B210" s="42">
        <f>SUM(C210,I210,L210)</f>
        <v>13872.100846351083</v>
      </c>
      <c r="C210" s="17">
        <f>SUM(D210:H210)</f>
        <v>1768.1514429169883</v>
      </c>
      <c r="D210" s="18">
        <f>+E69+E83+E84+E85+E86</f>
        <v>166.75178551104258</v>
      </c>
      <c r="E210" s="18">
        <f>+F69+F83+F84+F85+F86</f>
        <v>82.94916180966673</v>
      </c>
      <c r="F210" s="18">
        <f>+G69+G83+G84+G85+G86</f>
        <v>82.44389570603812</v>
      </c>
      <c r="G210" s="18">
        <f>+H69+H83+H84+H85+H86</f>
        <v>683.4330573129309</v>
      </c>
      <c r="H210" s="18">
        <f>+I69+I83+I84+I85+I86</f>
        <v>752.5735425773099</v>
      </c>
      <c r="I210" s="17">
        <f>SUM(J210:K210)</f>
        <v>1778.9539683783346</v>
      </c>
      <c r="J210" s="18">
        <f>+K69+K83+K84+K85+K86</f>
        <v>919.8466270996537</v>
      </c>
      <c r="K210" s="18">
        <f>+L69+L83+L84+L85+L86</f>
        <v>859.107341278681</v>
      </c>
      <c r="L210" s="95">
        <f>+M210+O210+P210+Q210+R210</f>
        <v>10324.99543505576</v>
      </c>
      <c r="M210" s="18">
        <f aca="true" t="shared" si="26" ref="M210:R210">+N69+N83+N84+N85+N86</f>
        <v>4709.979068024893</v>
      </c>
      <c r="N210" s="18">
        <f t="shared" si="26"/>
        <v>3836.23852678344</v>
      </c>
      <c r="O210" s="18">
        <f t="shared" si="26"/>
        <v>1785.1192207349086</v>
      </c>
      <c r="P210" s="18">
        <f t="shared" si="26"/>
        <v>1657.2567163138356</v>
      </c>
      <c r="Q210" s="18">
        <f t="shared" si="26"/>
        <v>675.8188753113317</v>
      </c>
      <c r="R210" s="18">
        <f t="shared" si="26"/>
        <v>1496.8215546707902</v>
      </c>
      <c r="S210"/>
    </row>
    <row r="211" spans="1:19" s="4" customFormat="1" ht="17.25" customHeight="1">
      <c r="A211" s="14" t="s">
        <v>41</v>
      </c>
      <c r="B211" s="42">
        <f>SUM(C211,I211,L211)</f>
        <v>246449.12302999996</v>
      </c>
      <c r="C211" s="17">
        <f>SUM(D211:H211)</f>
        <v>36858.72386</v>
      </c>
      <c r="D211" s="18">
        <f>+E13*0.96859</f>
        <v>3422.99706</v>
      </c>
      <c r="E211" s="18">
        <f>+F13*0.96859</f>
        <v>1702.78122</v>
      </c>
      <c r="F211" s="18">
        <f>+G13*0.96859</f>
        <v>1694.0639099999994</v>
      </c>
      <c r="G211" s="18">
        <f>+H13*0.96859</f>
        <v>14347.723669999996</v>
      </c>
      <c r="H211" s="18">
        <f>+I13*0.96859</f>
        <v>15691.158000000005</v>
      </c>
      <c r="I211" s="17">
        <f>SUM(J211:K211)</f>
        <v>31772.842239999998</v>
      </c>
      <c r="J211" s="18">
        <f>+K13*0.84608</f>
        <v>16743.9232</v>
      </c>
      <c r="K211" s="18">
        <f>+L13*0.84608</f>
        <v>15028.919039999997</v>
      </c>
      <c r="L211" s="95">
        <f>+M211+O211+P211+Q211+R211</f>
        <v>177817.55692999996</v>
      </c>
      <c r="M211" s="18">
        <f aca="true" t="shared" si="27" ref="M211:R211">+N13*0.84439</f>
        <v>86904.61879999997</v>
      </c>
      <c r="N211" s="18">
        <f t="shared" si="27"/>
        <v>71504.37410187407</v>
      </c>
      <c r="O211" s="18">
        <f t="shared" si="27"/>
        <v>30617.5814</v>
      </c>
      <c r="P211" s="18">
        <f t="shared" si="27"/>
        <v>27675.72664</v>
      </c>
      <c r="Q211" s="18">
        <f t="shared" si="27"/>
        <v>11009.15682</v>
      </c>
      <c r="R211" s="18">
        <f t="shared" si="27"/>
        <v>21610.473269999995</v>
      </c>
      <c r="S211"/>
    </row>
    <row r="212" spans="1:19" s="4" customFormat="1" ht="15">
      <c r="A212" s="21"/>
      <c r="B212" s="43"/>
      <c r="C212" s="24"/>
      <c r="D212" s="25"/>
      <c r="E212" s="25"/>
      <c r="F212" s="25"/>
      <c r="G212" s="25"/>
      <c r="H212" s="25"/>
      <c r="I212" s="24"/>
      <c r="J212" s="25"/>
      <c r="K212" s="26"/>
      <c r="L212" s="24"/>
      <c r="M212" s="25"/>
      <c r="N212" s="25"/>
      <c r="O212" s="25"/>
      <c r="P212" s="25"/>
      <c r="Q212" s="25"/>
      <c r="R212" s="27"/>
      <c r="S212"/>
    </row>
    <row r="213" s="4" customFormat="1" ht="15">
      <c r="B213" s="44"/>
    </row>
    <row r="214" s="4" customFormat="1" ht="15"/>
    <row r="215" spans="1:8" s="4" customFormat="1" ht="15">
      <c r="A215" s="45" t="s">
        <v>42</v>
      </c>
      <c r="B215" s="46" t="s">
        <v>43</v>
      </c>
      <c r="C215" s="46"/>
      <c r="D215" s="46"/>
      <c r="E215" s="46"/>
      <c r="F215" s="46"/>
      <c r="G215" s="46"/>
      <c r="H215" s="46"/>
    </row>
    <row r="216" spans="1:8" s="4" customFormat="1" ht="15">
      <c r="A216" s="46"/>
      <c r="B216" s="46" t="s">
        <v>44</v>
      </c>
      <c r="C216" s="46"/>
      <c r="D216" s="46"/>
      <c r="E216" s="46"/>
      <c r="F216" s="46"/>
      <c r="G216" s="46"/>
      <c r="H216" s="46"/>
    </row>
    <row r="217" spans="1:8" s="4" customFormat="1" ht="15">
      <c r="A217" s="46"/>
      <c r="B217" s="46" t="s">
        <v>45</v>
      </c>
      <c r="C217" s="46"/>
      <c r="D217" s="46"/>
      <c r="E217" s="46"/>
      <c r="F217" s="46"/>
      <c r="G217" s="46"/>
      <c r="H217" s="46"/>
    </row>
    <row r="218" spans="1:8" s="4" customFormat="1" ht="15">
      <c r="A218" s="46"/>
      <c r="B218" s="46" t="s">
        <v>46</v>
      </c>
      <c r="C218" s="46"/>
      <c r="D218" s="46"/>
      <c r="E218" s="46"/>
      <c r="F218" s="46"/>
      <c r="G218" s="46"/>
      <c r="H218" s="46"/>
    </row>
    <row r="219" spans="1:8" s="4" customFormat="1" ht="15">
      <c r="A219" s="46"/>
      <c r="B219" s="46" t="s">
        <v>47</v>
      </c>
      <c r="C219" s="46"/>
      <c r="D219" s="46"/>
      <c r="E219" s="46"/>
      <c r="F219" s="46"/>
      <c r="G219" s="46"/>
      <c r="H219" s="46"/>
    </row>
    <row r="220" s="4" customFormat="1" ht="15"/>
    <row r="221" s="4" customFormat="1" ht="15"/>
    <row r="222" s="4" customFormat="1" ht="15">
      <c r="E222" s="4" t="s">
        <v>48</v>
      </c>
    </row>
    <row r="223" s="4" customFormat="1" ht="15"/>
    <row r="224" s="4" customFormat="1" ht="15.75" thickBot="1"/>
    <row r="225" spans="1:18" s="4" customFormat="1" ht="15">
      <c r="A225" s="149"/>
      <c r="B225" s="150"/>
      <c r="C225" s="151"/>
      <c r="D225" s="152"/>
      <c r="E225" s="152"/>
      <c r="F225" s="152"/>
      <c r="G225" s="152"/>
      <c r="H225" s="152"/>
      <c r="I225" s="152"/>
      <c r="J225" s="152"/>
      <c r="K225" s="153"/>
      <c r="L225" s="152"/>
      <c r="M225" s="152"/>
      <c r="N225" s="152"/>
      <c r="O225" s="154"/>
      <c r="P225"/>
      <c r="Q225"/>
      <c r="R225"/>
    </row>
    <row r="226" spans="1:18" s="4" customFormat="1" ht="15">
      <c r="A226" s="147"/>
      <c r="B226" s="15"/>
      <c r="C226" s="14"/>
      <c r="D226" s="59"/>
      <c r="E226" s="155" t="s">
        <v>23</v>
      </c>
      <c r="F226" s="155"/>
      <c r="G226" s="155"/>
      <c r="H226" s="155"/>
      <c r="I226" s="155"/>
      <c r="J226" s="155"/>
      <c r="K226" s="121"/>
      <c r="L226" s="59"/>
      <c r="M226" s="59" t="s">
        <v>24</v>
      </c>
      <c r="N226" s="59"/>
      <c r="O226" s="156" t="s">
        <v>25</v>
      </c>
      <c r="P226"/>
      <c r="Q226"/>
      <c r="R226"/>
    </row>
    <row r="227" spans="1:18" s="4" customFormat="1" ht="15">
      <c r="A227" s="147"/>
      <c r="B227" s="15"/>
      <c r="C227" s="21"/>
      <c r="D227" s="22"/>
      <c r="E227" s="22"/>
      <c r="F227" s="22"/>
      <c r="G227" s="22"/>
      <c r="H227" s="22"/>
      <c r="I227" s="22"/>
      <c r="J227" s="22"/>
      <c r="K227" s="115"/>
      <c r="L227" s="22"/>
      <c r="M227" s="22"/>
      <c r="N227" s="22"/>
      <c r="O227" s="156"/>
      <c r="P227"/>
      <c r="Q227"/>
      <c r="R227"/>
    </row>
    <row r="228" spans="1:18" s="4" customFormat="1" ht="15">
      <c r="A228" s="147"/>
      <c r="B228" s="28" t="s">
        <v>5</v>
      </c>
      <c r="C228" s="14"/>
      <c r="D228" s="59"/>
      <c r="E228" s="59"/>
      <c r="F228" s="59"/>
      <c r="G228" s="59"/>
      <c r="H228" s="59"/>
      <c r="I228" s="59"/>
      <c r="J228" s="59"/>
      <c r="K228" s="117"/>
      <c r="L228" s="47"/>
      <c r="M228" s="47"/>
      <c r="N228" s="47"/>
      <c r="O228" s="156" t="s">
        <v>26</v>
      </c>
      <c r="P228"/>
      <c r="Q228"/>
      <c r="R228"/>
    </row>
    <row r="229" spans="1:18" s="4" customFormat="1" ht="15">
      <c r="A229" s="157" t="s">
        <v>6</v>
      </c>
      <c r="B229" s="15"/>
      <c r="C229" s="33" t="s">
        <v>27</v>
      </c>
      <c r="D229" s="60" t="s">
        <v>9</v>
      </c>
      <c r="E229" s="60" t="s">
        <v>10</v>
      </c>
      <c r="F229" s="48" t="s">
        <v>11</v>
      </c>
      <c r="G229" s="76" t="s">
        <v>54</v>
      </c>
      <c r="H229" s="76" t="s">
        <v>49</v>
      </c>
      <c r="I229" s="76" t="s">
        <v>34</v>
      </c>
      <c r="J229" s="76" t="s">
        <v>35</v>
      </c>
      <c r="K229" s="118" t="s">
        <v>12</v>
      </c>
      <c r="L229" s="60" t="s">
        <v>30</v>
      </c>
      <c r="M229" s="60" t="s">
        <v>31</v>
      </c>
      <c r="N229" s="60" t="s">
        <v>83</v>
      </c>
      <c r="O229" s="156"/>
      <c r="P229"/>
      <c r="Q229"/>
      <c r="R229"/>
    </row>
    <row r="230" spans="1:18" s="4" customFormat="1" ht="15">
      <c r="A230" s="147"/>
      <c r="B230" s="28" t="s">
        <v>12</v>
      </c>
      <c r="C230" s="60" t="s">
        <v>16</v>
      </c>
      <c r="D230" s="60" t="s">
        <v>16</v>
      </c>
      <c r="E230" s="60" t="s">
        <v>16</v>
      </c>
      <c r="F230" s="48" t="s">
        <v>16</v>
      </c>
      <c r="G230" s="76" t="s">
        <v>16</v>
      </c>
      <c r="H230" s="76" t="s">
        <v>16</v>
      </c>
      <c r="I230" s="76" t="s">
        <v>16</v>
      </c>
      <c r="J230" s="76" t="s">
        <v>16</v>
      </c>
      <c r="K230" s="118"/>
      <c r="L230" s="60" t="s">
        <v>16</v>
      </c>
      <c r="M230" s="60" t="s">
        <v>16</v>
      </c>
      <c r="N230" s="60" t="s">
        <v>16</v>
      </c>
      <c r="O230" s="156" t="s">
        <v>32</v>
      </c>
      <c r="P230"/>
      <c r="Q230"/>
      <c r="R230"/>
    </row>
    <row r="231" spans="1:18" s="4" customFormat="1" ht="15">
      <c r="A231" s="158"/>
      <c r="B231" s="38"/>
      <c r="C231" s="21"/>
      <c r="D231" s="22"/>
      <c r="E231" s="22"/>
      <c r="F231" s="22"/>
      <c r="G231" s="22"/>
      <c r="H231" s="22"/>
      <c r="I231" s="22"/>
      <c r="J231" s="22"/>
      <c r="K231" s="115"/>
      <c r="L231" s="22"/>
      <c r="M231" s="22"/>
      <c r="N231" s="22"/>
      <c r="O231" s="159"/>
      <c r="P231"/>
      <c r="Q231"/>
      <c r="R231"/>
    </row>
    <row r="232" spans="1:18" s="4" customFormat="1" ht="15.75" customHeight="1">
      <c r="A232" s="105" t="s">
        <v>37</v>
      </c>
      <c r="B232" s="42">
        <f>SUM(C232:J232)</f>
        <v>79569.49805437999</v>
      </c>
      <c r="C232" s="61">
        <f>+C207*0.51</f>
        <v>12823.49323992</v>
      </c>
      <c r="D232" s="61">
        <f>+J207*0.51</f>
        <v>5432.382310200001</v>
      </c>
      <c r="E232" s="61">
        <f>+K207*0.51</f>
        <v>4875.968012939999</v>
      </c>
      <c r="F232" s="61">
        <f>+M207*0.4885</f>
        <v>26975.712598159986</v>
      </c>
      <c r="G232" s="61">
        <f>+O207*0.51</f>
        <v>9922.167544799999</v>
      </c>
      <c r="H232" s="61">
        <f>+P207*0.51</f>
        <v>8968.807596480001</v>
      </c>
      <c r="I232" s="61">
        <f>+Q207*0.51</f>
        <v>3567.71154024</v>
      </c>
      <c r="J232" s="61">
        <f>+R207*0.51</f>
        <v>7003.2552116399975</v>
      </c>
      <c r="K232" s="122">
        <f>SUM(L232:N232)</f>
        <v>4037.9085247744783</v>
      </c>
      <c r="L232" s="61">
        <f>(+D232+E232)*0.06</f>
        <v>618.5010193883999</v>
      </c>
      <c r="M232" s="122">
        <f>F232*0.108</f>
        <v>2913.3769606012784</v>
      </c>
      <c r="N232" s="122">
        <f>G232*0.051</f>
        <v>506.03054478479993</v>
      </c>
      <c r="O232" s="160">
        <f>+D207</f>
        <v>2335.083432</v>
      </c>
      <c r="P232"/>
      <c r="Q232"/>
      <c r="R232"/>
    </row>
    <row r="233" spans="1:18" s="4" customFormat="1" ht="15.75" customHeight="1">
      <c r="A233" s="105" t="s">
        <v>38</v>
      </c>
      <c r="B233" s="42">
        <f>SUM(C233:J233)</f>
        <v>46139.221046784005</v>
      </c>
      <c r="C233" s="61">
        <f>+C208*0.51</f>
        <v>5974.45592868</v>
      </c>
      <c r="D233" s="61">
        <f>+J208*0.5258</f>
        <v>3203.2751740440003</v>
      </c>
      <c r="E233" s="61">
        <f>+K208*0.5258</f>
        <v>2875.1782171068</v>
      </c>
      <c r="F233" s="61">
        <f>+M208*0.5258</f>
        <v>16658.973264911998</v>
      </c>
      <c r="G233" s="61">
        <f>+O208*0.5258</f>
        <v>5869.164113736001</v>
      </c>
      <c r="H233" s="61">
        <f>+P208*0.5258</f>
        <v>5305.2322943136005</v>
      </c>
      <c r="I233" s="61">
        <f>+Q208*0.5258</f>
        <v>2110.3740130968004</v>
      </c>
      <c r="J233" s="61">
        <f>+R208*0.5258</f>
        <v>4142.5680408948</v>
      </c>
      <c r="K233" s="122">
        <f>SUM(L233:N233)</f>
        <v>2463.20368588008</v>
      </c>
      <c r="L233" s="61">
        <f>(+D233+E233)*0.06</f>
        <v>364.707203469048</v>
      </c>
      <c r="M233" s="122">
        <f>F233*0.108</f>
        <v>1799.1691126104959</v>
      </c>
      <c r="N233" s="122">
        <f>G233*0.051</f>
        <v>299.327369800536</v>
      </c>
      <c r="O233" s="160">
        <f>+D208</f>
        <v>1087.9136280000002</v>
      </c>
      <c r="P233"/>
      <c r="Q233"/>
      <c r="R233"/>
    </row>
    <row r="234" spans="1:18" s="4" customFormat="1" ht="15.75" customHeight="1">
      <c r="A234" s="105" t="s">
        <v>39</v>
      </c>
      <c r="B234" s="42">
        <f>SUM(C234:J234)</f>
        <v>18100.833867439935</v>
      </c>
      <c r="C234" s="61">
        <f>+C209*0.51</f>
        <v>2400.513530096136</v>
      </c>
      <c r="D234" s="61">
        <f>+J209*0.51</f>
        <v>1234.8046549621602</v>
      </c>
      <c r="E234" s="61">
        <f>+K209*0.51</f>
        <v>1088.6203511288554</v>
      </c>
      <c r="F234" s="61">
        <f>+M209*0.51</f>
        <v>6384.280377004084</v>
      </c>
      <c r="G234" s="61">
        <f>+O209*0.51</f>
        <v>2324.502042702866</v>
      </c>
      <c r="H234" s="61">
        <f>+P209*0.51</f>
        <v>2115.8628372378894</v>
      </c>
      <c r="I234" s="61">
        <f>+Q209*0.51</f>
        <v>855.946609654893</v>
      </c>
      <c r="J234" s="61">
        <f>+R209*0.51</f>
        <v>1696.3034646530489</v>
      </c>
      <c r="K234" s="122">
        <f>SUM(L234:N234)</f>
        <v>947.4573852597481</v>
      </c>
      <c r="L234" s="61">
        <f>(+D234+E234)*0.06</f>
        <v>139.4055003654609</v>
      </c>
      <c r="M234" s="122">
        <f>F234*0.108</f>
        <v>689.5022807164411</v>
      </c>
      <c r="N234" s="122">
        <f>G234*0.051</f>
        <v>118.54960417784616</v>
      </c>
      <c r="O234" s="160">
        <f>+D209</f>
        <v>427.9746520453774</v>
      </c>
      <c r="P234"/>
      <c r="Q234"/>
      <c r="R234"/>
    </row>
    <row r="235" spans="1:18" s="4" customFormat="1" ht="15.75" customHeight="1">
      <c r="A235" s="105" t="s">
        <v>40</v>
      </c>
      <c r="B235" s="42">
        <f>SUM(C235:J235)</f>
        <v>7213.492440102564</v>
      </c>
      <c r="C235" s="61">
        <f>+C210*0.52</f>
        <v>919.438750316834</v>
      </c>
      <c r="D235" s="61">
        <f>+J210*0.52</f>
        <v>478.3202460918199</v>
      </c>
      <c r="E235" s="61">
        <f>+K210*0.52</f>
        <v>446.73581746491413</v>
      </c>
      <c r="F235" s="61">
        <f>+M210*0.52</f>
        <v>2449.189115372945</v>
      </c>
      <c r="G235" s="61">
        <f>+O210*0.52</f>
        <v>928.2619947821526</v>
      </c>
      <c r="H235" s="61">
        <f>+P210*0.52</f>
        <v>861.7734924831946</v>
      </c>
      <c r="I235" s="61">
        <f>+Q210*0.52</f>
        <v>351.4258151618925</v>
      </c>
      <c r="J235" s="61">
        <f>+R210*0.52</f>
        <v>778.347208428811</v>
      </c>
      <c r="K235" s="122">
        <f>SUM(L235:N235)</f>
        <v>367.3571500075719</v>
      </c>
      <c r="L235" s="61">
        <f>(+D235+E235)*0.06</f>
        <v>55.503363813404036</v>
      </c>
      <c r="M235" s="122">
        <f>F235*0.108</f>
        <v>264.51242446027805</v>
      </c>
      <c r="N235" s="122">
        <f>G235*0.051</f>
        <v>47.34136173388978</v>
      </c>
      <c r="O235" s="160">
        <f>+D210</f>
        <v>166.75178551104258</v>
      </c>
      <c r="P235"/>
      <c r="Q235"/>
      <c r="R235"/>
    </row>
    <row r="236" spans="1:18" s="4" customFormat="1" ht="15.75" customHeight="1">
      <c r="A236" s="105" t="s">
        <v>41</v>
      </c>
      <c r="B236" s="42"/>
      <c r="C236" s="17"/>
      <c r="D236" s="61"/>
      <c r="E236" s="61"/>
      <c r="F236" s="61"/>
      <c r="G236" s="61"/>
      <c r="H236" s="61"/>
      <c r="I236" s="61"/>
      <c r="J236" s="61"/>
      <c r="K236" s="122"/>
      <c r="L236" s="20"/>
      <c r="M236" s="122"/>
      <c r="N236" s="61"/>
      <c r="O236" s="160"/>
      <c r="P236"/>
      <c r="Q236"/>
      <c r="R236"/>
    </row>
    <row r="237" spans="1:18" s="4" customFormat="1" ht="15.75" customHeight="1" thickBot="1">
      <c r="A237" s="49"/>
      <c r="B237" s="161"/>
      <c r="C237" s="162"/>
      <c r="D237" s="52"/>
      <c r="E237" s="52"/>
      <c r="F237" s="52"/>
      <c r="G237" s="52"/>
      <c r="H237" s="52"/>
      <c r="I237" s="52"/>
      <c r="J237" s="52"/>
      <c r="K237" s="163"/>
      <c r="L237" s="164"/>
      <c r="M237" s="163"/>
      <c r="N237" s="52"/>
      <c r="O237" s="165"/>
      <c r="P237"/>
      <c r="Q237"/>
      <c r="R237"/>
    </row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</sheetData>
  <sheetProtection/>
  <mergeCells count="4">
    <mergeCell ref="N7:S7"/>
    <mergeCell ref="E102:J102"/>
    <mergeCell ref="E151:J151"/>
    <mergeCell ref="M201:Q201"/>
  </mergeCells>
  <printOptions horizontalCentered="1"/>
  <pageMargins left="0.3937007874015748" right="0.1968503937007874" top="0.4330708661417323" bottom="0.4330708661417323" header="0.3937007874015748" footer="0.3937007874015748"/>
  <pageSetup horizontalDpi="300" verticalDpi="300" orientation="landscape" paperSize="5" scale="65" r:id="rId1"/>
  <headerFooter alignWithMargins="0">
    <oddHeader>&amp;L&amp;8 MINISTERIO  DE  SALUD
 SERVICIO DE SALUD ACONCAGUA
 ESTADISTICA</oddHeader>
  </headerFooter>
  <rowBreaks count="4" manualBreakCount="4">
    <brk id="46" max="255" man="1"/>
    <brk id="95" max="255" man="1"/>
    <brk id="144" max="255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237"/>
  <sheetViews>
    <sheetView defaultGridColor="0" zoomScale="75" zoomScaleNormal="75" zoomScalePageLayoutView="0" colorId="22" workbookViewId="0" topLeftCell="A149">
      <selection activeCell="C159" sqref="C159:L187"/>
    </sheetView>
  </sheetViews>
  <sheetFormatPr defaultColWidth="9.77734375" defaultRowHeight="15"/>
  <cols>
    <col min="1" max="1" width="27.77734375" style="1" customWidth="1"/>
    <col min="2" max="2" width="10.77734375" style="1" bestFit="1" customWidth="1"/>
    <col min="3" max="7" width="9.77734375" style="1" customWidth="1"/>
    <col min="8" max="8" width="10.77734375" style="1" customWidth="1"/>
    <col min="9" max="9" width="9.77734375" style="1" customWidth="1"/>
    <col min="10" max="19" width="10.21484375" style="1" customWidth="1"/>
    <col min="20" max="16384" width="9.77734375" style="1" customWidth="1"/>
  </cols>
  <sheetData>
    <row r="1" ht="15">
      <c r="E1" s="1" t="s">
        <v>0</v>
      </c>
    </row>
    <row r="3" ht="15">
      <c r="G3" s="1" t="s">
        <v>90</v>
      </c>
    </row>
    <row r="5" ht="15.75" thickBot="1"/>
    <row r="6" spans="1:19" ht="15">
      <c r="A6" s="62"/>
      <c r="B6" s="63"/>
      <c r="C6" s="62"/>
      <c r="D6" s="64"/>
      <c r="E6" s="64"/>
      <c r="F6" s="64"/>
      <c r="G6" s="64"/>
      <c r="H6" s="64"/>
      <c r="I6" s="65"/>
      <c r="J6" s="66"/>
      <c r="K6" s="67"/>
      <c r="L6" s="68"/>
      <c r="M6" s="62"/>
      <c r="N6" s="64"/>
      <c r="O6" s="64"/>
      <c r="P6" s="64"/>
      <c r="Q6" s="64"/>
      <c r="R6" s="64"/>
      <c r="S6" s="65"/>
    </row>
    <row r="7" spans="1:19" ht="15">
      <c r="A7" s="69"/>
      <c r="B7" s="70"/>
      <c r="C7" s="69"/>
      <c r="D7" s="71"/>
      <c r="E7" s="71" t="s">
        <v>2</v>
      </c>
      <c r="F7" s="71"/>
      <c r="G7" s="71"/>
      <c r="H7" s="71"/>
      <c r="I7" s="72"/>
      <c r="J7" s="73" t="s">
        <v>3</v>
      </c>
      <c r="K7" s="74"/>
      <c r="L7" s="75"/>
      <c r="M7" s="69"/>
      <c r="N7" s="211" t="s">
        <v>4</v>
      </c>
      <c r="O7" s="211"/>
      <c r="P7" s="211"/>
      <c r="Q7" s="211"/>
      <c r="R7" s="211"/>
      <c r="S7" s="212"/>
    </row>
    <row r="8" spans="1:19" ht="15.75" thickBot="1">
      <c r="A8" s="69"/>
      <c r="B8" s="78"/>
      <c r="C8" s="79" t="s">
        <v>1</v>
      </c>
      <c r="D8" s="80"/>
      <c r="E8" s="80" t="s">
        <v>1</v>
      </c>
      <c r="F8" s="80"/>
      <c r="G8" s="80" t="s">
        <v>1</v>
      </c>
      <c r="H8" s="80" t="s">
        <v>1</v>
      </c>
      <c r="I8" s="81" t="s">
        <v>1</v>
      </c>
      <c r="J8" s="79" t="s">
        <v>1</v>
      </c>
      <c r="K8" s="80" t="s">
        <v>1</v>
      </c>
      <c r="L8" s="81" t="s">
        <v>1</v>
      </c>
      <c r="M8" s="79" t="s">
        <v>1</v>
      </c>
      <c r="N8" s="80" t="s">
        <v>1</v>
      </c>
      <c r="O8" s="80"/>
      <c r="P8" s="80"/>
      <c r="Q8" s="80" t="s">
        <v>1</v>
      </c>
      <c r="R8" s="80"/>
      <c r="S8" s="81" t="s">
        <v>1</v>
      </c>
    </row>
    <row r="9" spans="1:19" ht="15.75" thickTop="1">
      <c r="A9" s="69"/>
      <c r="B9" s="82" t="s">
        <v>5</v>
      </c>
      <c r="C9" s="69"/>
      <c r="D9" s="71"/>
      <c r="E9" s="71"/>
      <c r="F9" s="71"/>
      <c r="G9" s="71"/>
      <c r="H9" s="71"/>
      <c r="I9" s="72"/>
      <c r="J9" s="73"/>
      <c r="K9" s="74"/>
      <c r="L9" s="75"/>
      <c r="M9" s="83"/>
      <c r="N9" s="76"/>
      <c r="O9" s="76"/>
      <c r="P9" s="76"/>
      <c r="Q9" s="76"/>
      <c r="R9" s="76"/>
      <c r="S9" s="77"/>
    </row>
    <row r="10" spans="1:19" ht="15">
      <c r="A10" s="83" t="s">
        <v>6</v>
      </c>
      <c r="B10" s="78"/>
      <c r="C10" s="84"/>
      <c r="D10" s="85"/>
      <c r="E10" s="71"/>
      <c r="F10" s="86" t="s">
        <v>75</v>
      </c>
      <c r="G10" s="86" t="s">
        <v>76</v>
      </c>
      <c r="H10" s="76" t="s">
        <v>7</v>
      </c>
      <c r="I10" s="77" t="s">
        <v>8</v>
      </c>
      <c r="J10" s="87"/>
      <c r="K10" s="88" t="s">
        <v>9</v>
      </c>
      <c r="L10" s="89" t="s">
        <v>10</v>
      </c>
      <c r="M10" s="83"/>
      <c r="N10" s="76" t="s">
        <v>11</v>
      </c>
      <c r="O10" s="76" t="s">
        <v>77</v>
      </c>
      <c r="P10" s="76" t="s">
        <v>54</v>
      </c>
      <c r="Q10" s="76" t="s">
        <v>49</v>
      </c>
      <c r="R10" s="76" t="s">
        <v>34</v>
      </c>
      <c r="S10" s="77" t="s">
        <v>35</v>
      </c>
    </row>
    <row r="11" spans="1:19" ht="15.75" thickBot="1">
      <c r="A11" s="133"/>
      <c r="B11" s="134" t="s">
        <v>12</v>
      </c>
      <c r="C11" s="135" t="s">
        <v>13</v>
      </c>
      <c r="D11" s="136" t="s">
        <v>74</v>
      </c>
      <c r="E11" s="137" t="s">
        <v>14</v>
      </c>
      <c r="F11" s="137" t="s">
        <v>15</v>
      </c>
      <c r="G11" s="137" t="s">
        <v>15</v>
      </c>
      <c r="H11" s="137" t="s">
        <v>16</v>
      </c>
      <c r="I11" s="138" t="s">
        <v>16</v>
      </c>
      <c r="J11" s="139" t="s">
        <v>13</v>
      </c>
      <c r="K11" s="140" t="s">
        <v>16</v>
      </c>
      <c r="L11" s="141" t="s">
        <v>16</v>
      </c>
      <c r="M11" s="135" t="s">
        <v>13</v>
      </c>
      <c r="N11" s="137" t="s">
        <v>16</v>
      </c>
      <c r="O11" s="137" t="s">
        <v>16</v>
      </c>
      <c r="P11" s="137" t="s">
        <v>16</v>
      </c>
      <c r="Q11" s="137" t="s">
        <v>16</v>
      </c>
      <c r="R11" s="137" t="s">
        <v>16</v>
      </c>
      <c r="S11" s="138" t="s">
        <v>16</v>
      </c>
    </row>
    <row r="12" spans="1:19" ht="15">
      <c r="A12" s="62"/>
      <c r="B12" s="142"/>
      <c r="C12" s="143"/>
      <c r="D12" s="144"/>
      <c r="E12" s="145"/>
      <c r="F12" s="144"/>
      <c r="G12" s="145"/>
      <c r="H12" s="145"/>
      <c r="I12" s="146"/>
      <c r="J12" s="143"/>
      <c r="K12" s="145"/>
      <c r="L12" s="146"/>
      <c r="M12" s="143"/>
      <c r="N12" s="145"/>
      <c r="O12" s="145"/>
      <c r="P12" s="145"/>
      <c r="Q12" s="145"/>
      <c r="R12" s="145"/>
      <c r="S12" s="146"/>
    </row>
    <row r="13" spans="1:19" ht="16.5" customHeight="1">
      <c r="A13" s="69" t="s">
        <v>17</v>
      </c>
      <c r="B13" s="92">
        <f aca="true" t="shared" si="0" ref="B13:S13">SUM(B14:B44)</f>
        <v>283366</v>
      </c>
      <c r="C13" s="73">
        <f t="shared" si="0"/>
        <v>38378</v>
      </c>
      <c r="D13" s="73">
        <f t="shared" si="0"/>
        <v>3498</v>
      </c>
      <c r="E13" s="74">
        <f t="shared" si="0"/>
        <v>3500</v>
      </c>
      <c r="F13" s="74">
        <f t="shared" si="0"/>
        <v>1760</v>
      </c>
      <c r="G13" s="74">
        <f t="shared" si="0"/>
        <v>1738</v>
      </c>
      <c r="H13" s="74">
        <f t="shared" si="0"/>
        <v>15300</v>
      </c>
      <c r="I13" s="75">
        <f t="shared" si="0"/>
        <v>16080</v>
      </c>
      <c r="J13" s="73">
        <f t="shared" si="0"/>
        <v>37486</v>
      </c>
      <c r="K13" s="74">
        <f t="shared" si="0"/>
        <v>19497</v>
      </c>
      <c r="L13" s="75">
        <f t="shared" si="0"/>
        <v>17989</v>
      </c>
      <c r="M13" s="73">
        <f t="shared" si="0"/>
        <v>207502</v>
      </c>
      <c r="N13" s="74">
        <f t="shared" si="0"/>
        <v>102195</v>
      </c>
      <c r="O13" s="74">
        <f t="shared" si="0"/>
        <v>83720</v>
      </c>
      <c r="P13" s="74">
        <f t="shared" si="0"/>
        <v>36079</v>
      </c>
      <c r="Q13" s="74">
        <f t="shared" si="0"/>
        <v>32170</v>
      </c>
      <c r="R13" s="74">
        <f t="shared" si="0"/>
        <v>12569</v>
      </c>
      <c r="S13" s="75">
        <f t="shared" si="0"/>
        <v>24489</v>
      </c>
    </row>
    <row r="14" spans="1:256" s="98" customFormat="1" ht="14.25" customHeight="1">
      <c r="A14" s="93" t="s">
        <v>55</v>
      </c>
      <c r="B14" s="94">
        <f aca="true" t="shared" si="1" ref="B14:B42">SUM(C14,J14,M14)</f>
        <v>26533</v>
      </c>
      <c r="C14" s="95">
        <f aca="true" t="shared" si="2" ref="C14:C42">SUM(E14:I14)</f>
        <v>3657</v>
      </c>
      <c r="D14" s="61">
        <v>320</v>
      </c>
      <c r="E14" s="96">
        <v>333</v>
      </c>
      <c r="F14" s="61">
        <v>162</v>
      </c>
      <c r="G14" s="96">
        <v>158</v>
      </c>
      <c r="H14" s="96">
        <v>1537</v>
      </c>
      <c r="I14" s="97">
        <v>1467</v>
      </c>
      <c r="J14" s="95">
        <f aca="true" t="shared" si="3" ref="J14:J42">SUM(K14:L14)</f>
        <v>3417</v>
      </c>
      <c r="K14" s="96">
        <v>1795</v>
      </c>
      <c r="L14" s="97">
        <v>1622</v>
      </c>
      <c r="M14" s="95">
        <f>+N14+P14+Q14+R14+S14</f>
        <v>19459</v>
      </c>
      <c r="N14" s="96">
        <v>9409</v>
      </c>
      <c r="O14" s="96">
        <v>7666</v>
      </c>
      <c r="P14" s="96">
        <v>3436</v>
      </c>
      <c r="Q14" s="96">
        <v>3087</v>
      </c>
      <c r="R14" s="96">
        <v>1201</v>
      </c>
      <c r="S14" s="97">
        <v>2326</v>
      </c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8" customFormat="1" ht="14.25" customHeight="1">
      <c r="A15" s="93" t="s">
        <v>84</v>
      </c>
      <c r="B15" s="90">
        <f t="shared" si="1"/>
        <v>34886</v>
      </c>
      <c r="C15" s="95">
        <f t="shared" si="2"/>
        <v>4737</v>
      </c>
      <c r="D15" s="61">
        <v>442</v>
      </c>
      <c r="E15" s="61">
        <v>440</v>
      </c>
      <c r="F15" s="61">
        <v>220</v>
      </c>
      <c r="G15" s="61">
        <v>218</v>
      </c>
      <c r="H15" s="61">
        <v>1847</v>
      </c>
      <c r="I15" s="61">
        <v>2012</v>
      </c>
      <c r="J15" s="95">
        <f t="shared" si="3"/>
        <v>4577</v>
      </c>
      <c r="K15" s="61">
        <v>2397</v>
      </c>
      <c r="L15" s="61">
        <v>2180</v>
      </c>
      <c r="M15" s="95">
        <f aca="true" t="shared" si="4" ref="M15:M44">+N15+P15+Q15+R15+S15</f>
        <v>25572</v>
      </c>
      <c r="N15" s="61">
        <v>13018</v>
      </c>
      <c r="O15" s="61">
        <v>10716</v>
      </c>
      <c r="P15" s="61">
        <v>4308</v>
      </c>
      <c r="Q15" s="61">
        <v>3898</v>
      </c>
      <c r="R15" s="61">
        <v>1466</v>
      </c>
      <c r="S15" s="108">
        <v>2882</v>
      </c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8" customFormat="1" ht="17.25" customHeight="1">
      <c r="A16" s="93" t="s">
        <v>85</v>
      </c>
      <c r="B16" s="90">
        <f t="shared" si="1"/>
        <v>37156</v>
      </c>
      <c r="C16" s="95">
        <f t="shared" si="2"/>
        <v>4970</v>
      </c>
      <c r="D16" s="61">
        <v>465</v>
      </c>
      <c r="E16" s="61">
        <v>460</v>
      </c>
      <c r="F16" s="61">
        <v>234</v>
      </c>
      <c r="G16" s="61">
        <v>226</v>
      </c>
      <c r="H16" s="61">
        <v>1958</v>
      </c>
      <c r="I16" s="61">
        <v>2092</v>
      </c>
      <c r="J16" s="95">
        <f t="shared" si="3"/>
        <v>5097</v>
      </c>
      <c r="K16" s="61">
        <v>2652</v>
      </c>
      <c r="L16" s="61">
        <v>2445</v>
      </c>
      <c r="M16" s="95">
        <f t="shared" si="4"/>
        <v>27089</v>
      </c>
      <c r="N16" s="61">
        <v>13724</v>
      </c>
      <c r="O16" s="61">
        <v>11220</v>
      </c>
      <c r="P16" s="61">
        <v>4601</v>
      </c>
      <c r="Q16" s="61">
        <v>4124</v>
      </c>
      <c r="R16" s="61">
        <v>1564</v>
      </c>
      <c r="S16" s="108">
        <v>3076</v>
      </c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0" customFormat="1" ht="17.25" customHeight="1">
      <c r="A17" s="99" t="s">
        <v>86</v>
      </c>
      <c r="B17" s="90">
        <f t="shared" si="1"/>
        <v>32948</v>
      </c>
      <c r="C17" s="91">
        <f t="shared" si="2"/>
        <v>4157</v>
      </c>
      <c r="D17" s="61">
        <v>386</v>
      </c>
      <c r="E17" s="61">
        <v>386</v>
      </c>
      <c r="F17" s="61">
        <v>192</v>
      </c>
      <c r="G17" s="61">
        <v>191</v>
      </c>
      <c r="H17" s="61">
        <v>1653</v>
      </c>
      <c r="I17" s="61">
        <v>1735</v>
      </c>
      <c r="J17" s="91">
        <f t="shared" si="3"/>
        <v>4345</v>
      </c>
      <c r="K17" s="61">
        <v>2211</v>
      </c>
      <c r="L17" s="61">
        <v>2134</v>
      </c>
      <c r="M17" s="95">
        <f t="shared" si="4"/>
        <v>24446</v>
      </c>
      <c r="N17" s="61">
        <v>12086</v>
      </c>
      <c r="O17" s="61">
        <v>10020</v>
      </c>
      <c r="P17" s="61">
        <v>4182</v>
      </c>
      <c r="Q17" s="61">
        <v>3743</v>
      </c>
      <c r="R17" s="61">
        <v>1491</v>
      </c>
      <c r="S17" s="108">
        <v>2944</v>
      </c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0" customFormat="1" ht="17.25" customHeight="1">
      <c r="A18" s="99" t="s">
        <v>87</v>
      </c>
      <c r="B18" s="90">
        <f t="shared" si="1"/>
        <v>25631</v>
      </c>
      <c r="C18" s="91">
        <f t="shared" si="2"/>
        <v>3195</v>
      </c>
      <c r="D18" s="61">
        <v>294</v>
      </c>
      <c r="E18" s="61">
        <v>294</v>
      </c>
      <c r="F18" s="61">
        <v>145</v>
      </c>
      <c r="G18" s="61">
        <v>144</v>
      </c>
      <c r="H18" s="61">
        <v>1256</v>
      </c>
      <c r="I18" s="61">
        <v>1356</v>
      </c>
      <c r="J18" s="91">
        <f t="shared" si="3"/>
        <v>3347</v>
      </c>
      <c r="K18" s="61">
        <v>1732</v>
      </c>
      <c r="L18" s="61">
        <v>1615</v>
      </c>
      <c r="M18" s="95">
        <f t="shared" si="4"/>
        <v>19089</v>
      </c>
      <c r="N18" s="61">
        <v>9220</v>
      </c>
      <c r="O18" s="61">
        <v>7630</v>
      </c>
      <c r="P18" s="61">
        <v>3200</v>
      </c>
      <c r="Q18" s="61">
        <v>3068</v>
      </c>
      <c r="R18" s="61">
        <v>1242</v>
      </c>
      <c r="S18" s="108">
        <v>2359</v>
      </c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1" ht="17.25" customHeight="1">
      <c r="A19" s="69" t="s">
        <v>56</v>
      </c>
      <c r="B19" s="101">
        <f t="shared" si="1"/>
        <v>11263</v>
      </c>
      <c r="C19" s="102">
        <f t="shared" si="2"/>
        <v>1703</v>
      </c>
      <c r="D19" s="61">
        <v>148</v>
      </c>
      <c r="E19" s="103">
        <v>145</v>
      </c>
      <c r="F19" s="61">
        <v>75</v>
      </c>
      <c r="G19" s="103">
        <v>73</v>
      </c>
      <c r="H19" s="103">
        <v>665</v>
      </c>
      <c r="I19" s="104">
        <v>745</v>
      </c>
      <c r="J19" s="102">
        <f t="shared" si="3"/>
        <v>1498</v>
      </c>
      <c r="K19" s="103">
        <v>809</v>
      </c>
      <c r="L19" s="104">
        <v>689</v>
      </c>
      <c r="M19" s="95">
        <f t="shared" si="4"/>
        <v>8062</v>
      </c>
      <c r="N19" s="103">
        <v>4090</v>
      </c>
      <c r="O19" s="103">
        <v>3424</v>
      </c>
      <c r="P19" s="103">
        <v>1522</v>
      </c>
      <c r="Q19" s="103">
        <v>1137</v>
      </c>
      <c r="R19" s="103">
        <v>451</v>
      </c>
      <c r="S19" s="104">
        <v>862</v>
      </c>
      <c r="T19" s="2"/>
      <c r="U19" s="2"/>
    </row>
    <row r="20" spans="1:256" s="4" customFormat="1" ht="17.25" customHeight="1">
      <c r="A20" s="105" t="s">
        <v>57</v>
      </c>
      <c r="B20" s="106">
        <f t="shared" si="1"/>
        <v>12373</v>
      </c>
      <c r="C20" s="107">
        <f t="shared" si="2"/>
        <v>1751</v>
      </c>
      <c r="D20" s="61">
        <v>142</v>
      </c>
      <c r="E20" s="61">
        <v>144</v>
      </c>
      <c r="F20" s="61">
        <v>69</v>
      </c>
      <c r="G20" s="61">
        <v>69</v>
      </c>
      <c r="H20" s="61">
        <v>730</v>
      </c>
      <c r="I20" s="61">
        <v>739</v>
      </c>
      <c r="J20" s="107">
        <f t="shared" si="3"/>
        <v>1646</v>
      </c>
      <c r="K20" s="61">
        <v>875</v>
      </c>
      <c r="L20" s="61">
        <v>771</v>
      </c>
      <c r="M20" s="95">
        <f t="shared" si="4"/>
        <v>8976</v>
      </c>
      <c r="N20" s="61">
        <v>4356</v>
      </c>
      <c r="O20" s="61">
        <v>3653</v>
      </c>
      <c r="P20" s="61">
        <v>1669</v>
      </c>
      <c r="Q20" s="61">
        <v>1382</v>
      </c>
      <c r="R20" s="61">
        <v>526</v>
      </c>
      <c r="S20" s="108">
        <v>1043</v>
      </c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17.25" customHeight="1">
      <c r="A21" s="105" t="s">
        <v>58</v>
      </c>
      <c r="B21" s="106">
        <f t="shared" si="1"/>
        <v>13706</v>
      </c>
      <c r="C21" s="107">
        <f t="shared" si="2"/>
        <v>1787</v>
      </c>
      <c r="D21" s="61">
        <v>160</v>
      </c>
      <c r="E21" s="61">
        <v>163</v>
      </c>
      <c r="F21" s="61">
        <v>75</v>
      </c>
      <c r="G21" s="61">
        <v>75</v>
      </c>
      <c r="H21" s="61">
        <v>712</v>
      </c>
      <c r="I21" s="108">
        <v>762</v>
      </c>
      <c r="J21" s="107">
        <f t="shared" si="3"/>
        <v>1807</v>
      </c>
      <c r="K21" s="61">
        <v>947</v>
      </c>
      <c r="L21" s="108">
        <v>860</v>
      </c>
      <c r="M21" s="95">
        <f t="shared" si="4"/>
        <v>10112</v>
      </c>
      <c r="N21" s="61">
        <v>4939</v>
      </c>
      <c r="O21" s="61">
        <v>4013</v>
      </c>
      <c r="P21" s="61">
        <v>1764</v>
      </c>
      <c r="Q21" s="61">
        <v>1540</v>
      </c>
      <c r="R21" s="61">
        <v>637</v>
      </c>
      <c r="S21" s="108">
        <v>1232</v>
      </c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17.25" customHeight="1">
      <c r="A22" s="105" t="s">
        <v>59</v>
      </c>
      <c r="B22" s="106">
        <f t="shared" si="1"/>
        <v>10117</v>
      </c>
      <c r="C22" s="107">
        <f t="shared" si="2"/>
        <v>1267</v>
      </c>
      <c r="D22" s="61">
        <v>113</v>
      </c>
      <c r="E22" s="61">
        <v>112</v>
      </c>
      <c r="F22" s="61">
        <v>56</v>
      </c>
      <c r="G22" s="61">
        <v>56</v>
      </c>
      <c r="H22" s="61">
        <v>502</v>
      </c>
      <c r="I22" s="61">
        <v>541</v>
      </c>
      <c r="J22" s="107">
        <f t="shared" si="3"/>
        <v>1294</v>
      </c>
      <c r="K22" s="61">
        <v>654</v>
      </c>
      <c r="L22" s="61">
        <v>640</v>
      </c>
      <c r="M22" s="95">
        <f t="shared" si="4"/>
        <v>7556</v>
      </c>
      <c r="N22" s="61">
        <v>3331</v>
      </c>
      <c r="O22" s="61">
        <v>2782</v>
      </c>
      <c r="P22" s="61">
        <v>1380</v>
      </c>
      <c r="Q22" s="61">
        <v>1187</v>
      </c>
      <c r="R22" s="61">
        <v>499</v>
      </c>
      <c r="S22" s="108">
        <v>1159</v>
      </c>
      <c r="T22" s="2"/>
      <c r="U22" s="2"/>
      <c r="V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17.25" customHeight="1">
      <c r="A23" s="105" t="s">
        <v>60</v>
      </c>
      <c r="B23" s="106">
        <f t="shared" si="1"/>
        <v>13899</v>
      </c>
      <c r="C23" s="107">
        <f t="shared" si="2"/>
        <v>2023</v>
      </c>
      <c r="D23" s="61">
        <v>207</v>
      </c>
      <c r="E23" s="61">
        <v>202</v>
      </c>
      <c r="F23" s="61">
        <v>104</v>
      </c>
      <c r="G23" s="61">
        <v>104</v>
      </c>
      <c r="H23" s="61">
        <v>790</v>
      </c>
      <c r="I23" s="108">
        <v>823</v>
      </c>
      <c r="J23" s="107">
        <f t="shared" si="3"/>
        <v>1831</v>
      </c>
      <c r="K23" s="61">
        <v>941</v>
      </c>
      <c r="L23" s="108">
        <v>890</v>
      </c>
      <c r="M23" s="95">
        <f t="shared" si="4"/>
        <v>10045</v>
      </c>
      <c r="N23" s="61">
        <v>5184</v>
      </c>
      <c r="O23" s="61">
        <v>4226</v>
      </c>
      <c r="P23" s="61">
        <v>1826</v>
      </c>
      <c r="Q23" s="61">
        <v>1424</v>
      </c>
      <c r="R23" s="61">
        <v>547</v>
      </c>
      <c r="S23" s="108">
        <v>1064</v>
      </c>
      <c r="T23" s="2"/>
      <c r="U23" s="2"/>
      <c r="V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17.25" customHeight="1">
      <c r="A24" s="105" t="s">
        <v>61</v>
      </c>
      <c r="B24" s="106">
        <f t="shared" si="1"/>
        <v>12889</v>
      </c>
      <c r="C24" s="107">
        <f t="shared" si="2"/>
        <v>1749</v>
      </c>
      <c r="D24" s="61">
        <v>161</v>
      </c>
      <c r="E24" s="61">
        <v>162</v>
      </c>
      <c r="F24" s="61">
        <v>81</v>
      </c>
      <c r="G24" s="61">
        <v>80</v>
      </c>
      <c r="H24" s="61">
        <v>708</v>
      </c>
      <c r="I24" s="61">
        <v>718</v>
      </c>
      <c r="J24" s="107">
        <f t="shared" si="3"/>
        <v>1721</v>
      </c>
      <c r="K24" s="61">
        <v>865</v>
      </c>
      <c r="L24" s="61">
        <v>856</v>
      </c>
      <c r="M24" s="95">
        <f t="shared" si="4"/>
        <v>9419</v>
      </c>
      <c r="N24" s="61">
        <v>4569</v>
      </c>
      <c r="O24" s="61">
        <v>3677</v>
      </c>
      <c r="P24" s="61">
        <v>1709</v>
      </c>
      <c r="Q24" s="61">
        <v>1523</v>
      </c>
      <c r="R24" s="61">
        <v>536</v>
      </c>
      <c r="S24" s="108">
        <v>1082</v>
      </c>
      <c r="T24" s="1"/>
      <c r="U24" s="2"/>
      <c r="V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" customFormat="1" ht="17.25" customHeight="1">
      <c r="A25" s="105" t="s">
        <v>78</v>
      </c>
      <c r="B25" s="106">
        <f t="shared" si="1"/>
        <v>7594</v>
      </c>
      <c r="C25" s="107">
        <f t="shared" si="2"/>
        <v>1109</v>
      </c>
      <c r="D25" s="61">
        <v>90</v>
      </c>
      <c r="E25" s="61">
        <v>88</v>
      </c>
      <c r="F25" s="61">
        <v>48</v>
      </c>
      <c r="G25" s="61">
        <v>47</v>
      </c>
      <c r="H25" s="61">
        <v>448</v>
      </c>
      <c r="I25" s="61">
        <v>478</v>
      </c>
      <c r="J25" s="107">
        <f t="shared" si="3"/>
        <v>1020</v>
      </c>
      <c r="K25" s="61">
        <v>530</v>
      </c>
      <c r="L25" s="61">
        <v>490</v>
      </c>
      <c r="M25" s="95">
        <f t="shared" si="4"/>
        <v>5465</v>
      </c>
      <c r="N25" s="61">
        <v>2850</v>
      </c>
      <c r="O25" s="61">
        <v>2233</v>
      </c>
      <c r="P25" s="61">
        <v>880</v>
      </c>
      <c r="Q25" s="61">
        <v>790</v>
      </c>
      <c r="R25" s="61">
        <v>315</v>
      </c>
      <c r="S25" s="108">
        <v>630</v>
      </c>
      <c r="T25" s="1"/>
      <c r="U25" s="1"/>
      <c r="V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4" customFormat="1" ht="17.25" customHeight="1">
      <c r="A26" s="105" t="s">
        <v>62</v>
      </c>
      <c r="B26" s="106">
        <f t="shared" si="1"/>
        <v>7633</v>
      </c>
      <c r="C26" s="107">
        <f t="shared" si="2"/>
        <v>992</v>
      </c>
      <c r="D26" s="61">
        <v>94</v>
      </c>
      <c r="E26" s="61">
        <v>95</v>
      </c>
      <c r="F26" s="61">
        <v>47</v>
      </c>
      <c r="G26" s="61">
        <v>47</v>
      </c>
      <c r="H26" s="61">
        <v>393</v>
      </c>
      <c r="I26" s="108">
        <v>410</v>
      </c>
      <c r="J26" s="107">
        <f t="shared" si="3"/>
        <v>1018</v>
      </c>
      <c r="K26" s="61">
        <v>542</v>
      </c>
      <c r="L26" s="108">
        <v>476</v>
      </c>
      <c r="M26" s="95">
        <f t="shared" si="4"/>
        <v>5623</v>
      </c>
      <c r="N26" s="61">
        <v>2715</v>
      </c>
      <c r="O26" s="61">
        <v>2219</v>
      </c>
      <c r="P26" s="61">
        <v>995</v>
      </c>
      <c r="Q26" s="61">
        <v>949</v>
      </c>
      <c r="R26" s="61">
        <v>364</v>
      </c>
      <c r="S26" s="108">
        <v>600</v>
      </c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" customFormat="1" ht="17.25" customHeight="1">
      <c r="A27" s="147" t="s">
        <v>79</v>
      </c>
      <c r="B27" s="106">
        <f t="shared" si="1"/>
        <v>3858</v>
      </c>
      <c r="C27" s="107">
        <f t="shared" si="2"/>
        <v>539</v>
      </c>
      <c r="D27" s="61">
        <v>47</v>
      </c>
      <c r="E27" s="61">
        <v>45</v>
      </c>
      <c r="F27" s="61">
        <v>26</v>
      </c>
      <c r="G27" s="61">
        <v>25</v>
      </c>
      <c r="H27" s="61">
        <v>208</v>
      </c>
      <c r="I27" s="61">
        <v>235</v>
      </c>
      <c r="J27" s="107">
        <f t="shared" si="3"/>
        <v>502</v>
      </c>
      <c r="K27" s="61">
        <v>267</v>
      </c>
      <c r="L27" s="61">
        <v>235</v>
      </c>
      <c r="M27" s="95">
        <f t="shared" si="4"/>
        <v>2817</v>
      </c>
      <c r="N27" s="61">
        <v>1462</v>
      </c>
      <c r="O27" s="61">
        <v>1210</v>
      </c>
      <c r="P27" s="61">
        <v>449</v>
      </c>
      <c r="Q27" s="61">
        <v>420</v>
      </c>
      <c r="R27" s="61">
        <v>157</v>
      </c>
      <c r="S27" s="108">
        <v>329</v>
      </c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" customFormat="1" ht="17.25" customHeight="1">
      <c r="A28" s="147" t="s">
        <v>50</v>
      </c>
      <c r="B28" s="106">
        <f t="shared" si="1"/>
        <v>3641</v>
      </c>
      <c r="C28" s="107">
        <f t="shared" si="2"/>
        <v>554</v>
      </c>
      <c r="D28" s="61">
        <v>52</v>
      </c>
      <c r="E28" s="61">
        <v>51</v>
      </c>
      <c r="F28" s="61">
        <v>30</v>
      </c>
      <c r="G28" s="61">
        <v>29</v>
      </c>
      <c r="H28" s="61">
        <v>219</v>
      </c>
      <c r="I28" s="61">
        <v>225</v>
      </c>
      <c r="J28" s="107">
        <f t="shared" si="3"/>
        <v>472</v>
      </c>
      <c r="K28" s="61">
        <v>255</v>
      </c>
      <c r="L28" s="61">
        <v>217</v>
      </c>
      <c r="M28" s="95">
        <f t="shared" si="4"/>
        <v>2615</v>
      </c>
      <c r="N28" s="61">
        <v>1334</v>
      </c>
      <c r="O28" s="61">
        <v>980</v>
      </c>
      <c r="P28" s="61">
        <v>458</v>
      </c>
      <c r="Q28" s="61">
        <v>402</v>
      </c>
      <c r="R28" s="61">
        <v>151</v>
      </c>
      <c r="S28" s="108">
        <v>270</v>
      </c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15" s="4" customFormat="1" ht="17.25" customHeight="1">
      <c r="A29" s="147" t="s">
        <v>80</v>
      </c>
      <c r="B29" s="106">
        <f t="shared" si="1"/>
        <v>4155</v>
      </c>
      <c r="C29" s="107">
        <f t="shared" si="2"/>
        <v>587</v>
      </c>
      <c r="D29" s="61">
        <v>50</v>
      </c>
      <c r="E29" s="61">
        <v>52</v>
      </c>
      <c r="F29" s="61">
        <v>26</v>
      </c>
      <c r="G29" s="61">
        <v>26</v>
      </c>
      <c r="H29" s="61">
        <v>235</v>
      </c>
      <c r="I29" s="61">
        <v>248</v>
      </c>
      <c r="J29" s="107">
        <f>SUM(K29:L29)</f>
        <v>567</v>
      </c>
      <c r="K29" s="61">
        <v>289</v>
      </c>
      <c r="L29" s="61">
        <v>278</v>
      </c>
      <c r="M29" s="95">
        <f>+N29+P29+Q29+R29+S29</f>
        <v>3001</v>
      </c>
      <c r="N29" s="61">
        <v>1458</v>
      </c>
      <c r="O29" s="61">
        <v>1205</v>
      </c>
      <c r="P29" s="61">
        <v>537</v>
      </c>
      <c r="Q29" s="61">
        <v>480</v>
      </c>
      <c r="R29" s="61">
        <v>168</v>
      </c>
      <c r="S29" s="108">
        <v>358</v>
      </c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19" s="4" customFormat="1" ht="17.25" customHeight="1">
      <c r="A30" s="147" t="s">
        <v>51</v>
      </c>
      <c r="B30" s="106">
        <f t="shared" si="1"/>
        <v>2103</v>
      </c>
      <c r="C30" s="107">
        <f t="shared" si="2"/>
        <v>253</v>
      </c>
      <c r="D30" s="61">
        <v>22</v>
      </c>
      <c r="E30" s="61">
        <v>22</v>
      </c>
      <c r="F30" s="61">
        <v>10</v>
      </c>
      <c r="G30" s="61">
        <v>10</v>
      </c>
      <c r="H30" s="61">
        <v>105</v>
      </c>
      <c r="I30" s="61">
        <v>106</v>
      </c>
      <c r="J30" s="107">
        <f t="shared" si="3"/>
        <v>238</v>
      </c>
      <c r="K30" s="61">
        <v>120</v>
      </c>
      <c r="L30" s="61">
        <v>118</v>
      </c>
      <c r="M30" s="95">
        <f t="shared" si="4"/>
        <v>1612</v>
      </c>
      <c r="N30" s="61">
        <v>696</v>
      </c>
      <c r="O30" s="61">
        <v>586</v>
      </c>
      <c r="P30" s="61">
        <v>280</v>
      </c>
      <c r="Q30" s="61">
        <v>268</v>
      </c>
      <c r="R30" s="61">
        <v>138</v>
      </c>
      <c r="S30" s="108">
        <v>230</v>
      </c>
    </row>
    <row r="31" spans="1:19" s="4" customFormat="1" ht="17.25" customHeight="1">
      <c r="A31" s="147" t="s">
        <v>81</v>
      </c>
      <c r="B31" s="106">
        <f t="shared" si="1"/>
        <v>1507</v>
      </c>
      <c r="C31" s="107">
        <f t="shared" si="2"/>
        <v>222</v>
      </c>
      <c r="D31" s="61">
        <v>12</v>
      </c>
      <c r="E31" s="61">
        <v>13</v>
      </c>
      <c r="F31" s="61">
        <v>11</v>
      </c>
      <c r="G31" s="61">
        <v>11</v>
      </c>
      <c r="H31" s="61">
        <v>91</v>
      </c>
      <c r="I31" s="108">
        <v>96</v>
      </c>
      <c r="J31" s="107">
        <f>SUM(K31:L31)</f>
        <v>185</v>
      </c>
      <c r="K31" s="61">
        <v>99</v>
      </c>
      <c r="L31" s="108">
        <v>86</v>
      </c>
      <c r="M31" s="95">
        <f>+N31+P31+Q31+R31+S31</f>
        <v>1100</v>
      </c>
      <c r="N31" s="61">
        <v>475</v>
      </c>
      <c r="O31" s="61">
        <v>440</v>
      </c>
      <c r="P31" s="61">
        <v>178</v>
      </c>
      <c r="Q31" s="61">
        <v>191</v>
      </c>
      <c r="R31" s="61">
        <v>86</v>
      </c>
      <c r="S31" s="108">
        <v>170</v>
      </c>
    </row>
    <row r="32" spans="1:19" s="4" customFormat="1" ht="17.25" customHeight="1">
      <c r="A32" s="192" t="s">
        <v>89</v>
      </c>
      <c r="B32" s="106">
        <f t="shared" si="1"/>
        <v>1375</v>
      </c>
      <c r="C32" s="107">
        <f t="shared" si="2"/>
        <v>159</v>
      </c>
      <c r="D32" s="193">
        <v>19</v>
      </c>
      <c r="E32" s="193">
        <v>19</v>
      </c>
      <c r="F32" s="193">
        <v>9</v>
      </c>
      <c r="G32" s="193">
        <v>9</v>
      </c>
      <c r="H32" s="193">
        <v>59</v>
      </c>
      <c r="I32" s="193">
        <v>63</v>
      </c>
      <c r="J32" s="194">
        <f>SUM(K32:L32)</f>
        <v>178</v>
      </c>
      <c r="K32" s="193">
        <v>90</v>
      </c>
      <c r="L32" s="193">
        <v>88</v>
      </c>
      <c r="M32" s="195">
        <f>+N32+P32+Q32+R32+S32</f>
        <v>1038</v>
      </c>
      <c r="N32" s="193">
        <v>465</v>
      </c>
      <c r="O32" s="193">
        <v>331</v>
      </c>
      <c r="P32" s="193">
        <v>160</v>
      </c>
      <c r="Q32" s="193">
        <v>176</v>
      </c>
      <c r="R32" s="193">
        <v>72</v>
      </c>
      <c r="S32" s="196">
        <v>165</v>
      </c>
    </row>
    <row r="33" spans="1:19" s="4" customFormat="1" ht="17.25" customHeight="1">
      <c r="A33" s="105" t="s">
        <v>63</v>
      </c>
      <c r="B33" s="106">
        <f t="shared" si="1"/>
        <v>1686</v>
      </c>
      <c r="C33" s="107">
        <f t="shared" si="2"/>
        <v>233</v>
      </c>
      <c r="D33" s="61">
        <v>21</v>
      </c>
      <c r="E33" s="61">
        <v>22</v>
      </c>
      <c r="F33" s="61">
        <v>11</v>
      </c>
      <c r="G33" s="61">
        <v>11</v>
      </c>
      <c r="H33" s="61">
        <v>93</v>
      </c>
      <c r="I33" s="61">
        <v>96</v>
      </c>
      <c r="J33" s="107">
        <f t="shared" si="3"/>
        <v>206</v>
      </c>
      <c r="K33" s="61">
        <v>105</v>
      </c>
      <c r="L33" s="61">
        <v>101</v>
      </c>
      <c r="M33" s="95">
        <f t="shared" si="4"/>
        <v>1247</v>
      </c>
      <c r="N33" s="61">
        <v>600</v>
      </c>
      <c r="O33" s="61">
        <v>475</v>
      </c>
      <c r="P33" s="61">
        <v>235</v>
      </c>
      <c r="Q33" s="61">
        <v>190</v>
      </c>
      <c r="R33" s="61">
        <v>74</v>
      </c>
      <c r="S33" s="108">
        <v>148</v>
      </c>
    </row>
    <row r="34" spans="1:19" s="4" customFormat="1" ht="14.25" customHeight="1">
      <c r="A34" s="105" t="s">
        <v>64</v>
      </c>
      <c r="B34" s="106">
        <f t="shared" si="1"/>
        <v>850</v>
      </c>
      <c r="C34" s="107">
        <f t="shared" si="2"/>
        <v>117</v>
      </c>
      <c r="D34" s="61">
        <v>10</v>
      </c>
      <c r="E34" s="61">
        <v>11</v>
      </c>
      <c r="F34" s="61">
        <v>5</v>
      </c>
      <c r="G34" s="61">
        <v>5</v>
      </c>
      <c r="H34" s="61">
        <v>47</v>
      </c>
      <c r="I34" s="61">
        <v>49</v>
      </c>
      <c r="J34" s="107">
        <f t="shared" si="3"/>
        <v>107</v>
      </c>
      <c r="K34" s="61">
        <v>55</v>
      </c>
      <c r="L34" s="61">
        <v>52</v>
      </c>
      <c r="M34" s="95">
        <f t="shared" si="4"/>
        <v>626</v>
      </c>
      <c r="N34" s="61">
        <v>301</v>
      </c>
      <c r="O34" s="61">
        <v>242</v>
      </c>
      <c r="P34" s="61">
        <v>116</v>
      </c>
      <c r="Q34" s="61">
        <v>95</v>
      </c>
      <c r="R34" s="61">
        <v>39</v>
      </c>
      <c r="S34" s="108">
        <v>75</v>
      </c>
    </row>
    <row r="35" spans="1:19" s="4" customFormat="1" ht="14.25" customHeight="1">
      <c r="A35" s="105" t="s">
        <v>65</v>
      </c>
      <c r="B35" s="106">
        <f t="shared" si="1"/>
        <v>1579</v>
      </c>
      <c r="C35" s="107">
        <f t="shared" si="2"/>
        <v>227</v>
      </c>
      <c r="D35" s="61">
        <v>21</v>
      </c>
      <c r="E35" s="61">
        <v>22</v>
      </c>
      <c r="F35" s="61">
        <v>11</v>
      </c>
      <c r="G35" s="61">
        <v>11</v>
      </c>
      <c r="H35" s="61">
        <v>90</v>
      </c>
      <c r="I35" s="61">
        <v>93</v>
      </c>
      <c r="J35" s="107">
        <f t="shared" si="3"/>
        <v>201</v>
      </c>
      <c r="K35" s="61">
        <v>102</v>
      </c>
      <c r="L35" s="61">
        <v>99</v>
      </c>
      <c r="M35" s="95">
        <f t="shared" si="4"/>
        <v>1151</v>
      </c>
      <c r="N35" s="61">
        <v>574</v>
      </c>
      <c r="O35" s="61">
        <v>465</v>
      </c>
      <c r="P35" s="61">
        <v>225</v>
      </c>
      <c r="Q35" s="61">
        <v>150</v>
      </c>
      <c r="R35" s="61">
        <v>71</v>
      </c>
      <c r="S35" s="108">
        <v>131</v>
      </c>
    </row>
    <row r="36" spans="1:19" s="4" customFormat="1" ht="15">
      <c r="A36" s="105" t="s">
        <v>66</v>
      </c>
      <c r="B36" s="106">
        <f t="shared" si="1"/>
        <v>1867</v>
      </c>
      <c r="C36" s="107">
        <f t="shared" si="2"/>
        <v>313</v>
      </c>
      <c r="D36" s="61">
        <v>25</v>
      </c>
      <c r="E36" s="61">
        <v>25</v>
      </c>
      <c r="F36" s="61">
        <v>13</v>
      </c>
      <c r="G36" s="61">
        <v>13</v>
      </c>
      <c r="H36" s="61">
        <v>130</v>
      </c>
      <c r="I36" s="61">
        <v>132</v>
      </c>
      <c r="J36" s="107">
        <f t="shared" si="3"/>
        <v>286</v>
      </c>
      <c r="K36" s="61">
        <v>155</v>
      </c>
      <c r="L36" s="61">
        <v>131</v>
      </c>
      <c r="M36" s="95">
        <f t="shared" si="4"/>
        <v>1268</v>
      </c>
      <c r="N36" s="61">
        <v>549</v>
      </c>
      <c r="O36" s="61">
        <v>400</v>
      </c>
      <c r="P36" s="61">
        <v>251</v>
      </c>
      <c r="Q36" s="61">
        <v>214</v>
      </c>
      <c r="R36" s="61">
        <v>95</v>
      </c>
      <c r="S36" s="108">
        <v>159</v>
      </c>
    </row>
    <row r="37" spans="1:19" s="4" customFormat="1" ht="15">
      <c r="A37" s="105" t="s">
        <v>67</v>
      </c>
      <c r="B37" s="106">
        <f t="shared" si="1"/>
        <v>2583</v>
      </c>
      <c r="C37" s="107">
        <f t="shared" si="2"/>
        <v>433</v>
      </c>
      <c r="D37" s="61">
        <v>31</v>
      </c>
      <c r="E37" s="61">
        <v>29</v>
      </c>
      <c r="F37" s="61">
        <v>15</v>
      </c>
      <c r="G37" s="61">
        <v>15</v>
      </c>
      <c r="H37" s="61">
        <v>182</v>
      </c>
      <c r="I37" s="108">
        <v>192</v>
      </c>
      <c r="J37" s="107">
        <f t="shared" si="3"/>
        <v>347</v>
      </c>
      <c r="K37" s="61">
        <v>201</v>
      </c>
      <c r="L37" s="108">
        <v>146</v>
      </c>
      <c r="M37" s="95">
        <f t="shared" si="4"/>
        <v>1803</v>
      </c>
      <c r="N37" s="61">
        <v>786</v>
      </c>
      <c r="O37" s="61">
        <v>739</v>
      </c>
      <c r="P37" s="61">
        <v>314</v>
      </c>
      <c r="Q37" s="61">
        <v>323</v>
      </c>
      <c r="R37" s="61">
        <v>125</v>
      </c>
      <c r="S37" s="108">
        <v>255</v>
      </c>
    </row>
    <row r="38" spans="1:19" s="4" customFormat="1" ht="15">
      <c r="A38" s="105" t="s">
        <v>68</v>
      </c>
      <c r="B38" s="106">
        <f t="shared" si="1"/>
        <v>1193</v>
      </c>
      <c r="C38" s="107">
        <f t="shared" si="2"/>
        <v>163</v>
      </c>
      <c r="D38" s="61">
        <v>17</v>
      </c>
      <c r="E38" s="61">
        <v>17</v>
      </c>
      <c r="F38" s="61">
        <v>8</v>
      </c>
      <c r="G38" s="61">
        <v>8</v>
      </c>
      <c r="H38" s="61">
        <v>64</v>
      </c>
      <c r="I38" s="61">
        <v>66</v>
      </c>
      <c r="J38" s="107">
        <f t="shared" si="3"/>
        <v>158</v>
      </c>
      <c r="K38" s="61">
        <v>80</v>
      </c>
      <c r="L38" s="61">
        <v>78</v>
      </c>
      <c r="M38" s="95">
        <f t="shared" si="4"/>
        <v>872</v>
      </c>
      <c r="N38" s="61">
        <v>402</v>
      </c>
      <c r="O38" s="61">
        <v>299</v>
      </c>
      <c r="P38" s="61">
        <v>143</v>
      </c>
      <c r="Q38" s="61">
        <v>152</v>
      </c>
      <c r="R38" s="61">
        <v>55</v>
      </c>
      <c r="S38" s="108">
        <v>120</v>
      </c>
    </row>
    <row r="39" spans="1:19" s="4" customFormat="1" ht="15">
      <c r="A39" s="105" t="s">
        <v>69</v>
      </c>
      <c r="B39" s="106">
        <f t="shared" si="1"/>
        <v>1347</v>
      </c>
      <c r="C39" s="107">
        <f t="shared" si="2"/>
        <v>181</v>
      </c>
      <c r="D39" s="61">
        <v>17</v>
      </c>
      <c r="E39" s="61">
        <v>17</v>
      </c>
      <c r="F39" s="61">
        <v>9</v>
      </c>
      <c r="G39" s="61">
        <v>9</v>
      </c>
      <c r="H39" s="61">
        <v>72</v>
      </c>
      <c r="I39" s="61">
        <v>74</v>
      </c>
      <c r="J39" s="107">
        <f t="shared" si="3"/>
        <v>177</v>
      </c>
      <c r="K39" s="61">
        <v>90</v>
      </c>
      <c r="L39" s="61">
        <v>87</v>
      </c>
      <c r="M39" s="95">
        <f t="shared" si="4"/>
        <v>989</v>
      </c>
      <c r="N39" s="61">
        <v>456</v>
      </c>
      <c r="O39" s="61">
        <v>360</v>
      </c>
      <c r="P39" s="61">
        <v>149</v>
      </c>
      <c r="Q39" s="61">
        <v>179</v>
      </c>
      <c r="R39" s="61">
        <v>65</v>
      </c>
      <c r="S39" s="108">
        <v>140</v>
      </c>
    </row>
    <row r="40" spans="1:19" s="4" customFormat="1" ht="15">
      <c r="A40" s="105" t="s">
        <v>70</v>
      </c>
      <c r="B40" s="106">
        <f t="shared" si="1"/>
        <v>1106</v>
      </c>
      <c r="C40" s="107">
        <f t="shared" si="2"/>
        <v>148</v>
      </c>
      <c r="D40" s="61">
        <v>15</v>
      </c>
      <c r="E40" s="61">
        <v>15</v>
      </c>
      <c r="F40" s="61">
        <v>8</v>
      </c>
      <c r="G40" s="61">
        <v>8</v>
      </c>
      <c r="H40" s="61">
        <v>58</v>
      </c>
      <c r="I40" s="61">
        <v>59</v>
      </c>
      <c r="J40" s="107">
        <f t="shared" si="3"/>
        <v>153</v>
      </c>
      <c r="K40" s="61">
        <v>78</v>
      </c>
      <c r="L40" s="61">
        <v>75</v>
      </c>
      <c r="M40" s="95">
        <f t="shared" si="4"/>
        <v>805</v>
      </c>
      <c r="N40" s="61">
        <v>367</v>
      </c>
      <c r="O40" s="61">
        <v>290</v>
      </c>
      <c r="P40" s="61">
        <v>133</v>
      </c>
      <c r="Q40" s="61">
        <v>142</v>
      </c>
      <c r="R40" s="61">
        <v>49</v>
      </c>
      <c r="S40" s="108">
        <v>114</v>
      </c>
    </row>
    <row r="41" spans="1:19" s="4" customFormat="1" ht="15">
      <c r="A41" s="105" t="s">
        <v>71</v>
      </c>
      <c r="B41" s="106">
        <f t="shared" si="1"/>
        <v>2507</v>
      </c>
      <c r="C41" s="107">
        <f t="shared" si="2"/>
        <v>320</v>
      </c>
      <c r="D41" s="61">
        <v>25</v>
      </c>
      <c r="E41" s="61">
        <v>25</v>
      </c>
      <c r="F41" s="61">
        <v>13</v>
      </c>
      <c r="G41" s="61">
        <v>13</v>
      </c>
      <c r="H41" s="61">
        <v>131</v>
      </c>
      <c r="I41" s="61">
        <v>138</v>
      </c>
      <c r="J41" s="107">
        <f t="shared" si="3"/>
        <v>305</v>
      </c>
      <c r="K41" s="61">
        <v>155</v>
      </c>
      <c r="L41" s="61">
        <v>150</v>
      </c>
      <c r="M41" s="95">
        <f t="shared" si="4"/>
        <v>1882</v>
      </c>
      <c r="N41" s="61">
        <v>864</v>
      </c>
      <c r="O41" s="61">
        <v>678</v>
      </c>
      <c r="P41" s="61">
        <v>331</v>
      </c>
      <c r="Q41" s="61">
        <v>299</v>
      </c>
      <c r="R41" s="61">
        <v>120</v>
      </c>
      <c r="S41" s="108">
        <v>268</v>
      </c>
    </row>
    <row r="42" spans="1:19" s="4" customFormat="1" ht="15">
      <c r="A42" s="105" t="s">
        <v>72</v>
      </c>
      <c r="B42" s="106">
        <f t="shared" si="1"/>
        <v>1375</v>
      </c>
      <c r="C42" s="107">
        <f t="shared" si="2"/>
        <v>190</v>
      </c>
      <c r="D42" s="61">
        <v>16</v>
      </c>
      <c r="E42" s="61">
        <v>16</v>
      </c>
      <c r="F42" s="61">
        <v>9</v>
      </c>
      <c r="G42" s="61">
        <v>9</v>
      </c>
      <c r="H42" s="61">
        <v>77</v>
      </c>
      <c r="I42" s="61">
        <v>79</v>
      </c>
      <c r="J42" s="107">
        <f t="shared" si="3"/>
        <v>179</v>
      </c>
      <c r="K42" s="61">
        <v>90</v>
      </c>
      <c r="L42" s="61">
        <v>89</v>
      </c>
      <c r="M42" s="95">
        <f t="shared" si="4"/>
        <v>1006</v>
      </c>
      <c r="N42" s="61">
        <v>475</v>
      </c>
      <c r="O42" s="61">
        <v>381</v>
      </c>
      <c r="P42" s="61">
        <v>161</v>
      </c>
      <c r="Q42" s="61">
        <v>175</v>
      </c>
      <c r="R42" s="61">
        <v>65</v>
      </c>
      <c r="S42" s="108">
        <v>130</v>
      </c>
    </row>
    <row r="43" spans="1:19" s="4" customFormat="1" ht="15">
      <c r="A43" s="110"/>
      <c r="B43" s="106"/>
      <c r="C43" s="107"/>
      <c r="D43" s="61"/>
      <c r="E43" s="61"/>
      <c r="F43" s="61"/>
      <c r="G43" s="61"/>
      <c r="H43" s="61"/>
      <c r="I43" s="108"/>
      <c r="J43" s="107"/>
      <c r="K43" s="61"/>
      <c r="L43" s="108"/>
      <c r="M43" s="95"/>
      <c r="N43" s="61"/>
      <c r="O43" s="61"/>
      <c r="P43" s="61"/>
      <c r="Q43" s="61"/>
      <c r="R43" s="61"/>
      <c r="S43" s="108"/>
    </row>
    <row r="44" spans="1:19" s="4" customFormat="1" ht="25.5" customHeight="1" thickBot="1">
      <c r="A44" s="49" t="s">
        <v>18</v>
      </c>
      <c r="B44" s="50">
        <f>SUM(C44,J44,M44)</f>
        <v>4006</v>
      </c>
      <c r="C44" s="51">
        <f>SUM(E44:I44)</f>
        <v>642</v>
      </c>
      <c r="D44" s="52">
        <v>76</v>
      </c>
      <c r="E44" s="52">
        <v>75</v>
      </c>
      <c r="F44" s="52">
        <v>38</v>
      </c>
      <c r="G44" s="52">
        <v>38</v>
      </c>
      <c r="H44" s="52">
        <v>240</v>
      </c>
      <c r="I44" s="52">
        <v>251</v>
      </c>
      <c r="J44" s="51">
        <f>SUM(K44:L44)</f>
        <v>607</v>
      </c>
      <c r="K44" s="52">
        <v>316</v>
      </c>
      <c r="L44" s="52">
        <v>291</v>
      </c>
      <c r="M44" s="148">
        <f t="shared" si="4"/>
        <v>2757</v>
      </c>
      <c r="N44" s="52">
        <v>1440</v>
      </c>
      <c r="O44" s="52">
        <v>1160</v>
      </c>
      <c r="P44" s="52">
        <v>487</v>
      </c>
      <c r="Q44" s="52">
        <v>462</v>
      </c>
      <c r="R44" s="52">
        <v>200</v>
      </c>
      <c r="S44" s="53">
        <v>168</v>
      </c>
    </row>
    <row r="45" spans="1:19" s="4" customFormat="1" ht="15">
      <c r="A45" s="200" t="s">
        <v>91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1:19" s="4" customFormat="1" ht="15">
      <c r="A46" s="59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3:5" s="4" customFormat="1" ht="15">
      <c r="C47" s="129"/>
      <c r="E47" s="4" t="s">
        <v>19</v>
      </c>
    </row>
    <row r="48" s="4" customFormat="1" ht="15">
      <c r="C48" s="129"/>
    </row>
    <row r="49" s="4" customFormat="1" ht="15">
      <c r="G49" s="4" t="str">
        <f>+G3</f>
        <v>           SERVICIO DE SALUD ACONCAGUA  2020</v>
      </c>
    </row>
    <row r="50" spans="8:12" s="4" customFormat="1" ht="15">
      <c r="H50" s="5"/>
      <c r="I50" s="5"/>
      <c r="J50" s="5"/>
      <c r="K50" s="5"/>
      <c r="L50" s="5"/>
    </row>
    <row r="51" s="4" customFormat="1" ht="15"/>
    <row r="52" spans="1:19" s="4" customFormat="1" ht="15">
      <c r="A52" s="6"/>
      <c r="B52" s="7"/>
      <c r="C52" s="6"/>
      <c r="D52" s="8"/>
      <c r="E52" s="8"/>
      <c r="F52" s="8"/>
      <c r="G52" s="8"/>
      <c r="H52" s="8"/>
      <c r="I52" s="9"/>
      <c r="J52" s="10"/>
      <c r="K52" s="11"/>
      <c r="L52" s="12"/>
      <c r="M52" s="10"/>
      <c r="N52" s="11"/>
      <c r="O52" s="11"/>
      <c r="P52" s="11"/>
      <c r="Q52" s="11"/>
      <c r="R52" s="11"/>
      <c r="S52" s="12"/>
    </row>
    <row r="53" spans="1:19" s="4" customFormat="1" ht="15">
      <c r="A53" s="14"/>
      <c r="B53" s="15"/>
      <c r="C53" s="14"/>
      <c r="D53" s="59"/>
      <c r="E53" s="4" t="s">
        <v>2</v>
      </c>
      <c r="I53" s="16"/>
      <c r="J53" s="17" t="s">
        <v>20</v>
      </c>
      <c r="K53" s="18"/>
      <c r="L53" s="19"/>
      <c r="M53" s="17"/>
      <c r="N53" s="18" t="s">
        <v>21</v>
      </c>
      <c r="O53" s="18"/>
      <c r="P53" s="18"/>
      <c r="Q53" s="18"/>
      <c r="R53" s="18"/>
      <c r="S53" s="19"/>
    </row>
    <row r="54" spans="1:19" s="4" customFormat="1" ht="15">
      <c r="A54" s="14"/>
      <c r="B54" s="15"/>
      <c r="C54" s="21"/>
      <c r="D54" s="22"/>
      <c r="E54" s="22"/>
      <c r="F54" s="22"/>
      <c r="G54" s="22"/>
      <c r="H54" s="22"/>
      <c r="I54" s="23"/>
      <c r="J54" s="24"/>
      <c r="K54" s="25"/>
      <c r="L54" s="26"/>
      <c r="M54" s="24"/>
      <c r="N54" s="25"/>
      <c r="O54" s="25"/>
      <c r="P54" s="25"/>
      <c r="Q54" s="25"/>
      <c r="R54" s="25"/>
      <c r="S54" s="26"/>
    </row>
    <row r="55" spans="1:25" s="4" customFormat="1" ht="15">
      <c r="A55" s="14"/>
      <c r="B55" s="28" t="s">
        <v>5</v>
      </c>
      <c r="C55" s="14"/>
      <c r="D55" s="59"/>
      <c r="I55" s="16"/>
      <c r="J55" s="29"/>
      <c r="K55" s="30"/>
      <c r="L55" s="31"/>
      <c r="M55" s="29"/>
      <c r="N55" s="30"/>
      <c r="O55" s="30"/>
      <c r="P55" s="30"/>
      <c r="Q55" s="30"/>
      <c r="R55" s="30"/>
      <c r="S55" s="31"/>
      <c r="T55" s="128"/>
      <c r="V55" s="189"/>
      <c r="W55" s="128"/>
      <c r="X55" s="128"/>
      <c r="Y55" s="128"/>
    </row>
    <row r="56" spans="1:25" s="4" customFormat="1" ht="15">
      <c r="A56" s="33" t="s">
        <v>6</v>
      </c>
      <c r="B56" s="15"/>
      <c r="C56" s="14"/>
      <c r="D56" s="59"/>
      <c r="F56" s="86" t="s">
        <v>75</v>
      </c>
      <c r="G56" s="86" t="s">
        <v>76</v>
      </c>
      <c r="H56" s="5" t="s">
        <v>7</v>
      </c>
      <c r="I56" s="34" t="s">
        <v>8</v>
      </c>
      <c r="J56" s="35"/>
      <c r="K56" s="36" t="s">
        <v>9</v>
      </c>
      <c r="L56" s="37" t="s">
        <v>10</v>
      </c>
      <c r="M56" s="35"/>
      <c r="N56" s="36" t="s">
        <v>11</v>
      </c>
      <c r="O56" s="76" t="s">
        <v>77</v>
      </c>
      <c r="P56" s="76" t="s">
        <v>54</v>
      </c>
      <c r="Q56" s="76" t="s">
        <v>49</v>
      </c>
      <c r="R56" s="5" t="s">
        <v>34</v>
      </c>
      <c r="S56" s="34" t="s">
        <v>35</v>
      </c>
      <c r="V56" s="189"/>
      <c r="W56" s="128"/>
      <c r="X56" s="128"/>
      <c r="Y56" s="128"/>
    </row>
    <row r="57" spans="1:25" s="4" customFormat="1" ht="15">
      <c r="A57" s="14"/>
      <c r="B57" s="28" t="s">
        <v>12</v>
      </c>
      <c r="C57" s="33" t="s">
        <v>13</v>
      </c>
      <c r="D57" s="86" t="s">
        <v>74</v>
      </c>
      <c r="E57" s="5" t="s">
        <v>14</v>
      </c>
      <c r="F57" s="76" t="s">
        <v>15</v>
      </c>
      <c r="G57" s="76" t="s">
        <v>15</v>
      </c>
      <c r="H57" s="5" t="s">
        <v>16</v>
      </c>
      <c r="I57" s="34" t="s">
        <v>16</v>
      </c>
      <c r="J57" s="35" t="s">
        <v>13</v>
      </c>
      <c r="K57" s="36" t="s">
        <v>16</v>
      </c>
      <c r="L57" s="37" t="s">
        <v>16</v>
      </c>
      <c r="M57" s="35" t="s">
        <v>13</v>
      </c>
      <c r="N57" s="36" t="s">
        <v>16</v>
      </c>
      <c r="O57" s="76" t="s">
        <v>16</v>
      </c>
      <c r="P57" s="76" t="s">
        <v>16</v>
      </c>
      <c r="Q57" s="76" t="s">
        <v>16</v>
      </c>
      <c r="R57" s="36" t="s">
        <v>16</v>
      </c>
      <c r="S57" s="37" t="s">
        <v>16</v>
      </c>
      <c r="V57" s="189"/>
      <c r="X57" s="128"/>
      <c r="Y57" s="128"/>
    </row>
    <row r="58" spans="1:22" s="4" customFormat="1" ht="15">
      <c r="A58" s="21"/>
      <c r="B58" s="38"/>
      <c r="C58" s="21"/>
      <c r="D58" s="22"/>
      <c r="E58" s="22"/>
      <c r="F58" s="22"/>
      <c r="G58" s="22"/>
      <c r="H58" s="22"/>
      <c r="I58" s="23"/>
      <c r="J58" s="39"/>
      <c r="K58" s="40"/>
      <c r="L58" s="41"/>
      <c r="M58" s="24"/>
      <c r="N58" s="25"/>
      <c r="O58" s="25"/>
      <c r="P58" s="25"/>
      <c r="Q58" s="25"/>
      <c r="R58" s="25"/>
      <c r="S58" s="26"/>
      <c r="V58" s="189"/>
    </row>
    <row r="59" spans="1:22" s="4" customFormat="1" ht="15">
      <c r="A59" s="14"/>
      <c r="B59" s="15"/>
      <c r="C59" s="14"/>
      <c r="D59" s="59"/>
      <c r="I59" s="16"/>
      <c r="J59" s="17"/>
      <c r="K59" s="18"/>
      <c r="L59" s="19"/>
      <c r="M59" s="10"/>
      <c r="N59" s="11"/>
      <c r="O59" s="11"/>
      <c r="P59" s="11"/>
      <c r="Q59" s="11"/>
      <c r="R59" s="11"/>
      <c r="S59" s="13"/>
      <c r="V59" s="189"/>
    </row>
    <row r="60" spans="1:25" s="4" customFormat="1" ht="15">
      <c r="A60" s="14" t="s">
        <v>17</v>
      </c>
      <c r="B60" s="42">
        <f>SUM(B61:B91)</f>
        <v>238217.51510000002</v>
      </c>
      <c r="C60" s="17">
        <f>SUM(C61:C91)</f>
        <v>32310.483999999997</v>
      </c>
      <c r="D60" s="18">
        <f>SUM(D61:D88)</f>
        <v>2812.722</v>
      </c>
      <c r="E60" s="18">
        <f>SUM(E61:E89)</f>
        <v>2974.175</v>
      </c>
      <c r="F60" s="18">
        <f>SUM(F61:F89)</f>
        <v>1459.6559999999997</v>
      </c>
      <c r="G60" s="18">
        <f>SUM(G61:G89)</f>
        <v>1425.6139999999998</v>
      </c>
      <c r="H60" s="18">
        <f>SUM(H61:H89)</f>
        <v>12984.943</v>
      </c>
      <c r="I60" s="18">
        <f>SUM(I61:I89)</f>
        <v>13466.096</v>
      </c>
      <c r="J60" s="17">
        <f aca="true" t="shared" si="5" ref="J60:S60">SUM(J61:J91)</f>
        <v>31531.9731</v>
      </c>
      <c r="K60" s="18">
        <f t="shared" si="5"/>
        <v>15835.617999999999</v>
      </c>
      <c r="L60" s="19">
        <f t="shared" si="5"/>
        <v>15696.355099999999</v>
      </c>
      <c r="M60" s="17">
        <f t="shared" si="5"/>
        <v>174375.058</v>
      </c>
      <c r="N60" s="18">
        <f t="shared" si="5"/>
        <v>85028.43659999999</v>
      </c>
      <c r="O60" s="18">
        <f t="shared" si="5"/>
        <v>69036.61960000002</v>
      </c>
      <c r="P60" s="18">
        <f t="shared" si="5"/>
        <v>30752.649800000003</v>
      </c>
      <c r="Q60" s="18">
        <f t="shared" si="5"/>
        <v>26072.6013</v>
      </c>
      <c r="R60" s="61">
        <f t="shared" si="5"/>
        <v>10208.596100000002</v>
      </c>
      <c r="S60" s="20">
        <f t="shared" si="5"/>
        <v>22312.774200000003</v>
      </c>
      <c r="T60" s="20"/>
      <c r="U60" s="20"/>
      <c r="V60" s="190"/>
      <c r="W60" s="190"/>
      <c r="X60" s="190"/>
      <c r="Y60" s="190"/>
    </row>
    <row r="61" spans="1:25" s="4" customFormat="1" ht="15">
      <c r="A61" s="93" t="s">
        <v>55</v>
      </c>
      <c r="B61" s="42">
        <f aca="true" t="shared" si="6" ref="B61:B89">SUM(C61,J61,M61)</f>
        <v>23756.189000000002</v>
      </c>
      <c r="C61" s="17">
        <f aca="true" t="shared" si="7" ref="C61:C89">SUM(E61:I61)</f>
        <v>3538.205</v>
      </c>
      <c r="D61" s="18">
        <f>D14*0.9</f>
        <v>288</v>
      </c>
      <c r="E61" s="18">
        <f>E14*0.9</f>
        <v>299.7</v>
      </c>
      <c r="F61" s="18">
        <f>F14*0.99</f>
        <v>160.38</v>
      </c>
      <c r="G61" s="18">
        <f>G14*0.99</f>
        <v>156.42</v>
      </c>
      <c r="H61" s="18">
        <f>H14*0.977</f>
        <v>1501.649</v>
      </c>
      <c r="I61" s="18">
        <f>I14*0.968</f>
        <v>1420.056</v>
      </c>
      <c r="J61" s="17">
        <f aca="true" t="shared" si="8" ref="J61:J88">SUM(K61:L61)</f>
        <v>3155.924</v>
      </c>
      <c r="K61" s="18">
        <f>K14*0.916</f>
        <v>1644.22</v>
      </c>
      <c r="L61" s="18">
        <f>L14*0.932</f>
        <v>1511.7040000000002</v>
      </c>
      <c r="M61" s="95">
        <f>+N61+P61+Q61+R61+S61</f>
        <v>17062.06</v>
      </c>
      <c r="N61" s="18">
        <f>N14*0.87</f>
        <v>8185.83</v>
      </c>
      <c r="O61" s="18">
        <f>O14*0.857</f>
        <v>6569.762</v>
      </c>
      <c r="P61" s="18">
        <f>P14*0.851</f>
        <v>2924.036</v>
      </c>
      <c r="Q61" s="18">
        <f>Q14*0.835</f>
        <v>2577.645</v>
      </c>
      <c r="R61" s="18">
        <f>R14*0.875</f>
        <v>1050.875</v>
      </c>
      <c r="S61" s="18">
        <f>S14*0.999</f>
        <v>2323.674</v>
      </c>
      <c r="T61" s="202">
        <f>(+N61/25)*4+J61+C61</f>
        <v>8003.8618</v>
      </c>
      <c r="V61" s="191"/>
      <c r="W61" s="186"/>
      <c r="X61" s="186"/>
      <c r="Y61" s="186"/>
    </row>
    <row r="62" spans="1:25" s="4" customFormat="1" ht="15">
      <c r="A62" s="93" t="s">
        <v>84</v>
      </c>
      <c r="B62" s="42">
        <f t="shared" si="6"/>
        <v>24392.405</v>
      </c>
      <c r="C62" s="17">
        <f t="shared" si="7"/>
        <v>3410.2439999999997</v>
      </c>
      <c r="D62" s="18">
        <f>D15*0.71</f>
        <v>313.82</v>
      </c>
      <c r="E62" s="18">
        <f>E15*0.71</f>
        <v>312.4</v>
      </c>
      <c r="F62" s="18">
        <f>F15*0.7</f>
        <v>154</v>
      </c>
      <c r="G62" s="18">
        <f>G15*0.7</f>
        <v>152.6</v>
      </c>
      <c r="H62" s="18">
        <f>H15*0.728</f>
        <v>1344.616</v>
      </c>
      <c r="I62" s="18">
        <f>I15*0.719</f>
        <v>1446.628</v>
      </c>
      <c r="J62" s="17">
        <f t="shared" si="8"/>
        <v>3529.103</v>
      </c>
      <c r="K62" s="18">
        <f>K15*0.753</f>
        <v>1804.941</v>
      </c>
      <c r="L62" s="18">
        <f>L15*0.7909</f>
        <v>1724.162</v>
      </c>
      <c r="M62" s="95">
        <f aca="true" t="shared" si="9" ref="M62:M88">+N62+P62+Q62+R62+S62</f>
        <v>17453.057999999997</v>
      </c>
      <c r="N62" s="18">
        <f>N15*0.69</f>
        <v>8982.42</v>
      </c>
      <c r="O62" s="18">
        <f>O15*0.692</f>
        <v>7415.472</v>
      </c>
      <c r="P62" s="18">
        <f>P15*0.651</f>
        <v>2804.5080000000003</v>
      </c>
      <c r="Q62" s="18">
        <f>Q15*0.624</f>
        <v>2432.352</v>
      </c>
      <c r="R62" s="18">
        <f>R15*0.641</f>
        <v>939.706</v>
      </c>
      <c r="S62" s="18">
        <f>S15*0.796</f>
        <v>2294.072</v>
      </c>
      <c r="T62" s="202">
        <f>(+N62/25)*4+J62+C62</f>
        <v>8376.5342</v>
      </c>
      <c r="V62" s="191"/>
      <c r="W62" s="186"/>
      <c r="X62" s="186"/>
      <c r="Y62" s="186"/>
    </row>
    <row r="63" spans="1:25" s="4" customFormat="1" ht="15">
      <c r="A63" s="93" t="s">
        <v>85</v>
      </c>
      <c r="B63" s="42">
        <f t="shared" si="6"/>
        <v>33416.441</v>
      </c>
      <c r="C63" s="17">
        <f t="shared" si="7"/>
        <v>4875.266</v>
      </c>
      <c r="D63" s="18">
        <f>D16*0.99</f>
        <v>460.35</v>
      </c>
      <c r="E63" s="18">
        <f>E16*0.99</f>
        <v>455.4</v>
      </c>
      <c r="F63" s="18">
        <f>F16*0.99</f>
        <v>231.66</v>
      </c>
      <c r="G63" s="18">
        <f>G16*0.99</f>
        <v>223.74</v>
      </c>
      <c r="H63" s="18">
        <f>H16*0.967</f>
        <v>1893.386</v>
      </c>
      <c r="I63" s="18">
        <f>I16*0.99</f>
        <v>2071.08</v>
      </c>
      <c r="J63" s="17">
        <f t="shared" si="8"/>
        <v>4730.895</v>
      </c>
      <c r="K63" s="18">
        <f>K16*0.885</f>
        <v>2347.02</v>
      </c>
      <c r="L63" s="18">
        <f>L16*0.975</f>
        <v>2383.875</v>
      </c>
      <c r="M63" s="95">
        <f t="shared" si="9"/>
        <v>23810.28</v>
      </c>
      <c r="N63" s="18">
        <f>N16*0.932</f>
        <v>12790.768</v>
      </c>
      <c r="O63" s="18">
        <f>O16*0.91</f>
        <v>10210.2</v>
      </c>
      <c r="P63" s="18">
        <f>P16*0.824</f>
        <v>3791.2239999999997</v>
      </c>
      <c r="Q63" s="18">
        <f>Q16*0.799</f>
        <v>3295.076</v>
      </c>
      <c r="R63" s="18">
        <f>R16*0.79</f>
        <v>1235.56</v>
      </c>
      <c r="S63" s="18">
        <f>S16*0.877</f>
        <v>2697.652</v>
      </c>
      <c r="T63" s="202">
        <f>(+N63/25)*4+J63+C63</f>
        <v>11652.68388</v>
      </c>
      <c r="V63" s="191"/>
      <c r="W63" s="186"/>
      <c r="X63" s="186"/>
      <c r="Y63" s="186"/>
    </row>
    <row r="64" spans="1:25" s="4" customFormat="1" ht="15">
      <c r="A64" s="99" t="s">
        <v>86</v>
      </c>
      <c r="B64" s="42">
        <f t="shared" si="6"/>
        <v>23184.863600000004</v>
      </c>
      <c r="C64" s="17">
        <f t="shared" si="7"/>
        <v>2857.7470000000003</v>
      </c>
      <c r="D64" s="18">
        <f>D17*0.76</f>
        <v>293.36</v>
      </c>
      <c r="E64" s="18">
        <f>E17*0.76</f>
        <v>293.36</v>
      </c>
      <c r="F64" s="18">
        <f>F17*0.65</f>
        <v>124.80000000000001</v>
      </c>
      <c r="G64" s="18">
        <f>G17*0.65</f>
        <v>124.15</v>
      </c>
      <c r="H64" s="18">
        <f>H17*0.729</f>
        <v>1205.037</v>
      </c>
      <c r="I64" s="18">
        <f>I17*0.64</f>
        <v>1110.4</v>
      </c>
      <c r="J64" s="17">
        <f t="shared" si="8"/>
        <v>2765.763</v>
      </c>
      <c r="K64" s="18">
        <f>K17*0.611</f>
        <v>1350.921</v>
      </c>
      <c r="L64" s="18">
        <f>L17*0.663</f>
        <v>1414.842</v>
      </c>
      <c r="M64" s="95">
        <f t="shared" si="9"/>
        <v>17561.353600000002</v>
      </c>
      <c r="N64" s="18">
        <f>N17*0.6511</f>
        <v>7869.1946</v>
      </c>
      <c r="O64" s="18">
        <f>O17*0.643</f>
        <v>6442.860000000001</v>
      </c>
      <c r="P64" s="18">
        <f>P17*0.802</f>
        <v>3353.9640000000004</v>
      </c>
      <c r="Q64" s="18">
        <f>Q17*0.804</f>
        <v>3009.3720000000003</v>
      </c>
      <c r="R64" s="18">
        <f>R17*0.653</f>
        <v>973.623</v>
      </c>
      <c r="S64" s="18">
        <f>S17*0.8</f>
        <v>2355.2000000000003</v>
      </c>
      <c r="T64" s="202">
        <f>(+N64/25)*4+J64+C64</f>
        <v>6882.581136000001</v>
      </c>
      <c r="V64" s="191"/>
      <c r="W64" s="186"/>
      <c r="X64" s="186"/>
      <c r="Y64" s="186"/>
    </row>
    <row r="65" spans="1:25" s="4" customFormat="1" ht="15">
      <c r="A65" s="99" t="s">
        <v>87</v>
      </c>
      <c r="B65" s="42">
        <f t="shared" si="6"/>
        <v>20377.918</v>
      </c>
      <c r="C65" s="17">
        <f t="shared" si="7"/>
        <v>2378.092</v>
      </c>
      <c r="D65" s="18">
        <f>D18*0.6</f>
        <v>176.4</v>
      </c>
      <c r="E65" s="18">
        <f>E18*0.79</f>
        <v>232.26000000000002</v>
      </c>
      <c r="F65" s="18">
        <f>F18*0.7</f>
        <v>101.5</v>
      </c>
      <c r="G65" s="18">
        <f>G18*0.6</f>
        <v>86.39999999999999</v>
      </c>
      <c r="H65" s="18">
        <f>H18*0.72</f>
        <v>904.3199999999999</v>
      </c>
      <c r="I65" s="18">
        <f>I18*0.777</f>
        <v>1053.612</v>
      </c>
      <c r="J65" s="17">
        <f t="shared" si="8"/>
        <v>2547.115</v>
      </c>
      <c r="K65" s="18">
        <f>K18*0.72</f>
        <v>1247.04</v>
      </c>
      <c r="L65" s="18">
        <f>L18*0.805</f>
        <v>1300.075</v>
      </c>
      <c r="M65" s="95">
        <f t="shared" si="9"/>
        <v>15452.711000000001</v>
      </c>
      <c r="N65" s="18">
        <f>N18*0.7183</f>
        <v>6622.726000000001</v>
      </c>
      <c r="O65" s="18">
        <f>O18*0.717</f>
        <v>5470.71</v>
      </c>
      <c r="P65" s="18">
        <f>P18*0.893</f>
        <v>2857.6</v>
      </c>
      <c r="Q65" s="18">
        <f>Q18*0.832</f>
        <v>2552.576</v>
      </c>
      <c r="R65" s="18">
        <f>R18*0.894</f>
        <v>1110.348</v>
      </c>
      <c r="S65" s="18">
        <f>S18*0.979</f>
        <v>2309.461</v>
      </c>
      <c r="T65" s="202">
        <f>(+N65/25)*4+J65+C65</f>
        <v>5984.84316</v>
      </c>
      <c r="V65" s="191"/>
      <c r="W65" s="186"/>
      <c r="X65" s="186"/>
      <c r="Y65" s="186"/>
    </row>
    <row r="66" spans="1:25" s="4" customFormat="1" ht="15">
      <c r="A66" s="69" t="s">
        <v>56</v>
      </c>
      <c r="B66" s="42">
        <f t="shared" si="6"/>
        <v>11215.0231</v>
      </c>
      <c r="C66" s="17">
        <f t="shared" si="7"/>
        <v>1701.4450000000002</v>
      </c>
      <c r="D66" s="18">
        <f>D19*0.999</f>
        <v>147.852</v>
      </c>
      <c r="E66" s="18">
        <f>E19*0.999</f>
        <v>144.855</v>
      </c>
      <c r="F66" s="18">
        <f>F19</f>
        <v>75</v>
      </c>
      <c r="G66" s="18">
        <f>G19</f>
        <v>73</v>
      </c>
      <c r="H66" s="18">
        <f>H19*0.999</f>
        <v>664.335</v>
      </c>
      <c r="I66" s="18">
        <f>I19*0.999</f>
        <v>744.255</v>
      </c>
      <c r="J66" s="17">
        <f t="shared" si="8"/>
        <v>1497.1221</v>
      </c>
      <c r="K66" s="18">
        <f>K19*0.999</f>
        <v>808.191</v>
      </c>
      <c r="L66" s="18">
        <f>L19*0.9999</f>
        <v>688.9311</v>
      </c>
      <c r="M66" s="95">
        <f t="shared" si="9"/>
        <v>8016.456</v>
      </c>
      <c r="N66" s="18">
        <f>N19*0.9999</f>
        <v>4089.591</v>
      </c>
      <c r="O66" s="18">
        <f>O19*0.9999</f>
        <v>3423.6576</v>
      </c>
      <c r="P66" s="18">
        <f>P19*0.9999</f>
        <v>1521.8478</v>
      </c>
      <c r="Q66" s="18">
        <f>Q19*0.9999</f>
        <v>1136.8863000000001</v>
      </c>
      <c r="R66" s="61">
        <f>R19*0.9999</f>
        <v>450.9549</v>
      </c>
      <c r="S66" s="20">
        <f>S19*0.948</f>
        <v>817.1759999999999</v>
      </c>
      <c r="T66" s="44"/>
      <c r="V66" s="191"/>
      <c r="W66" s="186"/>
      <c r="X66" s="186"/>
      <c r="Y66" s="186"/>
    </row>
    <row r="67" spans="1:25" s="4" customFormat="1" ht="15">
      <c r="A67" s="105" t="s">
        <v>57</v>
      </c>
      <c r="B67" s="42">
        <f t="shared" si="6"/>
        <v>10608.148000000001</v>
      </c>
      <c r="C67" s="17">
        <f t="shared" si="7"/>
        <v>1539.96</v>
      </c>
      <c r="D67" s="18">
        <f>D20*0.7</f>
        <v>99.39999999999999</v>
      </c>
      <c r="E67" s="18">
        <f>E20*0.83</f>
        <v>119.52</v>
      </c>
      <c r="F67" s="18">
        <f>F20*0.78</f>
        <v>53.82</v>
      </c>
      <c r="G67" s="18">
        <f>G20*0.78</f>
        <v>53.82</v>
      </c>
      <c r="H67" s="18">
        <f>H20*0.948</f>
        <v>692.04</v>
      </c>
      <c r="I67" s="18">
        <f>I20*0.84</f>
        <v>620.76</v>
      </c>
      <c r="J67" s="17">
        <f t="shared" si="8"/>
        <v>1494.019</v>
      </c>
      <c r="K67" s="18">
        <f>K20*0.836</f>
        <v>731.5</v>
      </c>
      <c r="L67" s="18">
        <f>L20*0.989</f>
        <v>762.519</v>
      </c>
      <c r="M67" s="95">
        <f t="shared" si="9"/>
        <v>7574.169</v>
      </c>
      <c r="N67" s="18">
        <f>N20*0.846</f>
        <v>3685.176</v>
      </c>
      <c r="O67" s="18">
        <f>O20*0.823</f>
        <v>3006.419</v>
      </c>
      <c r="P67" s="18">
        <f>P20*0.843</f>
        <v>1406.9669999999999</v>
      </c>
      <c r="Q67" s="18">
        <f>Q20*0.748</f>
        <v>1033.736</v>
      </c>
      <c r="R67" s="18">
        <f>R20*0.83</f>
        <v>436.58</v>
      </c>
      <c r="S67" s="18">
        <f>S20*0.97</f>
        <v>1011.7099999999999</v>
      </c>
      <c r="T67" s="44"/>
      <c r="V67" s="191"/>
      <c r="W67" s="186"/>
      <c r="X67" s="186"/>
      <c r="Y67" s="186"/>
    </row>
    <row r="68" spans="1:25" s="4" customFormat="1" ht="15">
      <c r="A68" s="105" t="s">
        <v>58</v>
      </c>
      <c r="B68" s="42">
        <f t="shared" si="6"/>
        <v>13649.4638</v>
      </c>
      <c r="C68" s="17">
        <f>SUM(E68:I68)</f>
        <v>1787</v>
      </c>
      <c r="D68" s="18">
        <f>D21*0.98</f>
        <v>156.8</v>
      </c>
      <c r="E68" s="18">
        <f>E21*1</f>
        <v>163</v>
      </c>
      <c r="F68" s="18">
        <f>F21</f>
        <v>75</v>
      </c>
      <c r="G68" s="18">
        <f>G21</f>
        <v>75</v>
      </c>
      <c r="H68" s="18">
        <f>H21*1</f>
        <v>712</v>
      </c>
      <c r="I68" s="18">
        <f>I21*1</f>
        <v>762</v>
      </c>
      <c r="J68" s="17">
        <f>SUM(K68:L68)</f>
        <v>1780.484</v>
      </c>
      <c r="K68" s="18">
        <f>K21*0.972</f>
        <v>920.4839999999999</v>
      </c>
      <c r="L68" s="18">
        <f>L21*1</f>
        <v>860</v>
      </c>
      <c r="M68" s="95">
        <f>+N68+P68+Q68+R68+S68</f>
        <v>10081.9798</v>
      </c>
      <c r="N68" s="18">
        <f>N21*1</f>
        <v>4939</v>
      </c>
      <c r="O68" s="18">
        <f>O21*1</f>
        <v>4013</v>
      </c>
      <c r="P68" s="18">
        <f>P21*1</f>
        <v>1764</v>
      </c>
      <c r="Q68" s="18">
        <f>Q21*0.981</f>
        <v>1510.74</v>
      </c>
      <c r="R68" s="61">
        <f>R21*0.999</f>
        <v>636.3629999999999</v>
      </c>
      <c r="S68" s="20">
        <f>S21*0.9999</f>
        <v>1231.8768</v>
      </c>
      <c r="T68" s="44"/>
      <c r="V68" s="191"/>
      <c r="W68" s="186"/>
      <c r="X68" s="186"/>
      <c r="Y68" s="186"/>
    </row>
    <row r="69" spans="1:25" s="4" customFormat="1" ht="15">
      <c r="A69" s="105" t="s">
        <v>59</v>
      </c>
      <c r="B69" s="42">
        <f t="shared" si="6"/>
        <v>8207.163</v>
      </c>
      <c r="C69" s="17">
        <f t="shared" si="7"/>
        <v>917.201</v>
      </c>
      <c r="D69" s="18">
        <f>D22*0.8</f>
        <v>90.4</v>
      </c>
      <c r="E69" s="18">
        <f>E22*0.829</f>
        <v>92.848</v>
      </c>
      <c r="F69" s="18">
        <f>F22*0.809</f>
        <v>45.304</v>
      </c>
      <c r="G69" s="18">
        <f>G22*0.768</f>
        <v>43.008</v>
      </c>
      <c r="H69" s="18">
        <f>H22*0.728</f>
        <v>365.456</v>
      </c>
      <c r="I69" s="18">
        <f>I22*0.685</f>
        <v>370.58500000000004</v>
      </c>
      <c r="J69" s="17">
        <f t="shared" si="8"/>
        <v>1028.946</v>
      </c>
      <c r="K69" s="18">
        <f>K22*0.719</f>
        <v>470.226</v>
      </c>
      <c r="L69" s="18">
        <f>L22*0.873</f>
        <v>558.72</v>
      </c>
      <c r="M69" s="95">
        <f t="shared" si="9"/>
        <v>6261.016000000001</v>
      </c>
      <c r="N69" s="18">
        <f>N22*0.812</f>
        <v>2704.7720000000004</v>
      </c>
      <c r="O69" s="18">
        <f>O22*0.822</f>
        <v>2286.804</v>
      </c>
      <c r="P69" s="18">
        <f>P22*0.873</f>
        <v>1204.74</v>
      </c>
      <c r="Q69" s="18">
        <f>Q22*0.752</f>
        <v>892.624</v>
      </c>
      <c r="R69" s="61">
        <f>R22*0.81</f>
        <v>404.19000000000005</v>
      </c>
      <c r="S69" s="20">
        <f>S22*0.91</f>
        <v>1054.69</v>
      </c>
      <c r="T69" s="44"/>
      <c r="V69" s="191"/>
      <c r="W69" s="186"/>
      <c r="X69" s="186"/>
      <c r="Y69" s="186"/>
    </row>
    <row r="70" spans="1:25" s="4" customFormat="1" ht="15">
      <c r="A70" s="105" t="s">
        <v>60</v>
      </c>
      <c r="B70" s="42">
        <f t="shared" si="6"/>
        <v>13727.6516</v>
      </c>
      <c r="C70" s="17">
        <f t="shared" si="7"/>
        <v>2023</v>
      </c>
      <c r="D70" s="18">
        <f>D23*0.95</f>
        <v>196.64999999999998</v>
      </c>
      <c r="E70" s="18">
        <f>E23*1</f>
        <v>202</v>
      </c>
      <c r="F70" s="18">
        <f>F23</f>
        <v>104</v>
      </c>
      <c r="G70" s="18">
        <f>G23</f>
        <v>104</v>
      </c>
      <c r="H70" s="18">
        <f>H23*1</f>
        <v>790</v>
      </c>
      <c r="I70" s="18">
        <f>I23*1</f>
        <v>823</v>
      </c>
      <c r="J70" s="17">
        <f>SUM(K70:L70)</f>
        <v>1831</v>
      </c>
      <c r="K70" s="18">
        <f>K23*1</f>
        <v>941</v>
      </c>
      <c r="L70" s="18">
        <f>L23*1</f>
        <v>890</v>
      </c>
      <c r="M70" s="95">
        <f>+N70+P70+Q70+R70+S70</f>
        <v>9873.6516</v>
      </c>
      <c r="N70" s="18">
        <f aca="true" t="shared" si="10" ref="N70:P71">N23*1</f>
        <v>5184</v>
      </c>
      <c r="O70" s="18">
        <f t="shared" si="10"/>
        <v>4226</v>
      </c>
      <c r="P70" s="18">
        <f t="shared" si="10"/>
        <v>1826</v>
      </c>
      <c r="Q70" s="18">
        <f>Q23*0.922</f>
        <v>1312.928</v>
      </c>
      <c r="R70" s="61">
        <f>R23*0.89</f>
        <v>486.83</v>
      </c>
      <c r="S70" s="20">
        <f>S23*0.9999</f>
        <v>1063.8936</v>
      </c>
      <c r="T70" s="44"/>
      <c r="V70" s="191"/>
      <c r="W70" s="186"/>
      <c r="X70" s="186"/>
      <c r="Y70" s="186"/>
    </row>
    <row r="71" spans="1:25" s="4" customFormat="1" ht="15">
      <c r="A71" s="105" t="s">
        <v>61</v>
      </c>
      <c r="B71" s="42">
        <f t="shared" si="6"/>
        <v>12577.677800000001</v>
      </c>
      <c r="C71" s="17">
        <f t="shared" si="7"/>
        <v>1668.836</v>
      </c>
      <c r="D71" s="18">
        <f>D24*0.9</f>
        <v>144.9</v>
      </c>
      <c r="E71" s="18">
        <f>E24*0.956</f>
        <v>154.87199999999999</v>
      </c>
      <c r="F71" s="18">
        <f>F24</f>
        <v>81</v>
      </c>
      <c r="G71" s="18">
        <f>G24</f>
        <v>80</v>
      </c>
      <c r="H71" s="18">
        <f>H24*0.98</f>
        <v>693.84</v>
      </c>
      <c r="I71" s="18">
        <f>I24*0.918</f>
        <v>659.124</v>
      </c>
      <c r="J71" s="17">
        <f>SUM(K71:L71)</f>
        <v>1624.228</v>
      </c>
      <c r="K71" s="18">
        <f>K24*0.9</f>
        <v>778.5</v>
      </c>
      <c r="L71" s="18">
        <f>L24*0.988</f>
        <v>845.728</v>
      </c>
      <c r="M71" s="95">
        <f>+N71+P71+Q71+R71+S71</f>
        <v>9284.613800000001</v>
      </c>
      <c r="N71" s="18">
        <f t="shared" si="10"/>
        <v>4569</v>
      </c>
      <c r="O71" s="18">
        <f t="shared" si="10"/>
        <v>3677</v>
      </c>
      <c r="P71" s="18">
        <f t="shared" si="10"/>
        <v>1709</v>
      </c>
      <c r="Q71" s="18">
        <f>Q24*0.95</f>
        <v>1446.85</v>
      </c>
      <c r="R71" s="61">
        <f>R24*0.94</f>
        <v>503.84</v>
      </c>
      <c r="S71" s="20">
        <f>S24*0.9759</f>
        <v>1055.9238</v>
      </c>
      <c r="T71" s="44"/>
      <c r="V71" s="191"/>
      <c r="W71" s="186"/>
      <c r="X71" s="186"/>
      <c r="Y71" s="186"/>
    </row>
    <row r="72" spans="1:25" s="4" customFormat="1" ht="15">
      <c r="A72" s="105" t="s">
        <v>78</v>
      </c>
      <c r="B72" s="42">
        <f t="shared" si="6"/>
        <v>6823.860000000001</v>
      </c>
      <c r="C72" s="17">
        <f t="shared" si="7"/>
        <v>717.49</v>
      </c>
      <c r="D72" s="18">
        <f>D25*0.73</f>
        <v>65.7</v>
      </c>
      <c r="E72" s="18">
        <f>E25*0.73</f>
        <v>64.24</v>
      </c>
      <c r="F72" s="18">
        <f>F25*0.49</f>
        <v>23.52</v>
      </c>
      <c r="G72" s="18">
        <f>G25*0.7</f>
        <v>32.9</v>
      </c>
      <c r="H72" s="18">
        <f>H25*0.58</f>
        <v>259.84</v>
      </c>
      <c r="I72" s="18">
        <f>I25*0.705</f>
        <v>336.99</v>
      </c>
      <c r="J72" s="17">
        <f t="shared" si="8"/>
        <v>782.22</v>
      </c>
      <c r="K72" s="18">
        <f>K25*0.764</f>
        <v>404.92</v>
      </c>
      <c r="L72" s="18">
        <f>L25*0.77</f>
        <v>377.3</v>
      </c>
      <c r="M72" s="95">
        <f t="shared" si="9"/>
        <v>5324.150000000001</v>
      </c>
      <c r="N72" s="18">
        <f>N25*0.975</f>
        <v>2778.75</v>
      </c>
      <c r="O72" s="18">
        <f>O25*0.99</f>
        <v>2210.67</v>
      </c>
      <c r="P72" s="18">
        <f>P25*0.99</f>
        <v>871.2</v>
      </c>
      <c r="Q72" s="18">
        <f>Q25*0.935</f>
        <v>738.6500000000001</v>
      </c>
      <c r="R72" s="61">
        <f>R25*0.99</f>
        <v>311.85</v>
      </c>
      <c r="S72" s="20">
        <f>S25*0.99</f>
        <v>623.7</v>
      </c>
      <c r="T72" s="44"/>
      <c r="V72" s="191"/>
      <c r="W72" s="186"/>
      <c r="X72" s="186"/>
      <c r="Y72" s="186"/>
    </row>
    <row r="73" spans="1:25" s="4" customFormat="1" ht="15">
      <c r="A73" s="105" t="s">
        <v>62</v>
      </c>
      <c r="B73" s="42">
        <f t="shared" si="6"/>
        <v>7400.477000000001</v>
      </c>
      <c r="C73" s="17">
        <f t="shared" si="7"/>
        <v>864.4180000000001</v>
      </c>
      <c r="D73" s="18">
        <f>D26*0.8</f>
        <v>75.2</v>
      </c>
      <c r="E73" s="18">
        <f>E26*0.95</f>
        <v>90.25</v>
      </c>
      <c r="F73" s="18">
        <f>F26*0.91</f>
        <v>42.77</v>
      </c>
      <c r="G73" s="18">
        <f>G26*0.91</f>
        <v>42.77</v>
      </c>
      <c r="H73" s="18">
        <f>H26*0.806</f>
        <v>316.75800000000004</v>
      </c>
      <c r="I73" s="18">
        <f>I26*0.907</f>
        <v>371.87</v>
      </c>
      <c r="J73" s="17">
        <f t="shared" si="8"/>
        <v>1012.764</v>
      </c>
      <c r="K73" s="18">
        <f>K26*1</f>
        <v>542</v>
      </c>
      <c r="L73" s="18">
        <f>L26*0.989</f>
        <v>470.764</v>
      </c>
      <c r="M73" s="95">
        <f t="shared" si="9"/>
        <v>5523.295</v>
      </c>
      <c r="N73" s="18">
        <f>N26*1</f>
        <v>2715</v>
      </c>
      <c r="O73" s="18">
        <f>O26*1</f>
        <v>2219</v>
      </c>
      <c r="P73" s="18">
        <f>P26*1</f>
        <v>995</v>
      </c>
      <c r="Q73" s="18">
        <f>Q26*0.983</f>
        <v>932.867</v>
      </c>
      <c r="R73" s="61">
        <f>R26*0.927</f>
        <v>337.428</v>
      </c>
      <c r="S73" s="20">
        <f>S26*0.905</f>
        <v>543</v>
      </c>
      <c r="T73" s="44"/>
      <c r="V73" s="191"/>
      <c r="W73" s="186"/>
      <c r="X73" s="186"/>
      <c r="Y73" s="186"/>
    </row>
    <row r="74" spans="1:25" s="4" customFormat="1" ht="15">
      <c r="A74" s="109" t="s">
        <v>79</v>
      </c>
      <c r="B74" s="42">
        <f t="shared" si="6"/>
        <v>3474.949</v>
      </c>
      <c r="C74" s="17">
        <f t="shared" si="7"/>
        <v>528.826</v>
      </c>
      <c r="D74" s="18">
        <f>D27*0.99</f>
        <v>46.53</v>
      </c>
      <c r="E74" s="18">
        <f>E27*0.99</f>
        <v>44.55</v>
      </c>
      <c r="F74" s="18">
        <f>F27*0.99</f>
        <v>25.74</v>
      </c>
      <c r="G74" s="18">
        <f>G27*0.99</f>
        <v>24.75</v>
      </c>
      <c r="H74" s="18">
        <f>H27*0.967</f>
        <v>201.136</v>
      </c>
      <c r="I74" s="18">
        <f>I27*0.99</f>
        <v>232.65</v>
      </c>
      <c r="J74" s="17">
        <f t="shared" si="8"/>
        <v>465.42</v>
      </c>
      <c r="K74" s="18">
        <f>K27*0.885</f>
        <v>236.29500000000002</v>
      </c>
      <c r="L74" s="18">
        <f>L27*0.975</f>
        <v>229.125</v>
      </c>
      <c r="M74" s="95">
        <f t="shared" si="9"/>
        <v>2480.703</v>
      </c>
      <c r="N74" s="18">
        <f>N27*0.932</f>
        <v>1362.584</v>
      </c>
      <c r="O74" s="18">
        <f>O27*0.91</f>
        <v>1101.1000000000001</v>
      </c>
      <c r="P74" s="18">
        <f>P27*0.824</f>
        <v>369.976</v>
      </c>
      <c r="Q74" s="18">
        <f>Q27*0.799</f>
        <v>335.58000000000004</v>
      </c>
      <c r="R74" s="18">
        <f>R27*0.79</f>
        <v>124.03</v>
      </c>
      <c r="S74" s="18">
        <f>S27*0.877</f>
        <v>288.533</v>
      </c>
      <c r="T74" s="44"/>
      <c r="V74" s="191"/>
      <c r="W74" s="186"/>
      <c r="X74" s="186"/>
      <c r="Y74" s="186"/>
    </row>
    <row r="75" spans="1:25" s="4" customFormat="1" ht="15">
      <c r="A75" s="109" t="s">
        <v>50</v>
      </c>
      <c r="B75" s="42">
        <f t="shared" si="6"/>
        <v>2883.56</v>
      </c>
      <c r="C75" s="17">
        <f t="shared" si="7"/>
        <v>422.26200000000006</v>
      </c>
      <c r="D75" s="18">
        <f>D28*0.6</f>
        <v>31.2</v>
      </c>
      <c r="E75" s="18">
        <f>E28*0.8</f>
        <v>40.800000000000004</v>
      </c>
      <c r="F75" s="18">
        <f>F28*0.809</f>
        <v>24.270000000000003</v>
      </c>
      <c r="G75" s="18">
        <f>G28*0.768</f>
        <v>22.272000000000002</v>
      </c>
      <c r="H75" s="18">
        <f>H28*0.73</f>
        <v>159.87</v>
      </c>
      <c r="I75" s="18">
        <f>I28*0.778</f>
        <v>175.05</v>
      </c>
      <c r="J75" s="17">
        <f t="shared" si="8"/>
        <v>359.37</v>
      </c>
      <c r="K75" s="18">
        <f>K28*0.72</f>
        <v>183.6</v>
      </c>
      <c r="L75" s="18">
        <f>L28*0.81</f>
        <v>175.77</v>
      </c>
      <c r="M75" s="95">
        <f t="shared" si="9"/>
        <v>2101.928</v>
      </c>
      <c r="N75" s="18">
        <f>N28*0.719</f>
        <v>959.146</v>
      </c>
      <c r="O75" s="18">
        <f>O28*0.717</f>
        <v>702.66</v>
      </c>
      <c r="P75" s="18">
        <f>P28*0.893</f>
        <v>408.994</v>
      </c>
      <c r="Q75" s="18">
        <f>Q28*0.832</f>
        <v>334.464</v>
      </c>
      <c r="R75" s="61">
        <f>R28*0.894</f>
        <v>134.994</v>
      </c>
      <c r="S75" s="20">
        <f>S28*0.979</f>
        <v>264.33</v>
      </c>
      <c r="T75" s="44"/>
      <c r="V75" s="191"/>
      <c r="W75" s="186"/>
      <c r="X75" s="186"/>
      <c r="Y75" s="186"/>
    </row>
    <row r="76" spans="1:25" s="4" customFormat="1" ht="15">
      <c r="A76" s="109" t="s">
        <v>80</v>
      </c>
      <c r="B76" s="42">
        <f t="shared" si="6"/>
        <v>3561.5280000000002</v>
      </c>
      <c r="C76" s="17">
        <f t="shared" si="7"/>
        <v>509.82</v>
      </c>
      <c r="D76" s="18">
        <f>D29*0.7</f>
        <v>35</v>
      </c>
      <c r="E76" s="18">
        <f>E29*0.8</f>
        <v>41.6</v>
      </c>
      <c r="F76" s="18">
        <f>F29*0.8</f>
        <v>20.8</v>
      </c>
      <c r="G76" s="18">
        <f>G29*0.7</f>
        <v>18.2</v>
      </c>
      <c r="H76" s="18">
        <f>H29*0.94</f>
        <v>220.89999999999998</v>
      </c>
      <c r="I76" s="18">
        <f>I29*0.84</f>
        <v>208.32</v>
      </c>
      <c r="J76" s="17">
        <f t="shared" si="8"/>
        <v>515.0899999999999</v>
      </c>
      <c r="K76" s="18">
        <f>K29*0.83</f>
        <v>239.86999999999998</v>
      </c>
      <c r="L76" s="18">
        <f>L29*0.99</f>
        <v>275.21999999999997</v>
      </c>
      <c r="M76" s="95">
        <f>+N76+P76+Q76+R76+S76</f>
        <v>2536.6180000000004</v>
      </c>
      <c r="N76" s="18">
        <f>N29*0.846</f>
        <v>1233.468</v>
      </c>
      <c r="O76" s="18">
        <f>O29*0.825</f>
        <v>994.125</v>
      </c>
      <c r="P76" s="18">
        <f>P29*0.85</f>
        <v>456.45</v>
      </c>
      <c r="Q76" s="18">
        <f>Q29*0.75</f>
        <v>360</v>
      </c>
      <c r="R76" s="18">
        <f>R29*0.83</f>
        <v>139.44</v>
      </c>
      <c r="S76" s="18">
        <f>S29*0.97</f>
        <v>347.26</v>
      </c>
      <c r="T76" s="44"/>
      <c r="V76" s="191"/>
      <c r="W76" s="186"/>
      <c r="X76" s="186"/>
      <c r="Y76" s="186"/>
    </row>
    <row r="77" spans="1:25" s="4" customFormat="1" ht="15">
      <c r="A77" s="109" t="s">
        <v>51</v>
      </c>
      <c r="B77" s="42">
        <f t="shared" si="6"/>
        <v>2051.9399999999996</v>
      </c>
      <c r="C77" s="17">
        <f t="shared" si="7"/>
        <v>242.37</v>
      </c>
      <c r="D77" s="18">
        <f>D30*0.9</f>
        <v>19.8</v>
      </c>
      <c r="E77" s="18">
        <f>E30*0.95</f>
        <v>20.9</v>
      </c>
      <c r="F77" s="18">
        <f aca="true" t="shared" si="11" ref="F77:G79">F30</f>
        <v>10</v>
      </c>
      <c r="G77" s="18">
        <f t="shared" si="11"/>
        <v>10</v>
      </c>
      <c r="H77" s="18">
        <f>H30*0.99</f>
        <v>103.95</v>
      </c>
      <c r="I77" s="18">
        <f>I30*0.92</f>
        <v>97.52000000000001</v>
      </c>
      <c r="J77" s="17">
        <f>SUM(K77:L77)</f>
        <v>223.62</v>
      </c>
      <c r="K77" s="18">
        <f>K30*0.89</f>
        <v>106.8</v>
      </c>
      <c r="L77" s="18">
        <f>L30*0.99</f>
        <v>116.82</v>
      </c>
      <c r="M77" s="95">
        <f>+N77+P77+Q77+R77+S77</f>
        <v>1585.9499999999998</v>
      </c>
      <c r="N77" s="18">
        <f aca="true" t="shared" si="12" ref="N77:P79">N30*1</f>
        <v>696</v>
      </c>
      <c r="O77" s="18">
        <f t="shared" si="12"/>
        <v>586</v>
      </c>
      <c r="P77" s="18">
        <f t="shared" si="12"/>
        <v>280</v>
      </c>
      <c r="Q77" s="18">
        <f>Q30*0.95</f>
        <v>254.6</v>
      </c>
      <c r="R77" s="61">
        <f>R30*0.95</f>
        <v>131.1</v>
      </c>
      <c r="S77" s="20">
        <f>S30*0.975</f>
        <v>224.25</v>
      </c>
      <c r="T77" s="44"/>
      <c r="V77" s="191"/>
      <c r="W77" s="186"/>
      <c r="X77" s="186"/>
      <c r="Y77" s="186"/>
    </row>
    <row r="78" spans="1:25" s="4" customFormat="1" ht="15">
      <c r="A78" s="109" t="s">
        <v>81</v>
      </c>
      <c r="B78" s="42">
        <f t="shared" si="6"/>
        <v>1505.0644</v>
      </c>
      <c r="C78" s="17">
        <f>SUM(E78:I78)</f>
        <v>222</v>
      </c>
      <c r="D78" s="18">
        <f>D31*0.98</f>
        <v>11.76</v>
      </c>
      <c r="E78" s="18">
        <f>E31*1</f>
        <v>13</v>
      </c>
      <c r="F78" s="18">
        <f t="shared" si="11"/>
        <v>11</v>
      </c>
      <c r="G78" s="18">
        <f t="shared" si="11"/>
        <v>11</v>
      </c>
      <c r="H78" s="18">
        <f>H31*1</f>
        <v>91</v>
      </c>
      <c r="I78" s="18">
        <f>I31*1</f>
        <v>96</v>
      </c>
      <c r="J78" s="17">
        <f>SUM(K78:L78)</f>
        <v>185</v>
      </c>
      <c r="K78" s="18">
        <f>K31*1</f>
        <v>99</v>
      </c>
      <c r="L78" s="18">
        <f>L31*1</f>
        <v>86</v>
      </c>
      <c r="M78" s="95">
        <f>+N78+P78+Q78+R78+S78</f>
        <v>1098.0644</v>
      </c>
      <c r="N78" s="18">
        <f t="shared" si="12"/>
        <v>475</v>
      </c>
      <c r="O78" s="18">
        <f t="shared" si="12"/>
        <v>440</v>
      </c>
      <c r="P78" s="18">
        <f t="shared" si="12"/>
        <v>178</v>
      </c>
      <c r="Q78" s="18">
        <f>Q31*0.99</f>
        <v>189.09</v>
      </c>
      <c r="R78" s="61">
        <f>R31*0.9999</f>
        <v>85.9914</v>
      </c>
      <c r="S78" s="20">
        <f>S31*0.9999</f>
        <v>169.983</v>
      </c>
      <c r="T78" s="44"/>
      <c r="V78" s="191"/>
      <c r="W78" s="186"/>
      <c r="X78" s="186"/>
      <c r="Y78" s="186"/>
    </row>
    <row r="79" spans="1:25" s="4" customFormat="1" ht="15">
      <c r="A79" s="192" t="s">
        <v>89</v>
      </c>
      <c r="B79" s="42">
        <f>SUM(C79,J79,M79)</f>
        <v>1373.2163</v>
      </c>
      <c r="C79" s="17">
        <f>SUM(E79:I79)</f>
        <v>159</v>
      </c>
      <c r="D79" s="18">
        <f>D32*0.98</f>
        <v>18.62</v>
      </c>
      <c r="E79" s="18">
        <f>E32*1</f>
        <v>19</v>
      </c>
      <c r="F79" s="18">
        <f t="shared" si="11"/>
        <v>9</v>
      </c>
      <c r="G79" s="18">
        <f t="shared" si="11"/>
        <v>9</v>
      </c>
      <c r="H79" s="18">
        <f>H32*1</f>
        <v>59</v>
      </c>
      <c r="I79" s="18">
        <f>I32*1</f>
        <v>63</v>
      </c>
      <c r="J79" s="17">
        <f>SUM(K79:L79)</f>
        <v>178</v>
      </c>
      <c r="K79" s="18">
        <f>K32*1</f>
        <v>90</v>
      </c>
      <c r="L79" s="18">
        <f>L32*1</f>
        <v>88</v>
      </c>
      <c r="M79" s="95">
        <f>+N79+P79+Q79+R79+S79</f>
        <v>1036.2163</v>
      </c>
      <c r="N79" s="18">
        <f t="shared" si="12"/>
        <v>465</v>
      </c>
      <c r="O79" s="18">
        <f t="shared" si="12"/>
        <v>331</v>
      </c>
      <c r="P79" s="18">
        <f t="shared" si="12"/>
        <v>160</v>
      </c>
      <c r="Q79" s="18">
        <f>Q32*0.99</f>
        <v>174.24</v>
      </c>
      <c r="R79" s="61">
        <f>R32*0.9999</f>
        <v>71.9928</v>
      </c>
      <c r="S79" s="20">
        <f>S32*0.9999</f>
        <v>164.9835</v>
      </c>
      <c r="T79" s="44"/>
      <c r="V79" s="191"/>
      <c r="W79" s="186"/>
      <c r="X79" s="186"/>
      <c r="Y79" s="186"/>
    </row>
    <row r="80" spans="1:25" s="4" customFormat="1" ht="15">
      <c r="A80" s="105" t="s">
        <v>63</v>
      </c>
      <c r="B80" s="42">
        <f t="shared" si="6"/>
        <v>1444.4899999999998</v>
      </c>
      <c r="C80" s="17">
        <f t="shared" si="7"/>
        <v>203.26</v>
      </c>
      <c r="D80" s="18">
        <f>D33*0.7</f>
        <v>14.7</v>
      </c>
      <c r="E80" s="18">
        <f aca="true" t="shared" si="13" ref="E80:G82">E33*0.8</f>
        <v>17.6</v>
      </c>
      <c r="F80" s="18">
        <f t="shared" si="13"/>
        <v>8.8</v>
      </c>
      <c r="G80" s="18">
        <f t="shared" si="13"/>
        <v>8.8</v>
      </c>
      <c r="H80" s="18">
        <f>H33*0.94</f>
        <v>87.42</v>
      </c>
      <c r="I80" s="18">
        <f>I33*0.84</f>
        <v>80.64</v>
      </c>
      <c r="J80" s="17">
        <f t="shared" si="8"/>
        <v>187.14</v>
      </c>
      <c r="K80" s="18">
        <f>K33*0.83</f>
        <v>87.14999999999999</v>
      </c>
      <c r="L80" s="18">
        <f>L33*0.99</f>
        <v>99.99</v>
      </c>
      <c r="M80" s="95">
        <f t="shared" si="9"/>
        <v>1054.09</v>
      </c>
      <c r="N80" s="18">
        <f>N33*0.846</f>
        <v>507.59999999999997</v>
      </c>
      <c r="O80" s="18">
        <f>O33*0.82</f>
        <v>389.5</v>
      </c>
      <c r="P80" s="18">
        <f>P33*0.85</f>
        <v>199.75</v>
      </c>
      <c r="Q80" s="18">
        <f>Q33*0.75</f>
        <v>142.5</v>
      </c>
      <c r="R80" s="18">
        <f>R33*0.82</f>
        <v>60.68</v>
      </c>
      <c r="S80" s="18">
        <f>S33*0.97</f>
        <v>143.56</v>
      </c>
      <c r="T80" s="44"/>
      <c r="V80" s="191"/>
      <c r="W80" s="186"/>
      <c r="X80" s="186"/>
      <c r="Y80" s="186"/>
    </row>
    <row r="81" spans="1:25" s="4" customFormat="1" ht="15">
      <c r="A81" s="105" t="s">
        <v>64</v>
      </c>
      <c r="B81" s="42">
        <f t="shared" si="6"/>
        <v>728.496</v>
      </c>
      <c r="C81" s="17">
        <f t="shared" si="7"/>
        <v>102.14</v>
      </c>
      <c r="D81" s="18">
        <f>D34*0.7</f>
        <v>7</v>
      </c>
      <c r="E81" s="18">
        <f t="shared" si="13"/>
        <v>8.8</v>
      </c>
      <c r="F81" s="18">
        <f t="shared" si="13"/>
        <v>4</v>
      </c>
      <c r="G81" s="18">
        <f t="shared" si="13"/>
        <v>4</v>
      </c>
      <c r="H81" s="18">
        <f>H34*0.94</f>
        <v>44.18</v>
      </c>
      <c r="I81" s="18">
        <f>I34*0.84</f>
        <v>41.16</v>
      </c>
      <c r="J81" s="17">
        <f t="shared" si="8"/>
        <v>97.13</v>
      </c>
      <c r="K81" s="18">
        <f>K34*0.83</f>
        <v>45.65</v>
      </c>
      <c r="L81" s="18">
        <f>L34*0.99</f>
        <v>51.48</v>
      </c>
      <c r="M81" s="95">
        <f t="shared" si="9"/>
        <v>529.226</v>
      </c>
      <c r="N81" s="18">
        <f>N34*0.846</f>
        <v>254.646</v>
      </c>
      <c r="O81" s="18">
        <f>O34*0.82</f>
        <v>198.44</v>
      </c>
      <c r="P81" s="18">
        <f>P34*0.85</f>
        <v>98.6</v>
      </c>
      <c r="Q81" s="18">
        <f>Q34*0.75</f>
        <v>71.25</v>
      </c>
      <c r="R81" s="18">
        <f>R34*0.82</f>
        <v>31.979999999999997</v>
      </c>
      <c r="S81" s="18">
        <f>S34*0.97</f>
        <v>72.75</v>
      </c>
      <c r="T81" s="44"/>
      <c r="V81" s="191"/>
      <c r="W81" s="186"/>
      <c r="X81" s="186"/>
      <c r="Y81" s="186"/>
    </row>
    <row r="82" spans="1:25" s="4" customFormat="1" ht="15">
      <c r="A82" s="105" t="s">
        <v>65</v>
      </c>
      <c r="B82" s="42">
        <f t="shared" si="6"/>
        <v>1355.234</v>
      </c>
      <c r="C82" s="17">
        <f t="shared" si="7"/>
        <v>197.92</v>
      </c>
      <c r="D82" s="18">
        <f>D35*0.7</f>
        <v>14.7</v>
      </c>
      <c r="E82" s="18">
        <f t="shared" si="13"/>
        <v>17.6</v>
      </c>
      <c r="F82" s="18">
        <f t="shared" si="13"/>
        <v>8.8</v>
      </c>
      <c r="G82" s="18">
        <f t="shared" si="13"/>
        <v>8.8</v>
      </c>
      <c r="H82" s="18">
        <f>H35*0.94</f>
        <v>84.6</v>
      </c>
      <c r="I82" s="18">
        <f>I35*0.84</f>
        <v>78.11999999999999</v>
      </c>
      <c r="J82" s="17">
        <f t="shared" si="8"/>
        <v>182.67000000000002</v>
      </c>
      <c r="K82" s="18">
        <f>K35*0.83</f>
        <v>84.66</v>
      </c>
      <c r="L82" s="18">
        <f>L35*0.99</f>
        <v>98.01</v>
      </c>
      <c r="M82" s="95">
        <f t="shared" si="9"/>
        <v>974.644</v>
      </c>
      <c r="N82" s="18">
        <f>N35*0.846</f>
        <v>485.604</v>
      </c>
      <c r="O82" s="18">
        <f>O35*0.82</f>
        <v>381.29999999999995</v>
      </c>
      <c r="P82" s="18">
        <f>P35*0.85</f>
        <v>191.25</v>
      </c>
      <c r="Q82" s="18">
        <f>Q35*0.75</f>
        <v>112.5</v>
      </c>
      <c r="R82" s="18">
        <f>R35*0.82</f>
        <v>58.22</v>
      </c>
      <c r="S82" s="18">
        <f>S35*0.97</f>
        <v>127.07</v>
      </c>
      <c r="T82" s="44"/>
      <c r="V82" s="191"/>
      <c r="W82" s="186"/>
      <c r="X82" s="186"/>
      <c r="Y82" s="186"/>
    </row>
    <row r="83" spans="1:25" s="4" customFormat="1" ht="15">
      <c r="A83" s="105" t="s">
        <v>66</v>
      </c>
      <c r="B83" s="42">
        <f t="shared" si="6"/>
        <v>1490.3690000000001</v>
      </c>
      <c r="C83" s="17">
        <f t="shared" si="7"/>
        <v>235.146</v>
      </c>
      <c r="D83" s="18">
        <f>D36*0.6</f>
        <v>15</v>
      </c>
      <c r="E83" s="18">
        <f>E36*0.8</f>
        <v>20</v>
      </c>
      <c r="F83" s="18">
        <f>F36*0.75</f>
        <v>9.75</v>
      </c>
      <c r="G83" s="18">
        <f>G36*0.6</f>
        <v>7.8</v>
      </c>
      <c r="H83" s="18">
        <f>H36*0.73</f>
        <v>94.89999999999999</v>
      </c>
      <c r="I83" s="18">
        <f>I36*0.778</f>
        <v>102.696</v>
      </c>
      <c r="J83" s="17">
        <f t="shared" si="8"/>
        <v>217.71</v>
      </c>
      <c r="K83" s="18">
        <f>K36*0.72</f>
        <v>111.6</v>
      </c>
      <c r="L83" s="18">
        <f>L36*0.81</f>
        <v>106.11000000000001</v>
      </c>
      <c r="M83" s="95">
        <f t="shared" si="9"/>
        <v>1037.5130000000001</v>
      </c>
      <c r="N83" s="18">
        <f>N36*0.719</f>
        <v>394.731</v>
      </c>
      <c r="O83" s="18">
        <f>O36*0.717</f>
        <v>286.8</v>
      </c>
      <c r="P83" s="18">
        <f>P36*0.893</f>
        <v>224.143</v>
      </c>
      <c r="Q83" s="18">
        <f>Q36*0.832</f>
        <v>178.048</v>
      </c>
      <c r="R83" s="18">
        <f>R36*0.894</f>
        <v>84.93</v>
      </c>
      <c r="S83" s="18">
        <f>S36*0.979</f>
        <v>155.661</v>
      </c>
      <c r="T83" s="44"/>
      <c r="V83" s="191"/>
      <c r="W83" s="186"/>
      <c r="X83" s="186"/>
      <c r="Y83" s="186"/>
    </row>
    <row r="84" spans="1:25" s="4" customFormat="1" ht="15">
      <c r="A84" s="105" t="s">
        <v>67</v>
      </c>
      <c r="B84" s="42">
        <f t="shared" si="6"/>
        <v>2548.2295000000004</v>
      </c>
      <c r="C84" s="17">
        <f t="shared" si="7"/>
        <v>433</v>
      </c>
      <c r="D84" s="18">
        <f>D37*0.98</f>
        <v>30.38</v>
      </c>
      <c r="E84" s="18">
        <f>E37*1</f>
        <v>29</v>
      </c>
      <c r="F84" s="18">
        <f>F37</f>
        <v>15</v>
      </c>
      <c r="G84" s="18">
        <f>G37</f>
        <v>15</v>
      </c>
      <c r="H84" s="18">
        <f>H37*1</f>
        <v>182</v>
      </c>
      <c r="I84" s="18">
        <f>I37*1</f>
        <v>192</v>
      </c>
      <c r="J84" s="17">
        <f>SUM(K84:L84)</f>
        <v>347</v>
      </c>
      <c r="K84" s="18">
        <f>K37*1</f>
        <v>201</v>
      </c>
      <c r="L84" s="18">
        <f>L37*1</f>
        <v>146</v>
      </c>
      <c r="M84" s="95">
        <f>+N84+P84+Q84+R84+S84</f>
        <v>1768.2295000000001</v>
      </c>
      <c r="N84" s="18">
        <f>N37*1</f>
        <v>786</v>
      </c>
      <c r="O84" s="18">
        <f>O37*1</f>
        <v>739</v>
      </c>
      <c r="P84" s="18">
        <f>P37*1</f>
        <v>314</v>
      </c>
      <c r="Q84" s="18">
        <f>Q37*0.935</f>
        <v>302.005</v>
      </c>
      <c r="R84" s="61">
        <f>R37*0.89</f>
        <v>111.25</v>
      </c>
      <c r="S84" s="20">
        <f>S37*0.9999</f>
        <v>254.9745</v>
      </c>
      <c r="T84" s="44"/>
      <c r="V84" s="191"/>
      <c r="W84" s="186"/>
      <c r="X84" s="186"/>
      <c r="Y84" s="186"/>
    </row>
    <row r="85" spans="1:25" s="4" customFormat="1" ht="15">
      <c r="A85" s="105" t="s">
        <v>68</v>
      </c>
      <c r="B85" s="42">
        <f t="shared" si="6"/>
        <v>993.408</v>
      </c>
      <c r="C85" s="17">
        <f t="shared" si="7"/>
        <v>119.64599999999999</v>
      </c>
      <c r="D85" s="18">
        <f>D38*0.8</f>
        <v>13.600000000000001</v>
      </c>
      <c r="E85" s="18">
        <f>E38*0.83</f>
        <v>14.11</v>
      </c>
      <c r="F85" s="18">
        <f>F38*0.809</f>
        <v>6.472</v>
      </c>
      <c r="G85" s="18">
        <f>G38*0.768</f>
        <v>6.144</v>
      </c>
      <c r="H85" s="18">
        <f>H38*0.73</f>
        <v>46.72</v>
      </c>
      <c r="I85" s="18">
        <f>I38*0.7</f>
        <v>46.199999999999996</v>
      </c>
      <c r="J85" s="17">
        <f t="shared" si="8"/>
        <v>126.22</v>
      </c>
      <c r="K85" s="18">
        <f>K38*0.71</f>
        <v>56.8</v>
      </c>
      <c r="L85" s="18">
        <f>L38*0.89</f>
        <v>69.42</v>
      </c>
      <c r="M85" s="95">
        <f t="shared" si="9"/>
        <v>747.542</v>
      </c>
      <c r="N85" s="18">
        <f>N38*0.87</f>
        <v>349.74</v>
      </c>
      <c r="O85" s="18">
        <f>O38*0.82</f>
        <v>245.17999999999998</v>
      </c>
      <c r="P85" s="18">
        <f>P38*0.9</f>
        <v>128.70000000000002</v>
      </c>
      <c r="Q85" s="18">
        <f>Q38*0.751</f>
        <v>114.152</v>
      </c>
      <c r="R85" s="61">
        <f>R38*0.81</f>
        <v>44.550000000000004</v>
      </c>
      <c r="S85" s="20">
        <f>S38*0.92</f>
        <v>110.4</v>
      </c>
      <c r="T85" s="44"/>
      <c r="V85" s="191"/>
      <c r="W85" s="186"/>
      <c r="X85" s="186"/>
      <c r="Y85" s="186"/>
    </row>
    <row r="86" spans="1:25" s="4" customFormat="1" ht="15">
      <c r="A86" s="105" t="s">
        <v>69</v>
      </c>
      <c r="B86" s="42">
        <f t="shared" si="6"/>
        <v>1120.692</v>
      </c>
      <c r="C86" s="17">
        <f t="shared" si="7"/>
        <v>132.663</v>
      </c>
      <c r="D86" s="18">
        <f>D39*0.8</f>
        <v>13.600000000000001</v>
      </c>
      <c r="E86" s="18">
        <f>E39*0.83</f>
        <v>14.11</v>
      </c>
      <c r="F86" s="18">
        <f>F39*0.809</f>
        <v>7.281000000000001</v>
      </c>
      <c r="G86" s="18">
        <f>G39*0.768</f>
        <v>6.912</v>
      </c>
      <c r="H86" s="18">
        <f>H39*0.73</f>
        <v>52.56</v>
      </c>
      <c r="I86" s="18">
        <f>I39*0.7</f>
        <v>51.8</v>
      </c>
      <c r="J86" s="17">
        <f t="shared" si="8"/>
        <v>141.33</v>
      </c>
      <c r="K86" s="18">
        <f>K39*0.71</f>
        <v>63.9</v>
      </c>
      <c r="L86" s="18">
        <f>L39*0.89</f>
        <v>77.43</v>
      </c>
      <c r="M86" s="95">
        <f t="shared" si="9"/>
        <v>846.6989999999998</v>
      </c>
      <c r="N86" s="18">
        <f>N39*0.87</f>
        <v>396.71999999999997</v>
      </c>
      <c r="O86" s="18">
        <f>O39*0.82</f>
        <v>295.2</v>
      </c>
      <c r="P86" s="18">
        <f>P39*0.9</f>
        <v>134.1</v>
      </c>
      <c r="Q86" s="18">
        <f>Q39*0.751</f>
        <v>134.429</v>
      </c>
      <c r="R86" s="61">
        <f>R39*0.81</f>
        <v>52.650000000000006</v>
      </c>
      <c r="S86" s="20">
        <f>S39*0.92</f>
        <v>128.8</v>
      </c>
      <c r="T86" s="44"/>
      <c r="V86" s="191"/>
      <c r="W86" s="186"/>
      <c r="X86" s="186"/>
      <c r="Y86" s="186"/>
    </row>
    <row r="87" spans="1:25" s="4" customFormat="1" ht="15">
      <c r="A87" s="105" t="s">
        <v>70</v>
      </c>
      <c r="B87" s="42">
        <f t="shared" si="6"/>
        <v>921.0380000000001</v>
      </c>
      <c r="C87" s="17">
        <f t="shared" si="7"/>
        <v>108.706</v>
      </c>
      <c r="D87" s="18">
        <f>D40*0.8</f>
        <v>12</v>
      </c>
      <c r="E87" s="18">
        <f>E40*0.83</f>
        <v>12.45</v>
      </c>
      <c r="F87" s="18">
        <f>F40*0.809</f>
        <v>6.472</v>
      </c>
      <c r="G87" s="18">
        <f>G40*0.768</f>
        <v>6.144</v>
      </c>
      <c r="H87" s="18">
        <f>H40*0.73</f>
        <v>42.339999999999996</v>
      </c>
      <c r="I87" s="18">
        <f>I40*0.7</f>
        <v>41.3</v>
      </c>
      <c r="J87" s="17">
        <f t="shared" si="8"/>
        <v>122.13</v>
      </c>
      <c r="K87" s="18">
        <f>K40*0.71</f>
        <v>55.379999999999995</v>
      </c>
      <c r="L87" s="18">
        <f>L40*0.89</f>
        <v>66.75</v>
      </c>
      <c r="M87" s="95">
        <f t="shared" si="9"/>
        <v>690.2020000000001</v>
      </c>
      <c r="N87" s="18">
        <f>N40*0.87</f>
        <v>319.29</v>
      </c>
      <c r="O87" s="18">
        <f>O40*0.82</f>
        <v>237.79999999999998</v>
      </c>
      <c r="P87" s="18">
        <f>P40*0.9</f>
        <v>119.7</v>
      </c>
      <c r="Q87" s="18">
        <f>Q40*0.751</f>
        <v>106.642</v>
      </c>
      <c r="R87" s="61">
        <f>R40*0.81</f>
        <v>39.690000000000005</v>
      </c>
      <c r="S87" s="20">
        <f>S40*0.92</f>
        <v>104.88000000000001</v>
      </c>
      <c r="T87" s="44"/>
      <c r="V87" s="191"/>
      <c r="W87" s="186"/>
      <c r="X87" s="186"/>
      <c r="Y87" s="186"/>
    </row>
    <row r="88" spans="1:25" s="4" customFormat="1" ht="15">
      <c r="A88" s="105" t="s">
        <v>71</v>
      </c>
      <c r="B88" s="42">
        <f t="shared" si="6"/>
        <v>2094.92</v>
      </c>
      <c r="C88" s="17">
        <f t="shared" si="7"/>
        <v>233.481</v>
      </c>
      <c r="D88" s="18">
        <f>D41*0.8</f>
        <v>20</v>
      </c>
      <c r="E88" s="18">
        <f>E41*0.83</f>
        <v>20.75</v>
      </c>
      <c r="F88" s="18">
        <f>F41*0.809</f>
        <v>10.517000000000001</v>
      </c>
      <c r="G88" s="18">
        <f>G41*0.768</f>
        <v>9.984</v>
      </c>
      <c r="H88" s="18">
        <f>H41*0.73</f>
        <v>95.63</v>
      </c>
      <c r="I88" s="18">
        <f>I41*0.7</f>
        <v>96.6</v>
      </c>
      <c r="J88" s="17">
        <f t="shared" si="8"/>
        <v>243.55</v>
      </c>
      <c r="K88" s="18">
        <f>K41*0.71</f>
        <v>110.05</v>
      </c>
      <c r="L88" s="18">
        <f>L41*0.89</f>
        <v>133.5</v>
      </c>
      <c r="M88" s="95">
        <f t="shared" si="9"/>
        <v>1617.889</v>
      </c>
      <c r="N88" s="18">
        <f>N41*0.87</f>
        <v>751.68</v>
      </c>
      <c r="O88" s="18">
        <f>O41*0.82</f>
        <v>555.9599999999999</v>
      </c>
      <c r="P88" s="18">
        <f>P41*0.9</f>
        <v>297.90000000000003</v>
      </c>
      <c r="Q88" s="18">
        <f>Q41*0.751</f>
        <v>224.549</v>
      </c>
      <c r="R88" s="61">
        <f>R41*0.81</f>
        <v>97.2</v>
      </c>
      <c r="S88" s="20">
        <f>S41*0.92</f>
        <v>246.56</v>
      </c>
      <c r="T88" s="44"/>
      <c r="V88" s="191"/>
      <c r="W88" s="186"/>
      <c r="X88" s="186"/>
      <c r="Y88" s="186"/>
    </row>
    <row r="89" spans="1:25" s="4" customFormat="1" ht="15">
      <c r="A89" s="105" t="s">
        <v>72</v>
      </c>
      <c r="B89" s="42">
        <f t="shared" si="6"/>
        <v>1333.1</v>
      </c>
      <c r="C89" s="17">
        <f t="shared" si="7"/>
        <v>181.34</v>
      </c>
      <c r="D89" s="18">
        <f>D42*0.9</f>
        <v>14.4</v>
      </c>
      <c r="E89" s="18">
        <f>E42*0.95</f>
        <v>15.2</v>
      </c>
      <c r="F89" s="18">
        <f>F42</f>
        <v>9</v>
      </c>
      <c r="G89" s="18">
        <f>G42</f>
        <v>9</v>
      </c>
      <c r="H89" s="18">
        <f>H42*0.98</f>
        <v>75.46</v>
      </c>
      <c r="I89" s="18">
        <f>I42*0.92</f>
        <v>72.68</v>
      </c>
      <c r="J89" s="17">
        <f>SUM(K89:L89)</f>
        <v>161.01</v>
      </c>
      <c r="K89" s="18">
        <f>K42*0.81</f>
        <v>72.9</v>
      </c>
      <c r="L89" s="18">
        <f>L42*0.99</f>
        <v>88.11</v>
      </c>
      <c r="M89" s="95">
        <f>+N89+P89+Q89+R89+S89</f>
        <v>990.75</v>
      </c>
      <c r="N89" s="18">
        <f>N42*1</f>
        <v>475</v>
      </c>
      <c r="O89" s="18">
        <f>O42*1</f>
        <v>381</v>
      </c>
      <c r="P89" s="18">
        <f>P42*1</f>
        <v>161</v>
      </c>
      <c r="Q89" s="18">
        <f>Q42*0.95</f>
        <v>166.25</v>
      </c>
      <c r="R89" s="61">
        <f>R42*0.95</f>
        <v>61.75</v>
      </c>
      <c r="S89" s="20">
        <f>S42*0.975</f>
        <v>126.75</v>
      </c>
      <c r="T89" s="44"/>
      <c r="V89" s="191"/>
      <c r="W89" s="186"/>
      <c r="X89" s="186"/>
      <c r="Y89" s="186"/>
    </row>
    <row r="90" spans="1:19" s="4" customFormat="1" ht="15">
      <c r="A90" s="59"/>
      <c r="B90" s="42"/>
      <c r="C90" s="17"/>
      <c r="D90" s="61"/>
      <c r="E90" s="18"/>
      <c r="F90" s="18"/>
      <c r="G90" s="18"/>
      <c r="H90" s="18"/>
      <c r="I90" s="19"/>
      <c r="J90" s="17"/>
      <c r="K90" s="18"/>
      <c r="L90" s="19"/>
      <c r="M90" s="96"/>
      <c r="N90" s="18"/>
      <c r="O90" s="18"/>
      <c r="P90" s="18"/>
      <c r="Q90" s="18"/>
      <c r="R90" s="18"/>
      <c r="S90" s="19"/>
    </row>
    <row r="91" spans="1:19" s="59" customFormat="1" ht="26.25" customHeight="1">
      <c r="A91" s="54" t="s">
        <v>18</v>
      </c>
      <c r="B91" s="55"/>
      <c r="C91" s="56"/>
      <c r="D91" s="57"/>
      <c r="E91" s="57"/>
      <c r="F91" s="57"/>
      <c r="G91" s="57"/>
      <c r="H91" s="57"/>
      <c r="I91" s="58"/>
      <c r="J91" s="56"/>
      <c r="K91" s="57"/>
      <c r="L91" s="58"/>
      <c r="M91" s="56"/>
      <c r="N91" s="57"/>
      <c r="O91" s="57"/>
      <c r="P91" s="57"/>
      <c r="Q91" s="57"/>
      <c r="R91" s="57"/>
      <c r="S91" s="58"/>
    </row>
    <row r="92" spans="2:19" s="4" customFormat="1" ht="1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="4" customFormat="1" ht="15"/>
    <row r="94" s="4" customFormat="1" ht="15"/>
    <row r="95" s="4" customFormat="1" ht="15"/>
    <row r="96" s="4" customFormat="1" ht="15">
      <c r="E96" s="4" t="s">
        <v>22</v>
      </c>
    </row>
    <row r="97" s="4" customFormat="1" ht="15"/>
    <row r="98" s="4" customFormat="1" ht="15">
      <c r="G98" s="4" t="str">
        <f>+G3</f>
        <v>           SERVICIO DE SALUD ACONCAGUA  2020</v>
      </c>
    </row>
    <row r="99" s="4" customFormat="1" ht="15"/>
    <row r="100" s="4" customFormat="1" ht="15.75" thickBot="1">
      <c r="K100" s="59"/>
    </row>
    <row r="101" spans="1:19" s="4" customFormat="1" ht="15">
      <c r="A101" s="175"/>
      <c r="B101" s="180"/>
      <c r="C101" s="152"/>
      <c r="D101" s="152"/>
      <c r="E101" s="152"/>
      <c r="F101" s="152"/>
      <c r="G101" s="152"/>
      <c r="H101" s="152"/>
      <c r="I101" s="152"/>
      <c r="J101" s="152"/>
      <c r="K101" s="152"/>
      <c r="L101" s="184"/>
      <c r="M101" s="152"/>
      <c r="N101" s="152"/>
      <c r="O101" s="152"/>
      <c r="P101" s="152"/>
      <c r="Q101" s="185"/>
      <c r="R101"/>
      <c r="S101"/>
    </row>
    <row r="102" spans="1:19" s="4" customFormat="1" ht="15">
      <c r="A102" s="105"/>
      <c r="B102" s="181"/>
      <c r="C102" s="59"/>
      <c r="D102" s="59"/>
      <c r="E102" s="213" t="s">
        <v>23</v>
      </c>
      <c r="F102" s="213"/>
      <c r="G102" s="213"/>
      <c r="H102" s="213"/>
      <c r="I102" s="213"/>
      <c r="J102" s="213"/>
      <c r="K102" s="59"/>
      <c r="L102" s="114"/>
      <c r="M102" s="59"/>
      <c r="N102" s="59" t="s">
        <v>24</v>
      </c>
      <c r="O102" s="59"/>
      <c r="P102" s="59"/>
      <c r="Q102" s="168" t="s">
        <v>25</v>
      </c>
      <c r="R102"/>
      <c r="S102"/>
    </row>
    <row r="103" spans="1:19" s="4" customFormat="1" ht="15">
      <c r="A103" s="105"/>
      <c r="B103" s="181"/>
      <c r="C103" s="59"/>
      <c r="D103" s="59"/>
      <c r="E103" s="59"/>
      <c r="F103" s="59"/>
      <c r="G103" s="59"/>
      <c r="H103" s="59"/>
      <c r="I103" s="59"/>
      <c r="J103" s="59"/>
      <c r="K103" s="112"/>
      <c r="L103" s="114"/>
      <c r="M103" s="59"/>
      <c r="N103" s="59"/>
      <c r="O103" s="59"/>
      <c r="P103" s="59"/>
      <c r="Q103" s="168"/>
      <c r="R103"/>
      <c r="S103"/>
    </row>
    <row r="104" spans="1:19" s="4" customFormat="1" ht="15">
      <c r="A104" s="105"/>
      <c r="B104" s="182" t="s">
        <v>5</v>
      </c>
      <c r="C104" s="113"/>
      <c r="D104" s="113"/>
      <c r="E104" s="113"/>
      <c r="F104" s="113"/>
      <c r="G104" s="113"/>
      <c r="H104" s="113"/>
      <c r="I104" s="113"/>
      <c r="J104" s="113"/>
      <c r="K104" s="114"/>
      <c r="L104" s="116"/>
      <c r="M104" s="47"/>
      <c r="N104" s="47"/>
      <c r="O104" s="47"/>
      <c r="P104" s="47"/>
      <c r="Q104" s="168" t="s">
        <v>26</v>
      </c>
      <c r="R104"/>
      <c r="S104"/>
    </row>
    <row r="105" spans="1:23" s="4" customFormat="1" ht="15">
      <c r="A105" s="178" t="s">
        <v>6</v>
      </c>
      <c r="B105" s="181"/>
      <c r="C105" s="60" t="s">
        <v>27</v>
      </c>
      <c r="D105" s="60" t="s">
        <v>9</v>
      </c>
      <c r="E105" s="60" t="s">
        <v>10</v>
      </c>
      <c r="F105" s="60" t="s">
        <v>82</v>
      </c>
      <c r="G105" s="60" t="s">
        <v>52</v>
      </c>
      <c r="H105" s="60" t="s">
        <v>53</v>
      </c>
      <c r="I105" s="60" t="s">
        <v>28</v>
      </c>
      <c r="J105" s="60" t="s">
        <v>73</v>
      </c>
      <c r="K105" s="119" t="s">
        <v>49</v>
      </c>
      <c r="L105" s="120" t="s">
        <v>29</v>
      </c>
      <c r="M105" s="60" t="s">
        <v>12</v>
      </c>
      <c r="N105" s="60" t="s">
        <v>30</v>
      </c>
      <c r="O105" s="60" t="s">
        <v>31</v>
      </c>
      <c r="P105" s="60" t="s">
        <v>83</v>
      </c>
      <c r="Q105" s="168"/>
      <c r="R105" s="132"/>
      <c r="S105" s="132"/>
      <c r="T105" s="132"/>
      <c r="U105" s="132"/>
      <c r="V105" s="197"/>
      <c r="W105" s="197"/>
    </row>
    <row r="106" spans="1:22" s="4" customFormat="1" ht="15">
      <c r="A106" s="105"/>
      <c r="B106" s="182" t="s">
        <v>12</v>
      </c>
      <c r="C106" s="60" t="s">
        <v>16</v>
      </c>
      <c r="D106" s="60" t="s">
        <v>16</v>
      </c>
      <c r="E106" s="60" t="s">
        <v>16</v>
      </c>
      <c r="F106" s="60" t="s">
        <v>16</v>
      </c>
      <c r="G106" s="60" t="s">
        <v>16</v>
      </c>
      <c r="H106" s="60" t="s">
        <v>16</v>
      </c>
      <c r="I106" s="60" t="s">
        <v>16</v>
      </c>
      <c r="J106" s="60" t="s">
        <v>16</v>
      </c>
      <c r="K106" s="119" t="s">
        <v>16</v>
      </c>
      <c r="L106" s="120" t="s">
        <v>16</v>
      </c>
      <c r="M106" s="60"/>
      <c r="N106" s="60" t="s">
        <v>16</v>
      </c>
      <c r="O106" s="60" t="s">
        <v>16</v>
      </c>
      <c r="P106" s="60" t="s">
        <v>16</v>
      </c>
      <c r="Q106" s="168" t="s">
        <v>32</v>
      </c>
      <c r="R106" s="132"/>
      <c r="S106" s="132"/>
      <c r="T106" s="132"/>
      <c r="U106" s="132"/>
      <c r="V106" s="132"/>
    </row>
    <row r="107" spans="1:21" s="4" customFormat="1" ht="15.75" thickBot="1">
      <c r="A107" s="49"/>
      <c r="B107" s="183"/>
      <c r="C107" s="170"/>
      <c r="D107" s="170"/>
      <c r="E107" s="170"/>
      <c r="F107" s="170"/>
      <c r="G107" s="170"/>
      <c r="H107" s="170"/>
      <c r="I107" s="170"/>
      <c r="J107" s="170"/>
      <c r="K107" s="171"/>
      <c r="L107" s="172"/>
      <c r="M107" s="170"/>
      <c r="N107" s="170"/>
      <c r="O107" s="173"/>
      <c r="P107" s="173"/>
      <c r="Q107" s="174"/>
      <c r="R107" s="131"/>
      <c r="T107" s="127"/>
      <c r="U107" s="128"/>
    </row>
    <row r="108" spans="1:18" s="4" customFormat="1" ht="15">
      <c r="A108" s="15"/>
      <c r="B108" s="124"/>
      <c r="C108" s="125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5"/>
      <c r="R108"/>
    </row>
    <row r="109" spans="1:23" s="4" customFormat="1" ht="15">
      <c r="A109" s="15" t="s">
        <v>17</v>
      </c>
      <c r="B109" s="42">
        <f aca="true" t="shared" si="14" ref="B109:Q109">SUM(B110:B140)</f>
        <v>144014.87240000002</v>
      </c>
      <c r="C109" s="17">
        <f t="shared" si="14"/>
        <v>18879.8762</v>
      </c>
      <c r="D109" s="61">
        <f t="shared" si="14"/>
        <v>9717.340600000001</v>
      </c>
      <c r="E109" s="61">
        <f t="shared" si="14"/>
        <v>8867.6362</v>
      </c>
      <c r="F109" s="61">
        <f t="shared" si="14"/>
        <v>9204.6193</v>
      </c>
      <c r="G109" s="61">
        <f t="shared" si="14"/>
        <v>21808.55059999999</v>
      </c>
      <c r="H109" s="61">
        <f t="shared" si="14"/>
        <v>20189.574000000004</v>
      </c>
      <c r="I109" s="61">
        <f t="shared" si="14"/>
        <v>9293.074299999998</v>
      </c>
      <c r="J109" s="61">
        <f t="shared" si="14"/>
        <v>9187.674500000001</v>
      </c>
      <c r="K109" s="61">
        <f t="shared" si="14"/>
        <v>16615.120700000003</v>
      </c>
      <c r="L109" s="61">
        <f t="shared" si="14"/>
        <v>20251.406000000006</v>
      </c>
      <c r="M109" s="17">
        <f t="shared" si="14"/>
        <v>5775.636319999999</v>
      </c>
      <c r="N109" s="18">
        <f t="shared" si="14"/>
        <v>874.75</v>
      </c>
      <c r="O109" s="18">
        <f t="shared" si="14"/>
        <v>3721.5803879999994</v>
      </c>
      <c r="P109" s="18">
        <f t="shared" si="14"/>
        <v>1179.3059319999995</v>
      </c>
      <c r="Q109" s="42">
        <f t="shared" si="14"/>
        <v>3498</v>
      </c>
      <c r="R109" s="103"/>
      <c r="S109" s="103"/>
      <c r="T109" s="103"/>
      <c r="U109" s="103"/>
      <c r="V109" s="103"/>
      <c r="W109" s="103"/>
    </row>
    <row r="110" spans="1:28" s="4" customFormat="1" ht="15">
      <c r="A110" s="93" t="s">
        <v>55</v>
      </c>
      <c r="B110" s="42">
        <f>SUM(C110:L110)</f>
        <v>13408</v>
      </c>
      <c r="C110" s="18">
        <v>1778</v>
      </c>
      <c r="D110" s="18">
        <v>867</v>
      </c>
      <c r="E110" s="18">
        <v>842</v>
      </c>
      <c r="F110" s="18">
        <v>876</v>
      </c>
      <c r="G110" s="18">
        <v>2035</v>
      </c>
      <c r="H110" s="18">
        <v>1836</v>
      </c>
      <c r="I110" s="18">
        <v>887</v>
      </c>
      <c r="J110" s="18">
        <v>817</v>
      </c>
      <c r="K110" s="18">
        <v>1591</v>
      </c>
      <c r="L110" s="18">
        <v>1879</v>
      </c>
      <c r="M110" s="17">
        <f>SUM(N110:P110)</f>
        <v>539.865</v>
      </c>
      <c r="N110" s="18">
        <f aca="true" t="shared" si="15" ref="N110:N138">(+D14+E14)*0.125</f>
        <v>81.625</v>
      </c>
      <c r="O110" s="18">
        <f>(+F110+G110)*0.12</f>
        <v>349.32</v>
      </c>
      <c r="P110" s="18">
        <f>(+H110+I110)*0.04</f>
        <v>108.92</v>
      </c>
      <c r="Q110" s="42">
        <f aca="true" t="shared" si="16" ref="Q110:Q138">D14</f>
        <v>320</v>
      </c>
      <c r="R110" s="126"/>
      <c r="S110" s="186"/>
      <c r="T110" s="123"/>
      <c r="U110" s="123"/>
      <c r="V110" s="126"/>
      <c r="W110" s="44"/>
      <c r="AA110" s="123"/>
      <c r="AB110" s="123"/>
    </row>
    <row r="111" spans="1:28" s="4" customFormat="1" ht="15">
      <c r="A111" s="93" t="s">
        <v>84</v>
      </c>
      <c r="B111" s="42">
        <f aca="true" t="shared" si="17" ref="B111:B140">SUM(C111:L111)</f>
        <v>17826.443300000003</v>
      </c>
      <c r="C111" s="18">
        <f>C15*0.4891</f>
        <v>2316.8667</v>
      </c>
      <c r="D111" s="18">
        <f>K15*0.505</f>
        <v>1210.485</v>
      </c>
      <c r="E111" s="18">
        <f>L15*0.4899</f>
        <v>1067.982</v>
      </c>
      <c r="F111" s="18">
        <f>N15*0.092</f>
        <v>1197.656</v>
      </c>
      <c r="G111" s="18">
        <f>N15*0.217</f>
        <v>2824.906</v>
      </c>
      <c r="H111" s="18">
        <f>N15*0.1894</f>
        <v>2465.6092000000003</v>
      </c>
      <c r="I111" s="18">
        <f>P15*0.2518</f>
        <v>1084.7544</v>
      </c>
      <c r="J111" s="18">
        <f>P15*0.265</f>
        <v>1141.6200000000001</v>
      </c>
      <c r="K111" s="18">
        <f>Q15*0.524</f>
        <v>2042.5520000000001</v>
      </c>
      <c r="L111" s="18">
        <f>(R15+S15)*0.569</f>
        <v>2474.0119999999997</v>
      </c>
      <c r="M111" s="17">
        <f aca="true" t="shared" si="18" ref="M111:M140">SUM(N111:P111)</f>
        <v>734.9719839999999</v>
      </c>
      <c r="N111" s="18">
        <f t="shared" si="15"/>
        <v>110.25</v>
      </c>
      <c r="O111" s="18">
        <f aca="true" t="shared" si="19" ref="O111:O140">(+F111+G111)*0.12</f>
        <v>482.70743999999996</v>
      </c>
      <c r="P111" s="18">
        <f aca="true" t="shared" si="20" ref="P111:P140">(+H111+I111)*0.04</f>
        <v>142.01454400000003</v>
      </c>
      <c r="Q111" s="42">
        <f t="shared" si="16"/>
        <v>442</v>
      </c>
      <c r="R111" s="126"/>
      <c r="S111" s="186"/>
      <c r="T111" s="123"/>
      <c r="U111" s="123"/>
      <c r="V111" s="126"/>
      <c r="W111" s="44"/>
      <c r="AA111" s="123"/>
      <c r="AB111" s="123"/>
    </row>
    <row r="112" spans="1:28" s="4" customFormat="1" ht="15">
      <c r="A112" s="93" t="s">
        <v>85</v>
      </c>
      <c r="B112" s="42">
        <f t="shared" si="17"/>
        <v>18975.183</v>
      </c>
      <c r="C112" s="18">
        <f>C16*0.489</f>
        <v>2430.33</v>
      </c>
      <c r="D112" s="18">
        <f>K16*0.505</f>
        <v>1339.26</v>
      </c>
      <c r="E112" s="18">
        <f>L16*0.49</f>
        <v>1198.05</v>
      </c>
      <c r="F112" s="18">
        <f>N16*0.091</f>
        <v>1248.884</v>
      </c>
      <c r="G112" s="18">
        <f>N16*0.217</f>
        <v>2978.108</v>
      </c>
      <c r="H112" s="18">
        <f>N16*0.1895</f>
        <v>2600.698</v>
      </c>
      <c r="I112" s="18">
        <f>P16*0.252</f>
        <v>1159.452</v>
      </c>
      <c r="J112" s="18">
        <f>P16*0.265</f>
        <v>1219.265</v>
      </c>
      <c r="K112" s="18">
        <f>Q16*0.524</f>
        <v>2160.976</v>
      </c>
      <c r="L112" s="18">
        <f>(R16+S16)*0.569</f>
        <v>2640.16</v>
      </c>
      <c r="M112" s="17">
        <f t="shared" si="18"/>
        <v>773.2700399999999</v>
      </c>
      <c r="N112" s="18">
        <f t="shared" si="15"/>
        <v>115.625</v>
      </c>
      <c r="O112" s="18">
        <f t="shared" si="19"/>
        <v>507.23904</v>
      </c>
      <c r="P112" s="18">
        <f t="shared" si="20"/>
        <v>150.40599999999998</v>
      </c>
      <c r="Q112" s="42">
        <f t="shared" si="16"/>
        <v>465</v>
      </c>
      <c r="R112" s="126"/>
      <c r="S112" s="186"/>
      <c r="T112" s="123"/>
      <c r="U112" s="123"/>
      <c r="V112" s="126"/>
      <c r="W112" s="44"/>
      <c r="AA112" s="123"/>
      <c r="AB112" s="123"/>
    </row>
    <row r="113" spans="1:28" s="4" customFormat="1" ht="15">
      <c r="A113" s="99" t="s">
        <v>86</v>
      </c>
      <c r="B113" s="42">
        <f t="shared" si="17"/>
        <v>16830.1793</v>
      </c>
      <c r="C113" s="18">
        <f>C17*0.498</f>
        <v>2070.186</v>
      </c>
      <c r="D113" s="18">
        <f>K17*0.5006</f>
        <v>1106.8266</v>
      </c>
      <c r="E113" s="18">
        <f>L17*0.498</f>
        <v>1062.732</v>
      </c>
      <c r="F113" s="18">
        <f>N17*0.0887</f>
        <v>1072.0282</v>
      </c>
      <c r="G113" s="18">
        <f>N17*0.2036</f>
        <v>2460.7096</v>
      </c>
      <c r="H113" s="18">
        <f>N17*0.2003</f>
        <v>2420.8258</v>
      </c>
      <c r="I113" s="18">
        <f>P17*0.2667</f>
        <v>1115.3394</v>
      </c>
      <c r="J113" s="18">
        <f>P17*0.249</f>
        <v>1041.318</v>
      </c>
      <c r="K113" s="18">
        <f>Q17*0.5339</f>
        <v>1998.3877000000002</v>
      </c>
      <c r="L113" s="18">
        <f>(R17+S17)*0.5596</f>
        <v>2481.826</v>
      </c>
      <c r="M113" s="17">
        <f t="shared" si="18"/>
        <v>661.8751439999999</v>
      </c>
      <c r="N113" s="18">
        <f t="shared" si="15"/>
        <v>96.5</v>
      </c>
      <c r="O113" s="18">
        <f t="shared" si="19"/>
        <v>423.92853599999995</v>
      </c>
      <c r="P113" s="18">
        <f t="shared" si="20"/>
        <v>141.44660800000003</v>
      </c>
      <c r="Q113" s="42">
        <f t="shared" si="16"/>
        <v>386</v>
      </c>
      <c r="R113" s="126"/>
      <c r="S113" s="186"/>
      <c r="T113" s="123"/>
      <c r="U113" s="123"/>
      <c r="V113" s="126"/>
      <c r="W113" s="44"/>
      <c r="AA113" s="123"/>
      <c r="AB113" s="123"/>
    </row>
    <row r="114" spans="1:28" s="4" customFormat="1" ht="15">
      <c r="A114" s="99" t="s">
        <v>87</v>
      </c>
      <c r="B114" s="42">
        <f t="shared" si="17"/>
        <v>13107.901</v>
      </c>
      <c r="C114" s="18">
        <f>C18*0.498</f>
        <v>1591.11</v>
      </c>
      <c r="D114" s="18">
        <f>K18*0.5</f>
        <v>866</v>
      </c>
      <c r="E114" s="18">
        <f>L18*0.498</f>
        <v>804.27</v>
      </c>
      <c r="F114" s="18">
        <f>N18*0.0887</f>
        <v>817.814</v>
      </c>
      <c r="G114" s="18">
        <f>N18*0.2036</f>
        <v>1877.192</v>
      </c>
      <c r="H114" s="18">
        <f>N18*0.2002</f>
        <v>1845.8439999999998</v>
      </c>
      <c r="I114" s="18">
        <f>P18*0.267</f>
        <v>854.4000000000001</v>
      </c>
      <c r="J114" s="18">
        <f>P18*0.25</f>
        <v>800</v>
      </c>
      <c r="K114" s="18">
        <f>Q18*0.534</f>
        <v>1638.3120000000001</v>
      </c>
      <c r="L114" s="18">
        <f>(R18+S18)*0.559</f>
        <v>2012.9590000000003</v>
      </c>
      <c r="M114" s="17">
        <f t="shared" si="18"/>
        <v>504.91047999999995</v>
      </c>
      <c r="N114" s="18">
        <f t="shared" si="15"/>
        <v>73.5</v>
      </c>
      <c r="O114" s="18">
        <f t="shared" si="19"/>
        <v>323.40072</v>
      </c>
      <c r="P114" s="18">
        <f t="shared" si="20"/>
        <v>108.00975999999999</v>
      </c>
      <c r="Q114" s="42">
        <f t="shared" si="16"/>
        <v>294</v>
      </c>
      <c r="R114" s="126"/>
      <c r="S114" s="186"/>
      <c r="T114" s="123"/>
      <c r="U114" s="123"/>
      <c r="V114" s="126"/>
      <c r="W114" s="44"/>
      <c r="AA114" s="123"/>
      <c r="AB114" s="123"/>
    </row>
    <row r="115" spans="1:28" s="4" customFormat="1" ht="15">
      <c r="A115" s="69" t="s">
        <v>56</v>
      </c>
      <c r="B115" s="42">
        <f t="shared" si="17"/>
        <v>5671</v>
      </c>
      <c r="C115" s="18">
        <v>814</v>
      </c>
      <c r="D115" s="18">
        <v>402</v>
      </c>
      <c r="E115" s="18">
        <v>334</v>
      </c>
      <c r="F115" s="18">
        <v>347</v>
      </c>
      <c r="G115" s="18">
        <v>889</v>
      </c>
      <c r="H115" s="18">
        <v>877</v>
      </c>
      <c r="I115" s="18">
        <v>405</v>
      </c>
      <c r="J115" s="18">
        <v>366</v>
      </c>
      <c r="K115" s="18">
        <v>545</v>
      </c>
      <c r="L115" s="18">
        <v>692</v>
      </c>
      <c r="M115" s="17">
        <f t="shared" si="18"/>
        <v>236.225</v>
      </c>
      <c r="N115" s="18">
        <f t="shared" si="15"/>
        <v>36.625</v>
      </c>
      <c r="O115" s="18">
        <f t="shared" si="19"/>
        <v>148.32</v>
      </c>
      <c r="P115" s="18">
        <f t="shared" si="20"/>
        <v>51.28</v>
      </c>
      <c r="Q115" s="42">
        <f t="shared" si="16"/>
        <v>148</v>
      </c>
      <c r="R115" s="126"/>
      <c r="S115" s="186"/>
      <c r="T115" s="123"/>
      <c r="U115" s="123"/>
      <c r="V115" s="126"/>
      <c r="W115" s="44"/>
      <c r="AA115" s="123"/>
      <c r="AB115" s="123"/>
    </row>
    <row r="116" spans="1:28" s="4" customFormat="1" ht="15">
      <c r="A116" s="105" t="s">
        <v>57</v>
      </c>
      <c r="B116" s="42">
        <f t="shared" si="17"/>
        <v>6290.817000000001</v>
      </c>
      <c r="C116" s="18">
        <f>C20*0.495</f>
        <v>866.745</v>
      </c>
      <c r="D116" s="18">
        <f>K20*0.502</f>
        <v>439.25</v>
      </c>
      <c r="E116" s="198">
        <f>L20*0.486</f>
        <v>374.706</v>
      </c>
      <c r="F116" s="198">
        <f>N20*0.086</f>
        <v>374.616</v>
      </c>
      <c r="G116" s="198">
        <f>N20*0.214</f>
        <v>932.184</v>
      </c>
      <c r="H116" s="198">
        <f>N20*0.215</f>
        <v>936.54</v>
      </c>
      <c r="I116" s="198">
        <f>P20*0.261</f>
        <v>435.60900000000004</v>
      </c>
      <c r="J116" s="198">
        <f>P20*0.252</f>
        <v>420.588</v>
      </c>
      <c r="K116" s="198">
        <f>Q20*0.497</f>
        <v>686.854</v>
      </c>
      <c r="L116" s="198">
        <f>(R20+S20)*0.525</f>
        <v>823.725</v>
      </c>
      <c r="M116" s="17">
        <f t="shared" si="18"/>
        <v>247.45195999999999</v>
      </c>
      <c r="N116" s="18">
        <f t="shared" si="15"/>
        <v>35.75</v>
      </c>
      <c r="O116" s="18">
        <f t="shared" si="19"/>
        <v>156.816</v>
      </c>
      <c r="P116" s="18">
        <f t="shared" si="20"/>
        <v>54.88596</v>
      </c>
      <c r="Q116" s="42">
        <f t="shared" si="16"/>
        <v>142</v>
      </c>
      <c r="R116" s="126"/>
      <c r="S116" s="186"/>
      <c r="T116" s="123"/>
      <c r="U116" s="123"/>
      <c r="V116" s="126"/>
      <c r="W116" s="44"/>
      <c r="AA116" s="123"/>
      <c r="AB116" s="123"/>
    </row>
    <row r="117" spans="1:28" s="4" customFormat="1" ht="15">
      <c r="A117" s="105" t="s">
        <v>58</v>
      </c>
      <c r="B117" s="42">
        <f t="shared" si="17"/>
        <v>6905.7143</v>
      </c>
      <c r="C117" s="198">
        <f>C21*0.507</f>
        <v>906.009</v>
      </c>
      <c r="D117" s="198">
        <f>K21*0.509</f>
        <v>482.023</v>
      </c>
      <c r="E117" s="198">
        <f>L21*0.477</f>
        <v>410.21999999999997</v>
      </c>
      <c r="F117" s="198">
        <f>N21*0.0857</f>
        <v>423.2723</v>
      </c>
      <c r="G117" s="198">
        <f>N21*0.214</f>
        <v>1056.946</v>
      </c>
      <c r="H117" s="198">
        <f>N21*0.206</f>
        <v>1017.434</v>
      </c>
      <c r="I117" s="198">
        <f>P21*0.256</f>
        <v>451.584</v>
      </c>
      <c r="J117" s="198">
        <f>P21*0.244</f>
        <v>430.416</v>
      </c>
      <c r="K117" s="198">
        <f>Q21*0.503</f>
        <v>774.62</v>
      </c>
      <c r="L117" s="198">
        <f>(R21+S21)*0.51</f>
        <v>953.19</v>
      </c>
      <c r="M117" s="17">
        <f t="shared" si="18"/>
        <v>276.761916</v>
      </c>
      <c r="N117" s="18">
        <f t="shared" si="15"/>
        <v>40.375</v>
      </c>
      <c r="O117" s="18">
        <f t="shared" si="19"/>
        <v>177.626196</v>
      </c>
      <c r="P117" s="18">
        <f t="shared" si="20"/>
        <v>58.76072</v>
      </c>
      <c r="Q117" s="42">
        <f t="shared" si="16"/>
        <v>160</v>
      </c>
      <c r="R117" s="126"/>
      <c r="S117" s="186"/>
      <c r="T117" s="123"/>
      <c r="U117" s="123"/>
      <c r="V117" s="126"/>
      <c r="W117" s="44"/>
      <c r="AA117" s="123"/>
      <c r="AB117" s="123"/>
    </row>
    <row r="118" spans="1:28" s="4" customFormat="1" ht="15">
      <c r="A118" s="105" t="s">
        <v>59</v>
      </c>
      <c r="B118" s="199">
        <f t="shared" si="17"/>
        <v>5141.609</v>
      </c>
      <c r="C118" s="198">
        <f>C22*0.502</f>
        <v>636.034</v>
      </c>
      <c r="D118" s="198">
        <f>K22*0.48</f>
        <v>313.92</v>
      </c>
      <c r="E118" s="198">
        <f>L22*0.48</f>
        <v>307.2</v>
      </c>
      <c r="F118" s="198">
        <f>N22*0.095</f>
        <v>316.445</v>
      </c>
      <c r="G118" s="198">
        <f>N22*0.21</f>
        <v>699.51</v>
      </c>
      <c r="H118" s="198">
        <f>N22*0.2</f>
        <v>666.2</v>
      </c>
      <c r="I118" s="198">
        <f>P22*0.25</f>
        <v>345</v>
      </c>
      <c r="J118" s="198">
        <f>P22*0.255</f>
        <v>351.90000000000003</v>
      </c>
      <c r="K118" s="198">
        <f>Q22*0.5</f>
        <v>593.5</v>
      </c>
      <c r="L118" s="198">
        <f>(R22+S22)*0.55</f>
        <v>911.9000000000001</v>
      </c>
      <c r="M118" s="17">
        <f t="shared" si="18"/>
        <v>190.48760000000001</v>
      </c>
      <c r="N118" s="18">
        <f t="shared" si="15"/>
        <v>28.125</v>
      </c>
      <c r="O118" s="18">
        <f t="shared" si="19"/>
        <v>121.9146</v>
      </c>
      <c r="P118" s="18">
        <f t="shared" si="20"/>
        <v>40.448</v>
      </c>
      <c r="Q118" s="42">
        <f t="shared" si="16"/>
        <v>113</v>
      </c>
      <c r="R118" s="126"/>
      <c r="S118" s="186"/>
      <c r="T118" s="123"/>
      <c r="U118" s="123"/>
      <c r="V118" s="126"/>
      <c r="W118" s="44"/>
      <c r="AA118" s="123"/>
      <c r="AB118" s="123"/>
    </row>
    <row r="119" spans="1:28" s="4" customFormat="1" ht="15">
      <c r="A119" s="105" t="s">
        <v>60</v>
      </c>
      <c r="B119" s="199">
        <f t="shared" si="17"/>
        <v>7055.6814</v>
      </c>
      <c r="C119" s="198">
        <f>C23*0.4978</f>
        <v>1007.0494</v>
      </c>
      <c r="D119" s="198">
        <f>K23*0.499</f>
        <v>469.559</v>
      </c>
      <c r="E119" s="198">
        <f>L23*0.484</f>
        <v>430.76</v>
      </c>
      <c r="F119" s="198">
        <f>N23*0.085</f>
        <v>440.64000000000004</v>
      </c>
      <c r="G119" s="198">
        <f>N23*0.227</f>
        <v>1176.768</v>
      </c>
      <c r="H119" s="198">
        <f>N23*0.1995</f>
        <v>1034.208</v>
      </c>
      <c r="I119" s="198">
        <f>P23*0.266</f>
        <v>485.716</v>
      </c>
      <c r="J119" s="198">
        <f>P23*0.25</f>
        <v>456.5</v>
      </c>
      <c r="K119" s="198">
        <f>Q23*0.509</f>
        <v>724.816</v>
      </c>
      <c r="L119" s="198">
        <f>(R23+S23)*0.515</f>
        <v>829.6650000000001</v>
      </c>
      <c r="M119" s="17">
        <f t="shared" si="18"/>
        <v>306.01092</v>
      </c>
      <c r="N119" s="18">
        <f t="shared" si="15"/>
        <v>51.125</v>
      </c>
      <c r="O119" s="18">
        <f t="shared" si="19"/>
        <v>194.08896000000001</v>
      </c>
      <c r="P119" s="18">
        <f t="shared" si="20"/>
        <v>60.79696</v>
      </c>
      <c r="Q119" s="42">
        <f t="shared" si="16"/>
        <v>207</v>
      </c>
      <c r="R119" s="126"/>
      <c r="S119" s="186"/>
      <c r="T119" s="123"/>
      <c r="U119" s="123"/>
      <c r="V119" s="126"/>
      <c r="W119" s="44"/>
      <c r="AA119" s="123"/>
      <c r="AB119" s="123"/>
    </row>
    <row r="120" spans="1:28" s="4" customFormat="1" ht="15">
      <c r="A120" s="105" t="s">
        <v>61</v>
      </c>
      <c r="B120" s="199">
        <f t="shared" si="17"/>
        <v>6507.9451</v>
      </c>
      <c r="C120" s="198">
        <f>C24*0.4839</f>
        <v>846.3411</v>
      </c>
      <c r="D120" s="198">
        <f>K24*0.482</f>
        <v>416.93</v>
      </c>
      <c r="E120" s="198">
        <f>L24*0.4977</f>
        <v>426.03119999999996</v>
      </c>
      <c r="F120" s="198">
        <f>N24*0.0967</f>
        <v>441.8223</v>
      </c>
      <c r="G120" s="198">
        <f>N24*0.216</f>
        <v>986.904</v>
      </c>
      <c r="H120" s="198">
        <f>N24*0.193</f>
        <v>881.817</v>
      </c>
      <c r="I120" s="198">
        <f>P24*0.2405</f>
        <v>411.0145</v>
      </c>
      <c r="J120" s="198">
        <f>P24*0.28</f>
        <v>478.52000000000004</v>
      </c>
      <c r="K120" s="198">
        <f>Q24*0.505</f>
        <v>769.115</v>
      </c>
      <c r="L120" s="198">
        <f>(R24+S24)*0.525</f>
        <v>849.45</v>
      </c>
      <c r="M120" s="17">
        <f t="shared" si="18"/>
        <v>263.535416</v>
      </c>
      <c r="N120" s="18">
        <f t="shared" si="15"/>
        <v>40.375</v>
      </c>
      <c r="O120" s="18">
        <f t="shared" si="19"/>
        <v>171.447156</v>
      </c>
      <c r="P120" s="18">
        <f t="shared" si="20"/>
        <v>51.71326</v>
      </c>
      <c r="Q120" s="42">
        <f t="shared" si="16"/>
        <v>161</v>
      </c>
      <c r="R120" s="126"/>
      <c r="S120" s="186"/>
      <c r="T120" s="123"/>
      <c r="U120" s="123"/>
      <c r="V120" s="126"/>
      <c r="W120" s="44"/>
      <c r="AA120" s="123"/>
      <c r="AB120" s="123"/>
    </row>
    <row r="121" spans="1:28" s="4" customFormat="1" ht="15">
      <c r="A121" s="105" t="s">
        <v>78</v>
      </c>
      <c r="B121" s="199">
        <f t="shared" si="17"/>
        <v>3877.3949999999995</v>
      </c>
      <c r="C121" s="18">
        <f>C25*0.49</f>
        <v>543.41</v>
      </c>
      <c r="D121" s="18">
        <f>K25*0.505</f>
        <v>267.65</v>
      </c>
      <c r="E121" s="18">
        <f>L25*0.49</f>
        <v>240.1</v>
      </c>
      <c r="F121" s="18">
        <f>N25*0.091</f>
        <v>259.34999999999997</v>
      </c>
      <c r="G121" s="18">
        <f>N25*0.217</f>
        <v>618.45</v>
      </c>
      <c r="H121" s="18">
        <f>N25*0.189</f>
        <v>538.65</v>
      </c>
      <c r="I121" s="18">
        <f>P25*0.252</f>
        <v>221.76</v>
      </c>
      <c r="J121" s="18">
        <f>P25*0.265</f>
        <v>233.20000000000002</v>
      </c>
      <c r="K121" s="18">
        <f>Q25*0.528</f>
        <v>417.12</v>
      </c>
      <c r="L121" s="18">
        <f>(R25+S25)*0.569</f>
        <v>537.7049999999999</v>
      </c>
      <c r="M121" s="17">
        <f t="shared" si="18"/>
        <v>158.0024</v>
      </c>
      <c r="N121" s="18">
        <f t="shared" si="15"/>
        <v>22.25</v>
      </c>
      <c r="O121" s="18">
        <f t="shared" si="19"/>
        <v>105.33599999999998</v>
      </c>
      <c r="P121" s="18">
        <f t="shared" si="20"/>
        <v>30.4164</v>
      </c>
      <c r="Q121" s="42">
        <f t="shared" si="16"/>
        <v>90</v>
      </c>
      <c r="R121" s="126"/>
      <c r="S121" s="186"/>
      <c r="T121" s="123"/>
      <c r="U121" s="123"/>
      <c r="V121" s="126"/>
      <c r="W121" s="44"/>
      <c r="AA121" s="123"/>
      <c r="AB121" s="123"/>
    </row>
    <row r="122" spans="1:28" s="4" customFormat="1" ht="15">
      <c r="A122" s="105" t="s">
        <v>62</v>
      </c>
      <c r="B122" s="199">
        <f t="shared" si="17"/>
        <v>3831</v>
      </c>
      <c r="C122" s="198">
        <v>457</v>
      </c>
      <c r="D122" s="198">
        <v>270</v>
      </c>
      <c r="E122" s="198">
        <v>241</v>
      </c>
      <c r="F122" s="198">
        <v>246</v>
      </c>
      <c r="G122" s="198">
        <v>577</v>
      </c>
      <c r="H122" s="198">
        <v>538</v>
      </c>
      <c r="I122" s="198">
        <v>256</v>
      </c>
      <c r="J122" s="198">
        <v>255</v>
      </c>
      <c r="K122" s="198">
        <v>482</v>
      </c>
      <c r="L122" s="198">
        <v>509</v>
      </c>
      <c r="M122" s="17">
        <f t="shared" si="18"/>
        <v>154.14499999999998</v>
      </c>
      <c r="N122" s="18">
        <f t="shared" si="15"/>
        <v>23.625</v>
      </c>
      <c r="O122" s="18">
        <f t="shared" si="19"/>
        <v>98.75999999999999</v>
      </c>
      <c r="P122" s="18">
        <f t="shared" si="20"/>
        <v>31.76</v>
      </c>
      <c r="Q122" s="42">
        <f t="shared" si="16"/>
        <v>94</v>
      </c>
      <c r="R122" s="126"/>
      <c r="S122" s="186"/>
      <c r="T122" s="123"/>
      <c r="U122" s="123"/>
      <c r="V122" s="126"/>
      <c r="W122" s="44"/>
      <c r="AA122" s="123"/>
      <c r="AB122" s="123"/>
    </row>
    <row r="123" spans="1:28" s="4" customFormat="1" ht="15">
      <c r="A123" s="109" t="s">
        <v>79</v>
      </c>
      <c r="B123" s="199">
        <f t="shared" si="17"/>
        <v>1969.4599999999998</v>
      </c>
      <c r="C123" s="18">
        <f>C27*0.49</f>
        <v>264.11</v>
      </c>
      <c r="D123" s="18">
        <f>K27*0.505</f>
        <v>134.835</v>
      </c>
      <c r="E123" s="18">
        <f>L27*0.49</f>
        <v>115.14999999999999</v>
      </c>
      <c r="F123" s="18">
        <f>N27*0.092</f>
        <v>134.504</v>
      </c>
      <c r="G123" s="18">
        <f>N27*0.217</f>
        <v>317.254</v>
      </c>
      <c r="H123" s="18">
        <f>N27*0.189</f>
        <v>276.318</v>
      </c>
      <c r="I123" s="18">
        <f>P27*0.252</f>
        <v>113.148</v>
      </c>
      <c r="J123" s="18">
        <f>P27*0.265</f>
        <v>118.985</v>
      </c>
      <c r="K123" s="18">
        <f>Q27*0.524</f>
        <v>220.08</v>
      </c>
      <c r="L123" s="198">
        <f>(R27+S27)*0.566</f>
        <v>275.07599999999996</v>
      </c>
      <c r="M123" s="17">
        <f t="shared" si="18"/>
        <v>81.28960000000001</v>
      </c>
      <c r="N123" s="18">
        <f t="shared" si="15"/>
        <v>11.5</v>
      </c>
      <c r="O123" s="18">
        <f t="shared" si="19"/>
        <v>54.21096</v>
      </c>
      <c r="P123" s="18">
        <f t="shared" si="20"/>
        <v>15.57864</v>
      </c>
      <c r="Q123" s="42">
        <f t="shared" si="16"/>
        <v>47</v>
      </c>
      <c r="R123" s="126"/>
      <c r="S123" s="186"/>
      <c r="T123" s="123"/>
      <c r="U123" s="123"/>
      <c r="V123" s="126"/>
      <c r="W123" s="44"/>
      <c r="AA123" s="123"/>
      <c r="AB123" s="123"/>
    </row>
    <row r="124" spans="1:28" s="4" customFormat="1" ht="15">
      <c r="A124" s="109" t="s">
        <v>50</v>
      </c>
      <c r="B124" s="199">
        <f t="shared" si="17"/>
        <v>1855.278</v>
      </c>
      <c r="C124" s="18">
        <f>C28*0.498</f>
        <v>275.892</v>
      </c>
      <c r="D124" s="18">
        <f>K28*0.5</f>
        <v>127.5</v>
      </c>
      <c r="E124" s="18">
        <f>L28*0.5</f>
        <v>108.5</v>
      </c>
      <c r="F124" s="18">
        <f>N28*0.0885</f>
        <v>118.059</v>
      </c>
      <c r="G124" s="18">
        <f>N28*0.204</f>
        <v>272.13599999999997</v>
      </c>
      <c r="H124" s="18">
        <f>N28*0.2</f>
        <v>266.8</v>
      </c>
      <c r="I124" s="18">
        <f>P28*0.267</f>
        <v>122.286</v>
      </c>
      <c r="J124" s="18">
        <f>P28*0.25</f>
        <v>114.5</v>
      </c>
      <c r="K124" s="18">
        <f>Q28*0.533</f>
        <v>214.26600000000002</v>
      </c>
      <c r="L124" s="18">
        <f>(R28+S28)*0.559</f>
        <v>235.33900000000003</v>
      </c>
      <c r="M124" s="17">
        <f t="shared" si="18"/>
        <v>75.26183999999999</v>
      </c>
      <c r="N124" s="18">
        <f t="shared" si="15"/>
        <v>12.875</v>
      </c>
      <c r="O124" s="18">
        <f t="shared" si="19"/>
        <v>46.82339999999999</v>
      </c>
      <c r="P124" s="18">
        <f t="shared" si="20"/>
        <v>15.563440000000002</v>
      </c>
      <c r="Q124" s="42">
        <f t="shared" si="16"/>
        <v>52</v>
      </c>
      <c r="R124" s="126"/>
      <c r="S124" s="186"/>
      <c r="T124" s="123"/>
      <c r="U124" s="123"/>
      <c r="V124" s="126"/>
      <c r="W124" s="44"/>
      <c r="AA124" s="123"/>
      <c r="AB124" s="123"/>
    </row>
    <row r="125" spans="1:28" s="4" customFormat="1" ht="15">
      <c r="A125" s="109" t="s">
        <v>80</v>
      </c>
      <c r="B125" s="199">
        <f t="shared" si="17"/>
        <v>2106.2490000000003</v>
      </c>
      <c r="C125" s="18">
        <f>C29*0.495</f>
        <v>290.565</v>
      </c>
      <c r="D125" s="18">
        <f>K29*0.5</f>
        <v>144.5</v>
      </c>
      <c r="E125" s="198">
        <f>L29*0.47</f>
        <v>130.66</v>
      </c>
      <c r="F125" s="198">
        <f>N29*0.086</f>
        <v>125.38799999999999</v>
      </c>
      <c r="G125" s="198">
        <f>N29*0.214</f>
        <v>312.012</v>
      </c>
      <c r="H125" s="198">
        <f>N29*0.215</f>
        <v>313.46999999999997</v>
      </c>
      <c r="I125" s="198">
        <f>P29*0.26</f>
        <v>139.62</v>
      </c>
      <c r="J125" s="198">
        <f>P29*0.252</f>
        <v>135.324</v>
      </c>
      <c r="K125" s="198">
        <f>Q29*0.497</f>
        <v>238.56</v>
      </c>
      <c r="L125" s="198">
        <f>(R29+S29)*0.525</f>
        <v>276.15000000000003</v>
      </c>
      <c r="M125" s="17">
        <f t="shared" si="18"/>
        <v>83.3616</v>
      </c>
      <c r="N125" s="18">
        <f t="shared" si="15"/>
        <v>12.75</v>
      </c>
      <c r="O125" s="18">
        <f t="shared" si="19"/>
        <v>52.48799999999999</v>
      </c>
      <c r="P125" s="18">
        <f t="shared" si="20"/>
        <v>18.1236</v>
      </c>
      <c r="Q125" s="42">
        <f t="shared" si="16"/>
        <v>50</v>
      </c>
      <c r="R125" s="126"/>
      <c r="S125" s="186"/>
      <c r="T125" s="123"/>
      <c r="U125" s="123"/>
      <c r="V125" s="126"/>
      <c r="W125" s="44"/>
      <c r="AA125" s="123"/>
      <c r="AB125" s="123"/>
    </row>
    <row r="126" spans="1:28" s="4" customFormat="1" ht="15">
      <c r="A126" s="109" t="s">
        <v>51</v>
      </c>
      <c r="B126" s="199">
        <f t="shared" si="17"/>
        <v>1063.769</v>
      </c>
      <c r="C126" s="198">
        <f>C30*0.483</f>
        <v>122.199</v>
      </c>
      <c r="D126" s="198">
        <f>K30*0.481</f>
        <v>57.72</v>
      </c>
      <c r="E126" s="198">
        <f>L30*0.497</f>
        <v>58.646</v>
      </c>
      <c r="F126" s="198">
        <f>N30*0.096</f>
        <v>66.816</v>
      </c>
      <c r="G126" s="198">
        <f>N30*0.215</f>
        <v>149.64</v>
      </c>
      <c r="H126" s="198">
        <f>N30*0.193</f>
        <v>134.328</v>
      </c>
      <c r="I126" s="198">
        <f>P30*0.241</f>
        <v>67.48</v>
      </c>
      <c r="J126" s="198">
        <f>P30*0.28</f>
        <v>78.4</v>
      </c>
      <c r="K126" s="198">
        <f>Q30*0.505</f>
        <v>135.34</v>
      </c>
      <c r="L126" s="198">
        <f>(R30+S30)*0.525</f>
        <v>193.20000000000002</v>
      </c>
      <c r="M126" s="17">
        <f t="shared" si="18"/>
        <v>39.547039999999996</v>
      </c>
      <c r="N126" s="18">
        <f t="shared" si="15"/>
        <v>5.5</v>
      </c>
      <c r="O126" s="18">
        <f t="shared" si="19"/>
        <v>25.974719999999998</v>
      </c>
      <c r="P126" s="18">
        <f t="shared" si="20"/>
        <v>8.07232</v>
      </c>
      <c r="Q126" s="42">
        <f t="shared" si="16"/>
        <v>22</v>
      </c>
      <c r="R126" s="126"/>
      <c r="S126" s="186"/>
      <c r="T126" s="123"/>
      <c r="U126" s="123"/>
      <c r="V126" s="126"/>
      <c r="W126" s="44"/>
      <c r="AA126" s="123"/>
      <c r="AB126" s="123"/>
    </row>
    <row r="127" spans="1:28" s="4" customFormat="1" ht="15">
      <c r="A127" s="109" t="s">
        <v>81</v>
      </c>
      <c r="B127" s="199">
        <f t="shared" si="17"/>
        <v>754.701</v>
      </c>
      <c r="C127" s="198">
        <f>C31*0.506</f>
        <v>112.33200000000001</v>
      </c>
      <c r="D127" s="198">
        <f>K31*0.508</f>
        <v>50.292</v>
      </c>
      <c r="E127" s="198">
        <f>L31*0.476</f>
        <v>40.936</v>
      </c>
      <c r="F127" s="198">
        <f>N31*0.085</f>
        <v>40.375</v>
      </c>
      <c r="G127" s="198">
        <f>N31*0.212</f>
        <v>100.7</v>
      </c>
      <c r="H127" s="198">
        <f>N31*0.205</f>
        <v>97.375</v>
      </c>
      <c r="I127" s="198">
        <f>P31*0.255</f>
        <v>45.39</v>
      </c>
      <c r="J127" s="198">
        <f>P31*0.245</f>
        <v>43.61</v>
      </c>
      <c r="K127" s="198">
        <f>Q31*0.501</f>
        <v>95.691</v>
      </c>
      <c r="L127" s="198">
        <f>(R31+S31)*0.5</f>
        <v>128</v>
      </c>
      <c r="M127" s="17">
        <f t="shared" si="18"/>
        <v>25.764599999999998</v>
      </c>
      <c r="N127" s="18">
        <f t="shared" si="15"/>
        <v>3.125</v>
      </c>
      <c r="O127" s="18">
        <f t="shared" si="19"/>
        <v>16.929</v>
      </c>
      <c r="P127" s="18">
        <f t="shared" si="20"/>
        <v>5.7105999999999995</v>
      </c>
      <c r="Q127" s="42">
        <f t="shared" si="16"/>
        <v>12</v>
      </c>
      <c r="R127" s="126"/>
      <c r="S127" s="186"/>
      <c r="T127" s="123"/>
      <c r="U127" s="123"/>
      <c r="V127" s="126"/>
      <c r="W127" s="44"/>
      <c r="AA127" s="123"/>
      <c r="AB127" s="123"/>
    </row>
    <row r="128" spans="1:28" s="4" customFormat="1" ht="15">
      <c r="A128" s="192" t="s">
        <v>89</v>
      </c>
      <c r="B128" s="199">
        <f>SUM(C128:L128)</f>
        <v>698.9150000000001</v>
      </c>
      <c r="C128" s="198">
        <f>C32*0.5</f>
        <v>79.5</v>
      </c>
      <c r="D128" s="198">
        <f>K32*0.48</f>
        <v>43.199999999999996</v>
      </c>
      <c r="E128" s="198">
        <f>L32*0.48</f>
        <v>42.239999999999995</v>
      </c>
      <c r="F128" s="198">
        <f>N32*0.095</f>
        <v>44.175</v>
      </c>
      <c r="G128" s="198">
        <f>N32*0.21</f>
        <v>97.64999999999999</v>
      </c>
      <c r="H128" s="198">
        <f>N32*0.2</f>
        <v>93</v>
      </c>
      <c r="I128" s="198">
        <f>P32*0.25</f>
        <v>40</v>
      </c>
      <c r="J128" s="198">
        <f>P32*0.255</f>
        <v>40.8</v>
      </c>
      <c r="K128" s="198">
        <f>Q32*0.5</f>
        <v>88</v>
      </c>
      <c r="L128" s="198">
        <f>(R32+S32)*0.55</f>
        <v>130.35000000000002</v>
      </c>
      <c r="M128" s="17">
        <f>SUM(N128:P128)</f>
        <v>27.089</v>
      </c>
      <c r="N128" s="18">
        <f t="shared" si="15"/>
        <v>4.75</v>
      </c>
      <c r="O128" s="18">
        <f>(+F128+G128)*0.12</f>
        <v>17.019</v>
      </c>
      <c r="P128" s="18">
        <f>(+H128+I128)*0.04</f>
        <v>5.32</v>
      </c>
      <c r="Q128" s="42">
        <f t="shared" si="16"/>
        <v>19</v>
      </c>
      <c r="R128" s="126"/>
      <c r="S128" s="186"/>
      <c r="T128" s="123"/>
      <c r="U128" s="123"/>
      <c r="V128" s="126"/>
      <c r="W128" s="44"/>
      <c r="AA128" s="123"/>
      <c r="AB128" s="123"/>
    </row>
    <row r="129" spans="1:28" s="4" customFormat="1" ht="15">
      <c r="A129" s="105" t="s">
        <v>63</v>
      </c>
      <c r="B129" s="199">
        <f t="shared" si="17"/>
        <v>856.959</v>
      </c>
      <c r="C129" s="18">
        <f>C33*0.495</f>
        <v>115.335</v>
      </c>
      <c r="D129" s="18">
        <f>K33*0.5</f>
        <v>52.5</v>
      </c>
      <c r="E129" s="198">
        <f>L33*0.47</f>
        <v>47.47</v>
      </c>
      <c r="F129" s="198">
        <f>N33*0.086</f>
        <v>51.599999999999994</v>
      </c>
      <c r="G129" s="198">
        <f>N33*0.22</f>
        <v>132</v>
      </c>
      <c r="H129" s="198">
        <f>N33*0.213</f>
        <v>127.8</v>
      </c>
      <c r="I129" s="198">
        <f>P33*0.26</f>
        <v>61.1</v>
      </c>
      <c r="J129" s="198">
        <f>P33*0.252</f>
        <v>59.22</v>
      </c>
      <c r="K129" s="198">
        <f>Q33*0.495</f>
        <v>94.05</v>
      </c>
      <c r="L129" s="198">
        <f>(R33+S33)*0.522</f>
        <v>115.884</v>
      </c>
      <c r="M129" s="17">
        <f t="shared" si="18"/>
        <v>34.963</v>
      </c>
      <c r="N129" s="18">
        <f t="shared" si="15"/>
        <v>5.375</v>
      </c>
      <c r="O129" s="18">
        <f t="shared" si="19"/>
        <v>22.032</v>
      </c>
      <c r="P129" s="18">
        <f t="shared" si="20"/>
        <v>7.556</v>
      </c>
      <c r="Q129" s="42">
        <f t="shared" si="16"/>
        <v>21</v>
      </c>
      <c r="R129" s="126"/>
      <c r="S129" s="186"/>
      <c r="T129" s="123"/>
      <c r="U129" s="123"/>
      <c r="V129" s="126"/>
      <c r="W129" s="44"/>
      <c r="AA129" s="123"/>
      <c r="AB129" s="123"/>
    </row>
    <row r="130" spans="1:28" s="4" customFormat="1" ht="15">
      <c r="A130" s="105" t="s">
        <v>64</v>
      </c>
      <c r="B130" s="199">
        <f t="shared" si="17"/>
        <v>426.563</v>
      </c>
      <c r="C130" s="18">
        <f>C34*0.492</f>
        <v>57.564</v>
      </c>
      <c r="D130" s="18">
        <f>K34*0.5</f>
        <v>27.5</v>
      </c>
      <c r="E130" s="198">
        <f>L34*0.47</f>
        <v>24.439999999999998</v>
      </c>
      <c r="F130" s="198">
        <f>N34*0.089</f>
        <v>26.788999999999998</v>
      </c>
      <c r="G130" s="198">
        <f>N34*0.22</f>
        <v>66.22</v>
      </c>
      <c r="H130" s="198">
        <f>N34*0.195</f>
        <v>58.695</v>
      </c>
      <c r="I130" s="198">
        <f>P34*0.26</f>
        <v>30.16</v>
      </c>
      <c r="J130" s="198">
        <f>P34*0.252</f>
        <v>29.232</v>
      </c>
      <c r="K130" s="198">
        <f>Q34*0.495</f>
        <v>47.025</v>
      </c>
      <c r="L130" s="198">
        <f>(R34+S34)*0.517</f>
        <v>58.938</v>
      </c>
      <c r="M130" s="17">
        <f t="shared" si="18"/>
        <v>17.34028</v>
      </c>
      <c r="N130" s="18">
        <f t="shared" si="15"/>
        <v>2.625</v>
      </c>
      <c r="O130" s="18">
        <f t="shared" si="19"/>
        <v>11.16108</v>
      </c>
      <c r="P130" s="18">
        <f t="shared" si="20"/>
        <v>3.5542000000000002</v>
      </c>
      <c r="Q130" s="42">
        <f t="shared" si="16"/>
        <v>10</v>
      </c>
      <c r="R130" s="126"/>
      <c r="S130" s="186"/>
      <c r="T130" s="123"/>
      <c r="U130" s="123"/>
      <c r="V130" s="126"/>
      <c r="W130" s="44"/>
      <c r="AA130" s="123"/>
      <c r="AB130" s="123"/>
    </row>
    <row r="131" spans="1:28" s="4" customFormat="1" ht="15">
      <c r="A131" s="105" t="s">
        <v>65</v>
      </c>
      <c r="B131" s="199">
        <f t="shared" si="17"/>
        <v>790.8050000000001</v>
      </c>
      <c r="C131" s="18">
        <f>C35*0.485</f>
        <v>110.095</v>
      </c>
      <c r="D131" s="18">
        <f>K35*0.5</f>
        <v>51</v>
      </c>
      <c r="E131" s="198">
        <f>L35*0.47</f>
        <v>46.529999999999994</v>
      </c>
      <c r="F131" s="198">
        <f>N35*0.089</f>
        <v>51.086</v>
      </c>
      <c r="G131" s="198">
        <f>N35*0.22</f>
        <v>126.28</v>
      </c>
      <c r="H131" s="198">
        <f>N35*0.195</f>
        <v>111.93</v>
      </c>
      <c r="I131" s="198">
        <f>P35*0.26</f>
        <v>58.5</v>
      </c>
      <c r="J131" s="198">
        <f>P35*0.252</f>
        <v>56.7</v>
      </c>
      <c r="K131" s="198">
        <f>Q35*0.495</f>
        <v>74.25</v>
      </c>
      <c r="L131" s="198">
        <f>(R35+S35)*0.517</f>
        <v>104.434</v>
      </c>
      <c r="M131" s="17">
        <f t="shared" si="18"/>
        <v>33.47612</v>
      </c>
      <c r="N131" s="18">
        <f t="shared" si="15"/>
        <v>5.375</v>
      </c>
      <c r="O131" s="18">
        <f t="shared" si="19"/>
        <v>21.28392</v>
      </c>
      <c r="P131" s="18">
        <f t="shared" si="20"/>
        <v>6.817200000000001</v>
      </c>
      <c r="Q131" s="42">
        <f t="shared" si="16"/>
        <v>21</v>
      </c>
      <c r="R131" s="126"/>
      <c r="S131" s="186"/>
      <c r="T131" s="123"/>
      <c r="U131" s="123"/>
      <c r="V131" s="126"/>
      <c r="W131" s="44"/>
      <c r="AA131" s="123"/>
      <c r="AB131" s="123"/>
    </row>
    <row r="132" spans="1:28" s="4" customFormat="1" ht="15">
      <c r="A132" s="105" t="s">
        <v>66</v>
      </c>
      <c r="B132" s="199">
        <f t="shared" si="17"/>
        <v>955.0715</v>
      </c>
      <c r="C132" s="18">
        <f>C36*0.498</f>
        <v>155.874</v>
      </c>
      <c r="D132" s="18">
        <f>K36*0.5</f>
        <v>77.5</v>
      </c>
      <c r="E132" s="18">
        <f>L36*0.5</f>
        <v>65.5</v>
      </c>
      <c r="F132" s="18">
        <f>N36*0.0885</f>
        <v>48.5865</v>
      </c>
      <c r="G132" s="18">
        <f>N36*0.204</f>
        <v>111.996</v>
      </c>
      <c r="H132" s="18">
        <f>N36*0.2</f>
        <v>109.80000000000001</v>
      </c>
      <c r="I132" s="18">
        <f>P36*0.267</f>
        <v>67.01700000000001</v>
      </c>
      <c r="J132" s="18">
        <f>P36*0.25</f>
        <v>62.75</v>
      </c>
      <c r="K132" s="18">
        <f>Q36*0.533</f>
        <v>114.06200000000001</v>
      </c>
      <c r="L132" s="18">
        <f>(R36+S36)*0.559</f>
        <v>141.98600000000002</v>
      </c>
      <c r="M132" s="17">
        <f t="shared" si="18"/>
        <v>32.59258</v>
      </c>
      <c r="N132" s="18">
        <f t="shared" si="15"/>
        <v>6.25</v>
      </c>
      <c r="O132" s="18">
        <f t="shared" si="19"/>
        <v>19.269899999999996</v>
      </c>
      <c r="P132" s="18">
        <f t="shared" si="20"/>
        <v>7.07268</v>
      </c>
      <c r="Q132" s="42">
        <f t="shared" si="16"/>
        <v>25</v>
      </c>
      <c r="R132" s="126"/>
      <c r="S132" s="186"/>
      <c r="T132" s="123"/>
      <c r="U132" s="123"/>
      <c r="V132" s="126"/>
      <c r="W132" s="44"/>
      <c r="AA132" s="123"/>
      <c r="AB132" s="123"/>
    </row>
    <row r="133" spans="1:28" s="4" customFormat="1" ht="15">
      <c r="A133" s="105" t="s">
        <v>67</v>
      </c>
      <c r="B133" s="199">
        <f t="shared" si="17"/>
        <v>1307.083</v>
      </c>
      <c r="C133" s="198">
        <f>C37*0.497</f>
        <v>215.201</v>
      </c>
      <c r="D133" s="198">
        <f>K37*0.5</f>
        <v>100.5</v>
      </c>
      <c r="E133" s="198">
        <f>L37*0.48</f>
        <v>70.08</v>
      </c>
      <c r="F133" s="198">
        <f>N37*0.085</f>
        <v>66.81</v>
      </c>
      <c r="G133" s="198">
        <f>N37*0.225</f>
        <v>176.85</v>
      </c>
      <c r="H133" s="198">
        <f>N37*0.199</f>
        <v>156.41400000000002</v>
      </c>
      <c r="I133" s="198">
        <f>P37*0.265</f>
        <v>83.21000000000001</v>
      </c>
      <c r="J133" s="198">
        <f>P37*0.25</f>
        <v>78.5</v>
      </c>
      <c r="K133" s="198">
        <f>Q37*0.506</f>
        <v>163.438</v>
      </c>
      <c r="L133" s="198">
        <f>(R37+S37)*0.516</f>
        <v>196.08</v>
      </c>
      <c r="M133" s="17">
        <f t="shared" si="18"/>
        <v>46.32416</v>
      </c>
      <c r="N133" s="18">
        <f t="shared" si="15"/>
        <v>7.5</v>
      </c>
      <c r="O133" s="18">
        <f t="shared" si="19"/>
        <v>29.239199999999997</v>
      </c>
      <c r="P133" s="18">
        <f t="shared" si="20"/>
        <v>9.58496</v>
      </c>
      <c r="Q133" s="42">
        <f t="shared" si="16"/>
        <v>31</v>
      </c>
      <c r="R133" s="126"/>
      <c r="S133" s="186"/>
      <c r="T133" s="123"/>
      <c r="U133" s="123"/>
      <c r="V133" s="126"/>
      <c r="W133" s="44"/>
      <c r="AA133" s="123"/>
      <c r="AB133" s="123"/>
    </row>
    <row r="134" spans="1:28" s="4" customFormat="1" ht="15">
      <c r="A134" s="105" t="s">
        <v>68</v>
      </c>
      <c r="B134" s="199">
        <f t="shared" si="17"/>
        <v>604.815</v>
      </c>
      <c r="C134" s="198">
        <f>C38*0.5</f>
        <v>81.5</v>
      </c>
      <c r="D134" s="198">
        <f>K38*0.48</f>
        <v>38.4</v>
      </c>
      <c r="E134" s="198">
        <f>L38*0.48</f>
        <v>37.44</v>
      </c>
      <c r="F134" s="198">
        <f>N38*0.095</f>
        <v>38.19</v>
      </c>
      <c r="G134" s="198">
        <f>N38*0.21</f>
        <v>84.42</v>
      </c>
      <c r="H134" s="198">
        <f>N38*0.2</f>
        <v>80.4</v>
      </c>
      <c r="I134" s="198">
        <f>P38*0.25</f>
        <v>35.75</v>
      </c>
      <c r="J134" s="198">
        <f>P38*0.255</f>
        <v>36.465</v>
      </c>
      <c r="K134" s="198">
        <f>Q38*0.5</f>
        <v>76</v>
      </c>
      <c r="L134" s="198">
        <f>(R38+S38)*0.55</f>
        <v>96.25000000000001</v>
      </c>
      <c r="M134" s="17">
        <f t="shared" si="18"/>
        <v>23.6092</v>
      </c>
      <c r="N134" s="18">
        <f t="shared" si="15"/>
        <v>4.25</v>
      </c>
      <c r="O134" s="18">
        <f t="shared" si="19"/>
        <v>14.713199999999999</v>
      </c>
      <c r="P134" s="18">
        <f t="shared" si="20"/>
        <v>4.646</v>
      </c>
      <c r="Q134" s="42">
        <f t="shared" si="16"/>
        <v>17</v>
      </c>
      <c r="R134" s="126"/>
      <c r="S134" s="186"/>
      <c r="T134" s="123"/>
      <c r="U134" s="123"/>
      <c r="V134" s="126"/>
      <c r="W134" s="44"/>
      <c r="AA134" s="123"/>
      <c r="AB134" s="123"/>
    </row>
    <row r="135" spans="1:28" s="4" customFormat="1" ht="15">
      <c r="A135" s="105" t="s">
        <v>69</v>
      </c>
      <c r="B135" s="199">
        <f t="shared" si="17"/>
        <v>678.63</v>
      </c>
      <c r="C135" s="198">
        <f>C39*0.5</f>
        <v>90.5</v>
      </c>
      <c r="D135" s="198">
        <f>K39*0.48</f>
        <v>43.199999999999996</v>
      </c>
      <c r="E135" s="198">
        <f>L39*0.48</f>
        <v>41.76</v>
      </c>
      <c r="F135" s="198">
        <f>N39*0.095</f>
        <v>43.32</v>
      </c>
      <c r="G135" s="198">
        <f>N39*0.21</f>
        <v>95.75999999999999</v>
      </c>
      <c r="H135" s="198">
        <f>N39*0.2</f>
        <v>91.2</v>
      </c>
      <c r="I135" s="198">
        <f>P39*0.25</f>
        <v>37.25</v>
      </c>
      <c r="J135" s="198">
        <f>P39*0.255</f>
        <v>37.995</v>
      </c>
      <c r="K135" s="198">
        <f>Q39*0.48</f>
        <v>85.92</v>
      </c>
      <c r="L135" s="198">
        <f>(R39+S39)*0.545</f>
        <v>111.72500000000001</v>
      </c>
      <c r="M135" s="17">
        <f t="shared" si="18"/>
        <v>26.077599999999997</v>
      </c>
      <c r="N135" s="18">
        <f t="shared" si="15"/>
        <v>4.25</v>
      </c>
      <c r="O135" s="18">
        <f t="shared" si="19"/>
        <v>16.6896</v>
      </c>
      <c r="P135" s="18">
        <f t="shared" si="20"/>
        <v>5.138</v>
      </c>
      <c r="Q135" s="42">
        <f t="shared" si="16"/>
        <v>17</v>
      </c>
      <c r="R135" s="126"/>
      <c r="S135" s="186"/>
      <c r="T135" s="123"/>
      <c r="U135" s="123"/>
      <c r="V135" s="126"/>
      <c r="W135" s="44"/>
      <c r="AA135" s="123"/>
      <c r="AB135" s="123"/>
    </row>
    <row r="136" spans="1:28" s="4" customFormat="1" ht="15">
      <c r="A136" s="105" t="s">
        <v>70</v>
      </c>
      <c r="B136" s="199">
        <f t="shared" si="17"/>
        <v>557.6800000000001</v>
      </c>
      <c r="C136" s="198">
        <f>C40*0.5</f>
        <v>74</v>
      </c>
      <c r="D136" s="198">
        <f>K40*0.5</f>
        <v>39</v>
      </c>
      <c r="E136" s="198">
        <f>L40*0.48</f>
        <v>36</v>
      </c>
      <c r="F136" s="198">
        <f>N40*0.095</f>
        <v>34.865</v>
      </c>
      <c r="G136" s="198">
        <f>N40*0.21</f>
        <v>77.07</v>
      </c>
      <c r="H136" s="198">
        <f>N40*0.2</f>
        <v>73.4</v>
      </c>
      <c r="I136" s="198">
        <f>P40*0.25</f>
        <v>33.25</v>
      </c>
      <c r="J136" s="198">
        <f>P40*0.255</f>
        <v>33.915</v>
      </c>
      <c r="K136" s="198">
        <f>Q40*0.48</f>
        <v>68.16</v>
      </c>
      <c r="L136" s="198">
        <f>(R40+S40)*0.54</f>
        <v>88.02000000000001</v>
      </c>
      <c r="M136" s="17">
        <f t="shared" si="18"/>
        <v>21.4482</v>
      </c>
      <c r="N136" s="18">
        <f t="shared" si="15"/>
        <v>3.75</v>
      </c>
      <c r="O136" s="18">
        <f t="shared" si="19"/>
        <v>13.4322</v>
      </c>
      <c r="P136" s="18">
        <f t="shared" si="20"/>
        <v>4.266</v>
      </c>
      <c r="Q136" s="42">
        <f t="shared" si="16"/>
        <v>15</v>
      </c>
      <c r="R136" s="126"/>
      <c r="S136" s="186"/>
      <c r="T136" s="123"/>
      <c r="U136" s="123"/>
      <c r="V136" s="126"/>
      <c r="W136" s="44"/>
      <c r="AA136" s="123"/>
      <c r="AB136" s="123"/>
    </row>
    <row r="137" spans="1:28" s="4" customFormat="1" ht="15">
      <c r="A137" s="105" t="s">
        <v>71</v>
      </c>
      <c r="B137" s="199">
        <f t="shared" si="17"/>
        <v>1238.2505</v>
      </c>
      <c r="C137" s="198">
        <f>C41*0.5</f>
        <v>160</v>
      </c>
      <c r="D137" s="198">
        <f>K41*0.5</f>
        <v>77.5</v>
      </c>
      <c r="E137" s="198">
        <f>L41*0.49</f>
        <v>73.5</v>
      </c>
      <c r="F137" s="198">
        <f>N41*0.092</f>
        <v>79.488</v>
      </c>
      <c r="G137" s="198">
        <f>N41*0.215</f>
        <v>185.76</v>
      </c>
      <c r="H137" s="198">
        <f>N41*0.187</f>
        <v>161.568</v>
      </c>
      <c r="I137" s="198">
        <f>P41*0.234</f>
        <v>77.45400000000001</v>
      </c>
      <c r="J137" s="198">
        <f>P41*0.2555</f>
        <v>84.5705</v>
      </c>
      <c r="K137" s="198">
        <f>Q41*0.47</f>
        <v>140.53</v>
      </c>
      <c r="L137" s="198">
        <f>(R41+S41)*0.51</f>
        <v>197.88</v>
      </c>
      <c r="M137" s="17">
        <f t="shared" si="18"/>
        <v>47.64063999999999</v>
      </c>
      <c r="N137" s="18">
        <f t="shared" si="15"/>
        <v>6.25</v>
      </c>
      <c r="O137" s="18">
        <f t="shared" si="19"/>
        <v>31.829759999999997</v>
      </c>
      <c r="P137" s="18">
        <f t="shared" si="20"/>
        <v>9.560880000000001</v>
      </c>
      <c r="Q137" s="42">
        <f t="shared" si="16"/>
        <v>25</v>
      </c>
      <c r="R137" s="126"/>
      <c r="S137" s="186"/>
      <c r="T137" s="123"/>
      <c r="U137" s="123"/>
      <c r="V137" s="126"/>
      <c r="W137" s="44"/>
      <c r="AA137" s="123"/>
      <c r="AB137" s="123"/>
    </row>
    <row r="138" spans="1:28" s="4" customFormat="1" ht="15">
      <c r="A138" s="105" t="s">
        <v>72</v>
      </c>
      <c r="B138" s="199">
        <f t="shared" si="17"/>
        <v>690.74</v>
      </c>
      <c r="C138" s="198">
        <f>C42*0.483</f>
        <v>91.77</v>
      </c>
      <c r="D138" s="198">
        <f>K42*0.481</f>
        <v>43.29</v>
      </c>
      <c r="E138" s="198">
        <f>L42*0.497</f>
        <v>44.233</v>
      </c>
      <c r="F138" s="198">
        <f>N42*0.096</f>
        <v>45.6</v>
      </c>
      <c r="G138" s="198">
        <f>N42*0.215</f>
        <v>102.125</v>
      </c>
      <c r="H138" s="198">
        <f>N42*0.19</f>
        <v>90.25</v>
      </c>
      <c r="I138" s="198">
        <f>P42*0.241</f>
        <v>38.801</v>
      </c>
      <c r="J138" s="198">
        <f>P42*0.271</f>
        <v>43.631</v>
      </c>
      <c r="K138" s="198">
        <f>Q42*0.51</f>
        <v>89.25</v>
      </c>
      <c r="L138" s="198">
        <f>(R42+S42)*0.522</f>
        <v>101.79</v>
      </c>
      <c r="M138" s="17">
        <f t="shared" si="18"/>
        <v>26.88904</v>
      </c>
      <c r="N138" s="18">
        <f t="shared" si="15"/>
        <v>4</v>
      </c>
      <c r="O138" s="18">
        <f t="shared" si="19"/>
        <v>17.727</v>
      </c>
      <c r="P138" s="18">
        <f t="shared" si="20"/>
        <v>5.162039999999999</v>
      </c>
      <c r="Q138" s="42">
        <f t="shared" si="16"/>
        <v>16</v>
      </c>
      <c r="R138" s="126"/>
      <c r="S138" s="186"/>
      <c r="T138" s="123"/>
      <c r="U138" s="123"/>
      <c r="V138" s="126"/>
      <c r="W138" s="44"/>
      <c r="AA138" s="123"/>
      <c r="AB138" s="123"/>
    </row>
    <row r="139" spans="2:28" s="59" customFormat="1" ht="26.25" customHeight="1">
      <c r="B139" s="42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17"/>
      <c r="N139" s="61"/>
      <c r="O139" s="61"/>
      <c r="P139" s="61"/>
      <c r="Q139" s="42"/>
      <c r="R139" s="126"/>
      <c r="S139" s="186"/>
      <c r="T139" s="123"/>
      <c r="U139" s="123"/>
      <c r="V139" s="126"/>
      <c r="W139" s="44"/>
      <c r="Y139" s="4"/>
      <c r="Z139" s="4"/>
      <c r="AA139" s="123"/>
      <c r="AB139" s="123"/>
    </row>
    <row r="140" spans="1:28" s="4" customFormat="1" ht="15">
      <c r="A140" s="54" t="s">
        <v>18</v>
      </c>
      <c r="B140" s="55">
        <f t="shared" si="17"/>
        <v>2031.035</v>
      </c>
      <c r="C140" s="18">
        <f>C44*0.499</f>
        <v>320.358</v>
      </c>
      <c r="D140" s="18">
        <f>K44*0.5</f>
        <v>158</v>
      </c>
      <c r="E140" s="18">
        <f>L44*0.5</f>
        <v>145.5</v>
      </c>
      <c r="F140" s="18">
        <f>N44*0.0885</f>
        <v>127.44</v>
      </c>
      <c r="G140" s="18">
        <f>N44*0.2</f>
        <v>288</v>
      </c>
      <c r="H140" s="18">
        <f>N44*0.2</f>
        <v>288</v>
      </c>
      <c r="I140" s="18">
        <f>P44*0.267</f>
        <v>130.029</v>
      </c>
      <c r="J140" s="18">
        <f>P44*0.25</f>
        <v>121.75</v>
      </c>
      <c r="K140" s="18">
        <f>Q44*0.533</f>
        <v>246.246</v>
      </c>
      <c r="L140" s="18">
        <f>(R44+S44)*0.559</f>
        <v>205.71200000000002</v>
      </c>
      <c r="M140" s="56">
        <f t="shared" si="18"/>
        <v>85.44896</v>
      </c>
      <c r="N140" s="57">
        <f>(+D44+E44)*0.125</f>
        <v>18.875</v>
      </c>
      <c r="O140" s="57">
        <f t="shared" si="19"/>
        <v>49.852799999999995</v>
      </c>
      <c r="P140" s="57">
        <f t="shared" si="20"/>
        <v>16.72116</v>
      </c>
      <c r="Q140" s="55">
        <f>D44</f>
        <v>76</v>
      </c>
      <c r="R140" s="126"/>
      <c r="S140" s="186"/>
      <c r="T140" s="123"/>
      <c r="U140" s="123"/>
      <c r="V140" s="126"/>
      <c r="W140" s="44"/>
      <c r="AA140" s="123"/>
      <c r="AB140" s="123"/>
    </row>
    <row r="141" spans="2:23" s="4" customFormat="1" ht="1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2:23" s="4" customFormat="1" ht="1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2:12" s="4" customFormat="1" ht="1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2:12" s="4" customFormat="1" ht="1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="4" customFormat="1" ht="15">
      <c r="E145" s="4" t="s">
        <v>33</v>
      </c>
    </row>
    <row r="146" s="4" customFormat="1" ht="15"/>
    <row r="147" s="4" customFormat="1" ht="15">
      <c r="G147" s="4" t="str">
        <f>+G3</f>
        <v>           SERVICIO DE SALUD ACONCAGUA  2020</v>
      </c>
    </row>
    <row r="148" s="4" customFormat="1" ht="15"/>
    <row r="149" s="4" customFormat="1" ht="15.75" thickBot="1">
      <c r="K149" s="59"/>
    </row>
    <row r="150" spans="1:18" s="4" customFormat="1" ht="15">
      <c r="A150" s="175"/>
      <c r="B150" s="180"/>
      <c r="C150" s="152"/>
      <c r="D150" s="152"/>
      <c r="E150" s="152"/>
      <c r="F150" s="152"/>
      <c r="G150" s="152"/>
      <c r="H150" s="152"/>
      <c r="I150" s="152"/>
      <c r="J150" s="152"/>
      <c r="K150" s="152"/>
      <c r="L150" s="166"/>
      <c r="M150" s="152"/>
      <c r="N150" s="152"/>
      <c r="O150" s="152"/>
      <c r="P150" s="166"/>
      <c r="Q150" s="166"/>
      <c r="R150"/>
    </row>
    <row r="151" spans="1:18" s="4" customFormat="1" ht="15">
      <c r="A151" s="105"/>
      <c r="B151" s="181"/>
      <c r="C151" s="59"/>
      <c r="D151" s="59"/>
      <c r="E151" s="213" t="s">
        <v>23</v>
      </c>
      <c r="F151" s="213"/>
      <c r="G151" s="213"/>
      <c r="H151" s="213"/>
      <c r="I151" s="213"/>
      <c r="J151" s="213"/>
      <c r="K151" s="59"/>
      <c r="L151" s="176"/>
      <c r="M151" s="59"/>
      <c r="N151" s="59" t="s">
        <v>24</v>
      </c>
      <c r="O151" s="59"/>
      <c r="P151" s="176"/>
      <c r="Q151" s="167" t="s">
        <v>25</v>
      </c>
      <c r="R151"/>
    </row>
    <row r="152" spans="1:18" s="4" customFormat="1" ht="15.75" thickBot="1">
      <c r="A152" s="105"/>
      <c r="B152" s="181"/>
      <c r="C152" s="179" t="s">
        <v>1</v>
      </c>
      <c r="D152" s="170"/>
      <c r="E152" s="170"/>
      <c r="F152" s="170"/>
      <c r="G152" s="170"/>
      <c r="H152" s="170"/>
      <c r="I152" s="170"/>
      <c r="J152" s="170"/>
      <c r="K152" s="170"/>
      <c r="L152" s="177"/>
      <c r="M152" s="170"/>
      <c r="N152" s="170"/>
      <c r="O152" s="170"/>
      <c r="P152" s="177"/>
      <c r="Q152" s="167"/>
      <c r="R152"/>
    </row>
    <row r="153" spans="1:19" s="4" customFormat="1" ht="15">
      <c r="A153" s="105"/>
      <c r="B153" s="182" t="s">
        <v>5</v>
      </c>
      <c r="C153" s="59"/>
      <c r="D153" s="59"/>
      <c r="E153" s="59"/>
      <c r="F153" s="59"/>
      <c r="G153" s="59"/>
      <c r="H153" s="59"/>
      <c r="I153" s="59"/>
      <c r="J153" s="59"/>
      <c r="K153" s="114"/>
      <c r="L153" s="120"/>
      <c r="M153" s="118"/>
      <c r="N153" s="60"/>
      <c r="O153" s="60"/>
      <c r="P153" s="60"/>
      <c r="Q153" s="168" t="s">
        <v>26</v>
      </c>
      <c r="R153"/>
      <c r="S153" s="60"/>
    </row>
    <row r="154" spans="1:23" s="4" customFormat="1" ht="15">
      <c r="A154" s="178" t="s">
        <v>6</v>
      </c>
      <c r="B154" s="181"/>
      <c r="C154" s="60" t="s">
        <v>27</v>
      </c>
      <c r="D154" s="60" t="s">
        <v>9</v>
      </c>
      <c r="E154" s="60" t="s">
        <v>10</v>
      </c>
      <c r="F154" s="60" t="s">
        <v>82</v>
      </c>
      <c r="G154" s="60" t="s">
        <v>52</v>
      </c>
      <c r="H154" s="60" t="s">
        <v>53</v>
      </c>
      <c r="I154" s="60" t="s">
        <v>28</v>
      </c>
      <c r="J154" s="60" t="s">
        <v>73</v>
      </c>
      <c r="K154" s="119" t="s">
        <v>49</v>
      </c>
      <c r="L154" s="120" t="s">
        <v>29</v>
      </c>
      <c r="M154" s="118" t="s">
        <v>12</v>
      </c>
      <c r="N154" s="60" t="s">
        <v>30</v>
      </c>
      <c r="O154" s="60" t="s">
        <v>31</v>
      </c>
      <c r="P154" s="60" t="s">
        <v>83</v>
      </c>
      <c r="Q154" s="168"/>
      <c r="R154" s="132"/>
      <c r="S154" s="201" t="s">
        <v>92</v>
      </c>
      <c r="T154" s="132"/>
      <c r="U154" s="132"/>
      <c r="V154" s="188"/>
      <c r="W154" s="188"/>
    </row>
    <row r="155" spans="1:22" s="4" customFormat="1" ht="15">
      <c r="A155" s="105"/>
      <c r="B155" s="182" t="s">
        <v>12</v>
      </c>
      <c r="C155" s="60" t="s">
        <v>16</v>
      </c>
      <c r="D155" s="60" t="s">
        <v>16</v>
      </c>
      <c r="E155" s="60" t="s">
        <v>16</v>
      </c>
      <c r="F155" s="60" t="s">
        <v>16</v>
      </c>
      <c r="G155" s="60" t="s">
        <v>16</v>
      </c>
      <c r="H155" s="60" t="s">
        <v>16</v>
      </c>
      <c r="I155" s="60" t="s">
        <v>16</v>
      </c>
      <c r="J155" s="60" t="s">
        <v>16</v>
      </c>
      <c r="K155" s="119" t="s">
        <v>16</v>
      </c>
      <c r="L155" s="120" t="s">
        <v>16</v>
      </c>
      <c r="M155" s="118"/>
      <c r="N155" s="60" t="s">
        <v>16</v>
      </c>
      <c r="O155" s="60" t="s">
        <v>16</v>
      </c>
      <c r="P155" s="60" t="s">
        <v>16</v>
      </c>
      <c r="Q155" s="168" t="s">
        <v>32</v>
      </c>
      <c r="R155" s="132"/>
      <c r="S155" s="60" t="s">
        <v>16</v>
      </c>
      <c r="T155" s="132"/>
      <c r="U155" s="132"/>
      <c r="V155" s="132"/>
    </row>
    <row r="156" spans="1:21" s="4" customFormat="1" ht="15.75" thickBot="1">
      <c r="A156" s="49"/>
      <c r="B156" s="183"/>
      <c r="C156" s="170"/>
      <c r="D156" s="170"/>
      <c r="E156" s="170"/>
      <c r="F156" s="170"/>
      <c r="G156" s="170"/>
      <c r="H156" s="170"/>
      <c r="I156" s="170"/>
      <c r="J156" s="170"/>
      <c r="K156" s="171"/>
      <c r="L156" s="172"/>
      <c r="M156" s="169"/>
      <c r="N156" s="170"/>
      <c r="O156" s="173"/>
      <c r="P156" s="173"/>
      <c r="Q156" s="174"/>
      <c r="R156" s="131"/>
      <c r="T156" s="127"/>
      <c r="U156" s="128"/>
    </row>
    <row r="157" spans="1:18" s="4" customFormat="1" ht="15">
      <c r="A157" s="15"/>
      <c r="B157" s="15"/>
      <c r="C157" s="14"/>
      <c r="D157" s="59"/>
      <c r="E157" s="59"/>
      <c r="F157" s="59"/>
      <c r="G157" s="59"/>
      <c r="H157" s="59"/>
      <c r="I157" s="59"/>
      <c r="J157" s="59"/>
      <c r="K157" s="59"/>
      <c r="L157" s="61"/>
      <c r="M157" s="61"/>
      <c r="N157" s="61"/>
      <c r="O157" s="61"/>
      <c r="P157" s="61"/>
      <c r="Q157" s="19"/>
      <c r="R157"/>
    </row>
    <row r="158" spans="1:23" s="4" customFormat="1" ht="15">
      <c r="A158" s="15" t="s">
        <v>17</v>
      </c>
      <c r="B158" s="42">
        <f aca="true" t="shared" si="21" ref="B158:Q158">SUM(B159:B189)</f>
        <v>121650.08117370002</v>
      </c>
      <c r="C158" s="17">
        <f t="shared" si="21"/>
        <v>15949.4095975</v>
      </c>
      <c r="D158" s="61">
        <f t="shared" si="21"/>
        <v>8197.617443000001</v>
      </c>
      <c r="E158" s="61">
        <f t="shared" si="21"/>
        <v>7472.307440000001</v>
      </c>
      <c r="F158" s="61">
        <f t="shared" si="21"/>
        <v>7765.5383974</v>
      </c>
      <c r="G158" s="18">
        <f t="shared" si="21"/>
        <v>18457.833573</v>
      </c>
      <c r="H158" s="18">
        <f t="shared" si="21"/>
        <v>17062.3142026</v>
      </c>
      <c r="I158" s="18">
        <f t="shared" si="21"/>
        <v>7861.086814000001</v>
      </c>
      <c r="J158" s="18">
        <f t="shared" si="21"/>
        <v>7779.627433000001</v>
      </c>
      <c r="K158" s="61">
        <f t="shared" si="21"/>
        <v>13992.2701512</v>
      </c>
      <c r="L158" s="61">
        <f t="shared" si="21"/>
        <v>17112.076121999995</v>
      </c>
      <c r="M158" s="18">
        <f t="shared" si="21"/>
        <v>4552.149887999998</v>
      </c>
      <c r="N158" s="18">
        <f t="shared" si="21"/>
        <v>684.6999999999998</v>
      </c>
      <c r="O158" s="18">
        <f t="shared" si="21"/>
        <v>2937.3820703999995</v>
      </c>
      <c r="P158" s="18">
        <f t="shared" si="21"/>
        <v>930.0678175999999</v>
      </c>
      <c r="Q158" s="19">
        <f t="shared" si="21"/>
        <v>2533.4480000000003</v>
      </c>
      <c r="R158" s="103"/>
      <c r="S158" s="103">
        <f>SUM(S159:S187)</f>
        <v>22370.820248469998</v>
      </c>
      <c r="T158" s="103"/>
      <c r="U158" s="103"/>
      <c r="V158" s="103"/>
      <c r="W158" s="103"/>
    </row>
    <row r="159" spans="1:23" s="4" customFormat="1" ht="15">
      <c r="A159" s="93" t="s">
        <v>55</v>
      </c>
      <c r="B159" s="42">
        <f>SUM(C159:L159)</f>
        <v>11664.959999999997</v>
      </c>
      <c r="C159" s="18">
        <f aca="true" t="shared" si="22" ref="C159:L159">C110*0.87</f>
        <v>1546.86</v>
      </c>
      <c r="D159" s="18">
        <f t="shared" si="22"/>
        <v>754.29</v>
      </c>
      <c r="E159" s="18">
        <f t="shared" si="22"/>
        <v>732.54</v>
      </c>
      <c r="F159" s="18">
        <f t="shared" si="22"/>
        <v>762.12</v>
      </c>
      <c r="G159" s="18">
        <f t="shared" si="22"/>
        <v>1770.45</v>
      </c>
      <c r="H159" s="18">
        <f t="shared" si="22"/>
        <v>1597.32</v>
      </c>
      <c r="I159" s="18">
        <f t="shared" si="22"/>
        <v>771.6899999999999</v>
      </c>
      <c r="J159" s="18">
        <f t="shared" si="22"/>
        <v>710.79</v>
      </c>
      <c r="K159" s="18">
        <f t="shared" si="22"/>
        <v>1384.17</v>
      </c>
      <c r="L159" s="18">
        <f t="shared" si="22"/>
        <v>1634.73</v>
      </c>
      <c r="M159" s="18">
        <f aca="true" t="shared" si="23" ref="M159:M187">SUM(N159:P159)</f>
        <v>431.89200000000005</v>
      </c>
      <c r="N159" s="18">
        <f aca="true" t="shared" si="24" ref="N159:P187">N110*0.8</f>
        <v>65.3</v>
      </c>
      <c r="O159" s="18">
        <f t="shared" si="24"/>
        <v>279.456</v>
      </c>
      <c r="P159" s="18">
        <f t="shared" si="24"/>
        <v>87.13600000000001</v>
      </c>
      <c r="Q159" s="19">
        <f>Q110*0.91</f>
        <v>291.2</v>
      </c>
      <c r="R159" s="126"/>
      <c r="S159" s="186">
        <f>+J159+K159+0.035*L159</f>
        <v>2152.17555</v>
      </c>
      <c r="T159" s="123"/>
      <c r="U159" s="123"/>
      <c r="V159" s="126"/>
      <c r="W159" s="44"/>
    </row>
    <row r="160" spans="1:23" s="4" customFormat="1" ht="15">
      <c r="A160" s="93" t="s">
        <v>84</v>
      </c>
      <c r="B160" s="42">
        <f aca="true" t="shared" si="25" ref="B160:B187">SUM(C160:L160)</f>
        <v>12121.981444000001</v>
      </c>
      <c r="C160" s="18">
        <f aca="true" t="shared" si="26" ref="C160:L160">C111*0.68</f>
        <v>1575.469356</v>
      </c>
      <c r="D160" s="18">
        <f t="shared" si="26"/>
        <v>823.1298</v>
      </c>
      <c r="E160" s="18">
        <f t="shared" si="26"/>
        <v>726.22776</v>
      </c>
      <c r="F160" s="18">
        <f t="shared" si="26"/>
        <v>814.40608</v>
      </c>
      <c r="G160" s="18">
        <f t="shared" si="26"/>
        <v>1920.9360800000002</v>
      </c>
      <c r="H160" s="18">
        <f t="shared" si="26"/>
        <v>1676.6142560000003</v>
      </c>
      <c r="I160" s="18">
        <f t="shared" si="26"/>
        <v>737.6329920000001</v>
      </c>
      <c r="J160" s="18">
        <f t="shared" si="26"/>
        <v>776.3016000000001</v>
      </c>
      <c r="K160" s="18">
        <f t="shared" si="26"/>
        <v>1388.9353600000002</v>
      </c>
      <c r="L160" s="18">
        <f t="shared" si="26"/>
        <v>1682.32816</v>
      </c>
      <c r="M160" s="18">
        <f t="shared" si="23"/>
        <v>587.9775872</v>
      </c>
      <c r="N160" s="18">
        <f t="shared" si="24"/>
        <v>88.2</v>
      </c>
      <c r="O160" s="18">
        <f t="shared" si="24"/>
        <v>386.165952</v>
      </c>
      <c r="P160" s="18">
        <f t="shared" si="24"/>
        <v>113.61163520000002</v>
      </c>
      <c r="Q160" s="19">
        <f>Q111*0.784</f>
        <v>346.528</v>
      </c>
      <c r="R160" s="126"/>
      <c r="S160" s="186">
        <f aca="true" t="shared" si="27" ref="S160:S187">+J160+K160+0.035*L160</f>
        <v>2224.1184456</v>
      </c>
      <c r="T160" s="123"/>
      <c r="U160" s="123"/>
      <c r="V160" s="126"/>
      <c r="W160" s="44"/>
    </row>
    <row r="161" spans="1:23" s="4" customFormat="1" ht="15">
      <c r="A161" s="93" t="s">
        <v>85</v>
      </c>
      <c r="B161" s="42">
        <f t="shared" si="25"/>
        <v>17077.6647</v>
      </c>
      <c r="C161" s="18">
        <f aca="true" t="shared" si="28" ref="C161:L161">C112*0.9</f>
        <v>2187.297</v>
      </c>
      <c r="D161" s="18">
        <f t="shared" si="28"/>
        <v>1205.334</v>
      </c>
      <c r="E161" s="18">
        <f t="shared" si="28"/>
        <v>1078.245</v>
      </c>
      <c r="F161" s="18">
        <f t="shared" si="28"/>
        <v>1123.9956</v>
      </c>
      <c r="G161" s="18">
        <f t="shared" si="28"/>
        <v>2680.2972000000004</v>
      </c>
      <c r="H161" s="18">
        <f t="shared" si="28"/>
        <v>2340.6282</v>
      </c>
      <c r="I161" s="18">
        <f t="shared" si="28"/>
        <v>1043.5068</v>
      </c>
      <c r="J161" s="18">
        <f t="shared" si="28"/>
        <v>1097.3385</v>
      </c>
      <c r="K161" s="18">
        <f t="shared" si="28"/>
        <v>1944.8784</v>
      </c>
      <c r="L161" s="18">
        <f t="shared" si="28"/>
        <v>2376.144</v>
      </c>
      <c r="M161" s="18">
        <f t="shared" si="23"/>
        <v>618.616032</v>
      </c>
      <c r="N161" s="18">
        <f t="shared" si="24"/>
        <v>92.5</v>
      </c>
      <c r="O161" s="18">
        <f t="shared" si="24"/>
        <v>405.79123200000004</v>
      </c>
      <c r="P161" s="18">
        <f t="shared" si="24"/>
        <v>120.32479999999998</v>
      </c>
      <c r="Q161" s="19">
        <f>Q112*0.784</f>
        <v>364.56</v>
      </c>
      <c r="R161" s="126"/>
      <c r="S161" s="186">
        <f t="shared" si="27"/>
        <v>3125.38194</v>
      </c>
      <c r="T161" s="123"/>
      <c r="U161" s="123"/>
      <c r="V161" s="126"/>
      <c r="W161" s="44"/>
    </row>
    <row r="162" spans="1:23" s="4" customFormat="1" ht="15">
      <c r="A162" s="99" t="s">
        <v>86</v>
      </c>
      <c r="B162" s="42">
        <f t="shared" si="25"/>
        <v>12286.030889000001</v>
      </c>
      <c r="C162" s="18">
        <f aca="true" t="shared" si="29" ref="C162:L162">C113*0.73</f>
        <v>1511.23578</v>
      </c>
      <c r="D162" s="18">
        <f t="shared" si="29"/>
        <v>807.983418</v>
      </c>
      <c r="E162" s="18">
        <f t="shared" si="29"/>
        <v>775.79436</v>
      </c>
      <c r="F162" s="18">
        <f t="shared" si="29"/>
        <v>782.5805859999999</v>
      </c>
      <c r="G162" s="18">
        <f t="shared" si="29"/>
        <v>1796.318008</v>
      </c>
      <c r="H162" s="18">
        <f t="shared" si="29"/>
        <v>1767.202834</v>
      </c>
      <c r="I162" s="18">
        <f t="shared" si="29"/>
        <v>814.197762</v>
      </c>
      <c r="J162" s="18">
        <f t="shared" si="29"/>
        <v>760.16214</v>
      </c>
      <c r="K162" s="18">
        <f t="shared" si="29"/>
        <v>1458.8230210000002</v>
      </c>
      <c r="L162" s="18">
        <f t="shared" si="29"/>
        <v>1811.73298</v>
      </c>
      <c r="M162" s="18">
        <f t="shared" si="23"/>
        <v>529.5001152</v>
      </c>
      <c r="N162" s="18">
        <f t="shared" si="24"/>
        <v>77.2</v>
      </c>
      <c r="O162" s="18">
        <f t="shared" si="24"/>
        <v>339.14282879999996</v>
      </c>
      <c r="P162" s="18">
        <f t="shared" si="24"/>
        <v>113.15728640000003</v>
      </c>
      <c r="Q162" s="19">
        <f>Q113*0.67</f>
        <v>258.62</v>
      </c>
      <c r="R162" s="126"/>
      <c r="S162" s="186">
        <f t="shared" si="27"/>
        <v>2282.3958153</v>
      </c>
      <c r="T162" s="123"/>
      <c r="U162" s="123"/>
      <c r="V162" s="126"/>
      <c r="W162" s="44"/>
    </row>
    <row r="163" spans="1:23" s="4" customFormat="1" ht="15">
      <c r="A163" s="99" t="s">
        <v>87</v>
      </c>
      <c r="B163" s="42">
        <f t="shared" si="25"/>
        <v>10682.939314999998</v>
      </c>
      <c r="C163" s="18">
        <f aca="true" t="shared" si="30" ref="C163:L163">C114*0.815</f>
        <v>1296.7546499999999</v>
      </c>
      <c r="D163" s="18">
        <f t="shared" si="30"/>
        <v>705.79</v>
      </c>
      <c r="E163" s="18">
        <f t="shared" si="30"/>
        <v>655.4800499999999</v>
      </c>
      <c r="F163" s="18">
        <f t="shared" si="30"/>
        <v>666.5184099999999</v>
      </c>
      <c r="G163" s="18">
        <f t="shared" si="30"/>
        <v>1529.91148</v>
      </c>
      <c r="H163" s="18">
        <f t="shared" si="30"/>
        <v>1504.3628599999997</v>
      </c>
      <c r="I163" s="18">
        <f t="shared" si="30"/>
        <v>696.336</v>
      </c>
      <c r="J163" s="18">
        <f t="shared" si="30"/>
        <v>652</v>
      </c>
      <c r="K163" s="18">
        <f t="shared" si="30"/>
        <v>1335.22428</v>
      </c>
      <c r="L163" s="18">
        <f t="shared" si="30"/>
        <v>1640.5615850000002</v>
      </c>
      <c r="M163" s="18">
        <f t="shared" si="23"/>
        <v>403.928384</v>
      </c>
      <c r="N163" s="18">
        <f t="shared" si="24"/>
        <v>58.800000000000004</v>
      </c>
      <c r="O163" s="18">
        <f t="shared" si="24"/>
        <v>258.720576</v>
      </c>
      <c r="P163" s="18">
        <f t="shared" si="24"/>
        <v>86.40780799999999</v>
      </c>
      <c r="Q163" s="19">
        <f>Q114*0.67</f>
        <v>196.98000000000002</v>
      </c>
      <c r="R163" s="126"/>
      <c r="S163" s="186">
        <f t="shared" si="27"/>
        <v>2044.643935475</v>
      </c>
      <c r="T163" s="123"/>
      <c r="U163" s="123"/>
      <c r="V163" s="126"/>
      <c r="W163" s="44"/>
    </row>
    <row r="164" spans="1:23" s="4" customFormat="1" ht="15">
      <c r="A164" s="69" t="s">
        <v>56</v>
      </c>
      <c r="B164" s="42">
        <f t="shared" si="25"/>
        <v>5665.329</v>
      </c>
      <c r="C164" s="18">
        <f aca="true" t="shared" si="31" ref="C164:L164">C115*0.999</f>
        <v>813.186</v>
      </c>
      <c r="D164" s="18">
        <f t="shared" si="31"/>
        <v>401.598</v>
      </c>
      <c r="E164" s="18">
        <f t="shared" si="31"/>
        <v>333.666</v>
      </c>
      <c r="F164" s="18">
        <f t="shared" si="31"/>
        <v>346.653</v>
      </c>
      <c r="G164" s="18">
        <f t="shared" si="31"/>
        <v>888.111</v>
      </c>
      <c r="H164" s="18">
        <f t="shared" si="31"/>
        <v>876.123</v>
      </c>
      <c r="I164" s="18">
        <f t="shared" si="31"/>
        <v>404.595</v>
      </c>
      <c r="J164" s="18">
        <f t="shared" si="31"/>
        <v>365.634</v>
      </c>
      <c r="K164" s="18">
        <f t="shared" si="31"/>
        <v>544.455</v>
      </c>
      <c r="L164" s="18">
        <f t="shared" si="31"/>
        <v>691.308</v>
      </c>
      <c r="M164" s="18">
        <f t="shared" si="23"/>
        <v>188.98000000000002</v>
      </c>
      <c r="N164" s="18">
        <f t="shared" si="24"/>
        <v>29.3</v>
      </c>
      <c r="O164" s="18">
        <f t="shared" si="24"/>
        <v>118.656</v>
      </c>
      <c r="P164" s="18">
        <f t="shared" si="24"/>
        <v>41.024</v>
      </c>
      <c r="Q164" s="19">
        <f>Q115*0.7</f>
        <v>103.60000000000001</v>
      </c>
      <c r="R164" s="126"/>
      <c r="S164" s="186">
        <f t="shared" si="27"/>
        <v>934.2847800000001</v>
      </c>
      <c r="T164" s="123"/>
      <c r="U164" s="123"/>
      <c r="V164" s="126"/>
      <c r="W164" s="44"/>
    </row>
    <row r="165" spans="1:23" s="4" customFormat="1" ht="15">
      <c r="A165" s="105" t="s">
        <v>57</v>
      </c>
      <c r="B165" s="42">
        <f t="shared" si="25"/>
        <v>5410.102620000001</v>
      </c>
      <c r="C165" s="18">
        <f aca="true" t="shared" si="32" ref="C165:L165">C116*0.86</f>
        <v>745.4007</v>
      </c>
      <c r="D165" s="18">
        <f t="shared" si="32"/>
        <v>377.755</v>
      </c>
      <c r="E165" s="18">
        <f t="shared" si="32"/>
        <v>322.24716</v>
      </c>
      <c r="F165" s="18">
        <f t="shared" si="32"/>
        <v>322.16976</v>
      </c>
      <c r="G165" s="18">
        <f t="shared" si="32"/>
        <v>801.67824</v>
      </c>
      <c r="H165" s="18">
        <f t="shared" si="32"/>
        <v>805.4244</v>
      </c>
      <c r="I165" s="18">
        <f t="shared" si="32"/>
        <v>374.62374</v>
      </c>
      <c r="J165" s="18">
        <f t="shared" si="32"/>
        <v>361.70568000000003</v>
      </c>
      <c r="K165" s="18">
        <f t="shared" si="32"/>
        <v>590.69444</v>
      </c>
      <c r="L165" s="18">
        <f t="shared" si="32"/>
        <v>708.4035</v>
      </c>
      <c r="M165" s="18">
        <f t="shared" si="23"/>
        <v>197.96156800000003</v>
      </c>
      <c r="N165" s="18">
        <f t="shared" si="24"/>
        <v>28.6</v>
      </c>
      <c r="O165" s="18">
        <f t="shared" si="24"/>
        <v>125.45280000000001</v>
      </c>
      <c r="P165" s="18">
        <f t="shared" si="24"/>
        <v>43.908768</v>
      </c>
      <c r="Q165" s="19">
        <f>Q116*0.7</f>
        <v>99.4</v>
      </c>
      <c r="R165" s="126"/>
      <c r="S165" s="186">
        <f t="shared" si="27"/>
        <v>977.1942425</v>
      </c>
      <c r="T165" s="123"/>
      <c r="U165" s="123"/>
      <c r="V165" s="126"/>
      <c r="W165" s="44"/>
    </row>
    <row r="166" spans="1:23" s="4" customFormat="1" ht="15">
      <c r="A166" s="105" t="s">
        <v>58</v>
      </c>
      <c r="B166" s="42">
        <f t="shared" si="25"/>
        <v>6891.9028714</v>
      </c>
      <c r="C166" s="18">
        <f aca="true" t="shared" si="33" ref="C166:L166">C117*0.998</f>
        <v>904.196982</v>
      </c>
      <c r="D166" s="18">
        <f t="shared" si="33"/>
        <v>481.058954</v>
      </c>
      <c r="E166" s="18">
        <f t="shared" si="33"/>
        <v>409.39955999999995</v>
      </c>
      <c r="F166" s="18">
        <f t="shared" si="33"/>
        <v>422.42575539999996</v>
      </c>
      <c r="G166" s="18">
        <f t="shared" si="33"/>
        <v>1054.8321079999998</v>
      </c>
      <c r="H166" s="18">
        <f t="shared" si="33"/>
        <v>1015.399132</v>
      </c>
      <c r="I166" s="18">
        <f t="shared" si="33"/>
        <v>450.680832</v>
      </c>
      <c r="J166" s="18">
        <f t="shared" si="33"/>
        <v>429.555168</v>
      </c>
      <c r="K166" s="18">
        <f t="shared" si="33"/>
        <v>773.07076</v>
      </c>
      <c r="L166" s="18">
        <f t="shared" si="33"/>
        <v>951.28362</v>
      </c>
      <c r="M166" s="18">
        <f t="shared" si="23"/>
        <v>221.40953280000002</v>
      </c>
      <c r="N166" s="18">
        <f t="shared" si="24"/>
        <v>32.300000000000004</v>
      </c>
      <c r="O166" s="18">
        <f t="shared" si="24"/>
        <v>142.1009568</v>
      </c>
      <c r="P166" s="18">
        <f t="shared" si="24"/>
        <v>47.008576000000005</v>
      </c>
      <c r="Q166" s="19">
        <f>Q117*0.7</f>
        <v>112.00000000000001</v>
      </c>
      <c r="R166" s="126"/>
      <c r="S166" s="186">
        <f t="shared" si="27"/>
        <v>1235.9208546999998</v>
      </c>
      <c r="T166" s="123"/>
      <c r="U166" s="123"/>
      <c r="V166" s="126"/>
      <c r="W166" s="44"/>
    </row>
    <row r="167" spans="1:23" s="4" customFormat="1" ht="15">
      <c r="A167" s="105" t="s">
        <v>59</v>
      </c>
      <c r="B167" s="42">
        <f t="shared" si="25"/>
        <v>4216.11938</v>
      </c>
      <c r="C167" s="18">
        <f aca="true" t="shared" si="34" ref="C167:L167">C118*0.82</f>
        <v>521.54788</v>
      </c>
      <c r="D167" s="18">
        <f t="shared" si="34"/>
        <v>257.4144</v>
      </c>
      <c r="E167" s="18">
        <f t="shared" si="34"/>
        <v>251.90399999999997</v>
      </c>
      <c r="F167" s="18">
        <f t="shared" si="34"/>
        <v>259.4849</v>
      </c>
      <c r="G167" s="18">
        <f t="shared" si="34"/>
        <v>573.5981999999999</v>
      </c>
      <c r="H167" s="18">
        <f t="shared" si="34"/>
        <v>546.284</v>
      </c>
      <c r="I167" s="18">
        <f t="shared" si="34"/>
        <v>282.9</v>
      </c>
      <c r="J167" s="18">
        <f t="shared" si="34"/>
        <v>288.558</v>
      </c>
      <c r="K167" s="18">
        <f t="shared" si="34"/>
        <v>486.66999999999996</v>
      </c>
      <c r="L167" s="18">
        <f t="shared" si="34"/>
        <v>747.758</v>
      </c>
      <c r="M167" s="18">
        <f t="shared" si="23"/>
        <v>152.39008</v>
      </c>
      <c r="N167" s="18">
        <f t="shared" si="24"/>
        <v>22.5</v>
      </c>
      <c r="O167" s="18">
        <f t="shared" si="24"/>
        <v>97.53168</v>
      </c>
      <c r="P167" s="18">
        <f t="shared" si="24"/>
        <v>32.3584</v>
      </c>
      <c r="Q167" s="19">
        <f>Q118*0.75</f>
        <v>84.75</v>
      </c>
      <c r="R167" s="126"/>
      <c r="S167" s="186">
        <f t="shared" si="27"/>
        <v>801.3995299999999</v>
      </c>
      <c r="T167" s="123"/>
      <c r="U167" s="123"/>
      <c r="V167" s="126"/>
      <c r="W167" s="44"/>
    </row>
    <row r="168" spans="1:23" s="4" customFormat="1" ht="15">
      <c r="A168" s="105" t="s">
        <v>60</v>
      </c>
      <c r="B168" s="42">
        <f t="shared" si="25"/>
        <v>7048.6257186</v>
      </c>
      <c r="C168" s="18">
        <f aca="true" t="shared" si="35" ref="C168:L168">C119*0.999</f>
        <v>1006.0423506</v>
      </c>
      <c r="D168" s="18">
        <f t="shared" si="35"/>
        <v>469.089441</v>
      </c>
      <c r="E168" s="18">
        <f t="shared" si="35"/>
        <v>430.32923999999997</v>
      </c>
      <c r="F168" s="18">
        <f t="shared" si="35"/>
        <v>440.19936000000007</v>
      </c>
      <c r="G168" s="18">
        <f t="shared" si="35"/>
        <v>1175.591232</v>
      </c>
      <c r="H168" s="18">
        <f t="shared" si="35"/>
        <v>1033.173792</v>
      </c>
      <c r="I168" s="18">
        <f t="shared" si="35"/>
        <v>485.230284</v>
      </c>
      <c r="J168" s="18">
        <f t="shared" si="35"/>
        <v>456.0435</v>
      </c>
      <c r="K168" s="18">
        <f t="shared" si="35"/>
        <v>724.091184</v>
      </c>
      <c r="L168" s="18">
        <f t="shared" si="35"/>
        <v>828.8353350000001</v>
      </c>
      <c r="M168" s="18">
        <f t="shared" si="23"/>
        <v>244.808736</v>
      </c>
      <c r="N168" s="18">
        <f t="shared" si="24"/>
        <v>40.900000000000006</v>
      </c>
      <c r="O168" s="18">
        <f t="shared" si="24"/>
        <v>155.27116800000002</v>
      </c>
      <c r="P168" s="18">
        <f t="shared" si="24"/>
        <v>48.637568</v>
      </c>
      <c r="Q168" s="19">
        <f>Q119*0.71</f>
        <v>146.97</v>
      </c>
      <c r="R168" s="126"/>
      <c r="S168" s="186">
        <f t="shared" si="27"/>
        <v>1209.143920725</v>
      </c>
      <c r="T168" s="123"/>
      <c r="U168" s="123"/>
      <c r="V168" s="126"/>
      <c r="W168" s="44"/>
    </row>
    <row r="169" spans="1:23" s="4" customFormat="1" ht="15">
      <c r="A169" s="105" t="s">
        <v>61</v>
      </c>
      <c r="B169" s="42">
        <f t="shared" si="25"/>
        <v>6442.865649</v>
      </c>
      <c r="C169" s="18">
        <f aca="true" t="shared" si="36" ref="C169:L169">C120*0.99</f>
        <v>837.877689</v>
      </c>
      <c r="D169" s="18">
        <f t="shared" si="36"/>
        <v>412.7607</v>
      </c>
      <c r="E169" s="18">
        <f t="shared" si="36"/>
        <v>421.77088799999996</v>
      </c>
      <c r="F169" s="18">
        <f t="shared" si="36"/>
        <v>437.404077</v>
      </c>
      <c r="G169" s="18">
        <f t="shared" si="36"/>
        <v>977.03496</v>
      </c>
      <c r="H169" s="18">
        <f t="shared" si="36"/>
        <v>872.99883</v>
      </c>
      <c r="I169" s="18">
        <f t="shared" si="36"/>
        <v>406.904355</v>
      </c>
      <c r="J169" s="18">
        <f t="shared" si="36"/>
        <v>473.7348</v>
      </c>
      <c r="K169" s="18">
        <f t="shared" si="36"/>
        <v>761.42385</v>
      </c>
      <c r="L169" s="18">
        <f t="shared" si="36"/>
        <v>840.9555</v>
      </c>
      <c r="M169" s="18">
        <f t="shared" si="23"/>
        <v>210.82833280000003</v>
      </c>
      <c r="N169" s="18">
        <f t="shared" si="24"/>
        <v>32.300000000000004</v>
      </c>
      <c r="O169" s="18">
        <f t="shared" si="24"/>
        <v>137.1577248</v>
      </c>
      <c r="P169" s="18">
        <f t="shared" si="24"/>
        <v>41.370608000000004</v>
      </c>
      <c r="Q169" s="19">
        <f>Q120*0.74</f>
        <v>119.14</v>
      </c>
      <c r="R169" s="126"/>
      <c r="S169" s="186">
        <f t="shared" si="27"/>
        <v>1264.5920925</v>
      </c>
      <c r="T169" s="123"/>
      <c r="U169" s="123"/>
      <c r="V169" s="126"/>
      <c r="W169" s="44"/>
    </row>
    <row r="170" spans="1:23" s="4" customFormat="1" ht="15">
      <c r="A170" s="187" t="s">
        <v>88</v>
      </c>
      <c r="B170" s="42">
        <f t="shared" si="25"/>
        <v>3567.2034</v>
      </c>
      <c r="C170" s="18">
        <f aca="true" t="shared" si="37" ref="C170:L170">C121*0.92</f>
        <v>499.9372</v>
      </c>
      <c r="D170" s="18">
        <f t="shared" si="37"/>
        <v>246.238</v>
      </c>
      <c r="E170" s="18">
        <f t="shared" si="37"/>
        <v>220.892</v>
      </c>
      <c r="F170" s="18">
        <f t="shared" si="37"/>
        <v>238.60199999999998</v>
      </c>
      <c r="G170" s="18">
        <f t="shared" si="37"/>
        <v>568.974</v>
      </c>
      <c r="H170" s="18">
        <f t="shared" si="37"/>
        <v>495.558</v>
      </c>
      <c r="I170" s="18">
        <f t="shared" si="37"/>
        <v>204.0192</v>
      </c>
      <c r="J170" s="18">
        <f t="shared" si="37"/>
        <v>214.544</v>
      </c>
      <c r="K170" s="18">
        <f t="shared" si="37"/>
        <v>383.7504</v>
      </c>
      <c r="L170" s="18">
        <f t="shared" si="37"/>
        <v>494.68859999999995</v>
      </c>
      <c r="M170" s="18">
        <f t="shared" si="23"/>
        <v>126.40191999999999</v>
      </c>
      <c r="N170" s="18">
        <f t="shared" si="24"/>
        <v>17.8</v>
      </c>
      <c r="O170" s="18">
        <f t="shared" si="24"/>
        <v>84.2688</v>
      </c>
      <c r="P170" s="18">
        <f t="shared" si="24"/>
        <v>24.33312</v>
      </c>
      <c r="Q170" s="19">
        <f>Q121*0.71</f>
        <v>63.9</v>
      </c>
      <c r="R170" s="126"/>
      <c r="S170" s="186">
        <f t="shared" si="27"/>
        <v>615.608501</v>
      </c>
      <c r="T170" s="123"/>
      <c r="U170" s="123"/>
      <c r="V170" s="126"/>
      <c r="W170" s="44"/>
    </row>
    <row r="171" spans="1:23" s="4" customFormat="1" ht="15">
      <c r="A171" s="105" t="s">
        <v>62</v>
      </c>
      <c r="B171" s="42">
        <f t="shared" si="25"/>
        <v>3639.45</v>
      </c>
      <c r="C171" s="18">
        <f aca="true" t="shared" si="38" ref="C171:L171">C122*0.95</f>
        <v>434.15</v>
      </c>
      <c r="D171" s="18">
        <f t="shared" si="38"/>
        <v>256.5</v>
      </c>
      <c r="E171" s="18">
        <f t="shared" si="38"/>
        <v>228.95</v>
      </c>
      <c r="F171" s="18">
        <f t="shared" si="38"/>
        <v>233.7</v>
      </c>
      <c r="G171" s="18">
        <f t="shared" si="38"/>
        <v>548.15</v>
      </c>
      <c r="H171" s="18">
        <f t="shared" si="38"/>
        <v>511.09999999999997</v>
      </c>
      <c r="I171" s="18">
        <f t="shared" si="38"/>
        <v>243.2</v>
      </c>
      <c r="J171" s="18">
        <f t="shared" si="38"/>
        <v>242.25</v>
      </c>
      <c r="K171" s="18">
        <f t="shared" si="38"/>
        <v>457.9</v>
      </c>
      <c r="L171" s="18">
        <f t="shared" si="38"/>
        <v>483.54999999999995</v>
      </c>
      <c r="M171" s="18">
        <f t="shared" si="23"/>
        <v>123.316</v>
      </c>
      <c r="N171" s="18">
        <f t="shared" si="24"/>
        <v>18.900000000000002</v>
      </c>
      <c r="O171" s="18">
        <f t="shared" si="24"/>
        <v>79.008</v>
      </c>
      <c r="P171" s="18">
        <f t="shared" si="24"/>
        <v>25.408</v>
      </c>
      <c r="Q171" s="19">
        <f aca="true" t="shared" si="39" ref="Q171:Q187">Q122*0.7</f>
        <v>65.80000000000001</v>
      </c>
      <c r="R171" s="126"/>
      <c r="S171" s="186">
        <f t="shared" si="27"/>
        <v>717.07425</v>
      </c>
      <c r="T171" s="123"/>
      <c r="U171" s="123"/>
      <c r="V171" s="126"/>
      <c r="W171" s="44"/>
    </row>
    <row r="172" spans="1:23" s="4" customFormat="1" ht="15">
      <c r="A172" s="109" t="s">
        <v>79</v>
      </c>
      <c r="B172" s="42">
        <f>SUM(C172:L172)</f>
        <v>1811.9032000000002</v>
      </c>
      <c r="C172" s="18">
        <f aca="true" t="shared" si="40" ref="C172:L172">C123*0.92</f>
        <v>242.98120000000003</v>
      </c>
      <c r="D172" s="18">
        <f t="shared" si="40"/>
        <v>124.04820000000001</v>
      </c>
      <c r="E172" s="18">
        <f t="shared" si="40"/>
        <v>105.938</v>
      </c>
      <c r="F172" s="18">
        <f t="shared" si="40"/>
        <v>123.74368</v>
      </c>
      <c r="G172" s="18">
        <f t="shared" si="40"/>
        <v>291.87368000000004</v>
      </c>
      <c r="H172" s="18">
        <f t="shared" si="40"/>
        <v>254.21256</v>
      </c>
      <c r="I172" s="18">
        <f t="shared" si="40"/>
        <v>104.09616</v>
      </c>
      <c r="J172" s="18">
        <f t="shared" si="40"/>
        <v>109.4662</v>
      </c>
      <c r="K172" s="18">
        <f t="shared" si="40"/>
        <v>202.47360000000003</v>
      </c>
      <c r="L172" s="18">
        <f t="shared" si="40"/>
        <v>253.06991999999997</v>
      </c>
      <c r="M172" s="18">
        <f t="shared" si="23"/>
        <v>65.03168000000001</v>
      </c>
      <c r="N172" s="18">
        <f t="shared" si="24"/>
        <v>9.200000000000001</v>
      </c>
      <c r="O172" s="18">
        <f t="shared" si="24"/>
        <v>43.368768</v>
      </c>
      <c r="P172" s="18">
        <f t="shared" si="24"/>
        <v>12.462912000000001</v>
      </c>
      <c r="Q172" s="19">
        <f t="shared" si="39"/>
        <v>32.900000000000006</v>
      </c>
      <c r="R172" s="126"/>
      <c r="S172" s="186">
        <f t="shared" si="27"/>
        <v>320.7972472000001</v>
      </c>
      <c r="T172" s="123"/>
      <c r="U172" s="123"/>
      <c r="V172" s="126"/>
      <c r="W172" s="44"/>
    </row>
    <row r="173" spans="1:23" s="4" customFormat="1" ht="15">
      <c r="A173" s="109" t="s">
        <v>50</v>
      </c>
      <c r="B173" s="42">
        <f t="shared" si="25"/>
        <v>1521.32796</v>
      </c>
      <c r="C173" s="18">
        <f aca="true" t="shared" si="41" ref="C173:L173">C124*0.82</f>
        <v>226.23144</v>
      </c>
      <c r="D173" s="18">
        <f t="shared" si="41"/>
        <v>104.55</v>
      </c>
      <c r="E173" s="18">
        <f t="shared" si="41"/>
        <v>88.97</v>
      </c>
      <c r="F173" s="18">
        <f t="shared" si="41"/>
        <v>96.80837999999999</v>
      </c>
      <c r="G173" s="18">
        <f t="shared" si="41"/>
        <v>223.15151999999995</v>
      </c>
      <c r="H173" s="18">
        <f t="shared" si="41"/>
        <v>218.776</v>
      </c>
      <c r="I173" s="18">
        <f t="shared" si="41"/>
        <v>100.27452</v>
      </c>
      <c r="J173" s="18">
        <f t="shared" si="41"/>
        <v>93.89</v>
      </c>
      <c r="K173" s="18">
        <f t="shared" si="41"/>
        <v>175.69812000000002</v>
      </c>
      <c r="L173" s="18">
        <f t="shared" si="41"/>
        <v>192.97798</v>
      </c>
      <c r="M173" s="18">
        <f t="shared" si="23"/>
        <v>60.209472</v>
      </c>
      <c r="N173" s="18">
        <f t="shared" si="24"/>
        <v>10.3</v>
      </c>
      <c r="O173" s="18">
        <f t="shared" si="24"/>
        <v>37.45871999999999</v>
      </c>
      <c r="P173" s="18">
        <f t="shared" si="24"/>
        <v>12.450752000000001</v>
      </c>
      <c r="Q173" s="19">
        <f t="shared" si="39"/>
        <v>36.400000000000006</v>
      </c>
      <c r="R173" s="126"/>
      <c r="S173" s="186">
        <f t="shared" si="27"/>
        <v>276.3423493</v>
      </c>
      <c r="T173" s="123"/>
      <c r="U173" s="123"/>
      <c r="V173" s="126"/>
      <c r="W173" s="44"/>
    </row>
    <row r="174" spans="1:23" s="4" customFormat="1" ht="15">
      <c r="A174" s="109" t="s">
        <v>80</v>
      </c>
      <c r="B174" s="42">
        <f t="shared" si="25"/>
        <v>1874.56161</v>
      </c>
      <c r="C174" s="18">
        <f aca="true" t="shared" si="42" ref="C174:L174">C125*0.89</f>
        <v>258.60285</v>
      </c>
      <c r="D174" s="18">
        <f t="shared" si="42"/>
        <v>128.605</v>
      </c>
      <c r="E174" s="18">
        <f t="shared" si="42"/>
        <v>116.2874</v>
      </c>
      <c r="F174" s="18">
        <f t="shared" si="42"/>
        <v>111.59531999999999</v>
      </c>
      <c r="G174" s="18">
        <f t="shared" si="42"/>
        <v>277.69068</v>
      </c>
      <c r="H174" s="18">
        <f t="shared" si="42"/>
        <v>278.9883</v>
      </c>
      <c r="I174" s="18">
        <f t="shared" si="42"/>
        <v>124.26180000000001</v>
      </c>
      <c r="J174" s="18">
        <f t="shared" si="42"/>
        <v>120.43836000000002</v>
      </c>
      <c r="K174" s="18">
        <f t="shared" si="42"/>
        <v>212.3184</v>
      </c>
      <c r="L174" s="18">
        <f t="shared" si="42"/>
        <v>245.77350000000004</v>
      </c>
      <c r="M174" s="18">
        <f t="shared" si="23"/>
        <v>66.68928</v>
      </c>
      <c r="N174" s="18">
        <f t="shared" si="24"/>
        <v>10.200000000000001</v>
      </c>
      <c r="O174" s="18">
        <f t="shared" si="24"/>
        <v>41.990399999999994</v>
      </c>
      <c r="P174" s="18">
        <f t="shared" si="24"/>
        <v>14.49888</v>
      </c>
      <c r="Q174" s="19">
        <f t="shared" si="39"/>
        <v>35</v>
      </c>
      <c r="R174" s="126"/>
      <c r="S174" s="186">
        <f t="shared" si="27"/>
        <v>341.3588325</v>
      </c>
      <c r="T174" s="123"/>
      <c r="U174" s="123"/>
      <c r="V174" s="126"/>
      <c r="W174" s="44"/>
    </row>
    <row r="175" spans="1:23" s="4" customFormat="1" ht="15">
      <c r="A175" s="109" t="s">
        <v>51</v>
      </c>
      <c r="B175" s="42">
        <f t="shared" si="25"/>
        <v>1031.85593</v>
      </c>
      <c r="C175" s="18">
        <f aca="true" t="shared" si="43" ref="C175:L175">C126*0.97</f>
        <v>118.53303</v>
      </c>
      <c r="D175" s="18">
        <f t="shared" si="43"/>
        <v>55.9884</v>
      </c>
      <c r="E175" s="18">
        <f t="shared" si="43"/>
        <v>56.88662</v>
      </c>
      <c r="F175" s="18">
        <f t="shared" si="43"/>
        <v>64.81152</v>
      </c>
      <c r="G175" s="18">
        <f t="shared" si="43"/>
        <v>145.15079999999998</v>
      </c>
      <c r="H175" s="18">
        <f t="shared" si="43"/>
        <v>130.29816</v>
      </c>
      <c r="I175" s="18">
        <f t="shared" si="43"/>
        <v>65.4556</v>
      </c>
      <c r="J175" s="18">
        <f t="shared" si="43"/>
        <v>76.048</v>
      </c>
      <c r="K175" s="18">
        <f t="shared" si="43"/>
        <v>131.2798</v>
      </c>
      <c r="L175" s="18">
        <f t="shared" si="43"/>
        <v>187.40400000000002</v>
      </c>
      <c r="M175" s="18">
        <f t="shared" si="23"/>
        <v>31.637631999999996</v>
      </c>
      <c r="N175" s="18">
        <f t="shared" si="24"/>
        <v>4.4</v>
      </c>
      <c r="O175" s="18">
        <f t="shared" si="24"/>
        <v>20.779776</v>
      </c>
      <c r="P175" s="18">
        <f t="shared" si="24"/>
        <v>6.457856</v>
      </c>
      <c r="Q175" s="19">
        <f t="shared" si="39"/>
        <v>15.400000000000002</v>
      </c>
      <c r="R175" s="126"/>
      <c r="S175" s="186">
        <f t="shared" si="27"/>
        <v>213.88694</v>
      </c>
      <c r="T175" s="123"/>
      <c r="U175" s="123"/>
      <c r="V175" s="126"/>
      <c r="W175" s="44"/>
    </row>
    <row r="176" spans="1:23" s="4" customFormat="1" ht="15">
      <c r="A176" s="109" t="s">
        <v>81</v>
      </c>
      <c r="B176" s="42">
        <f t="shared" si="25"/>
        <v>747.15399</v>
      </c>
      <c r="C176" s="18">
        <f aca="true" t="shared" si="44" ref="C176:L176">C127*0.99</f>
        <v>111.20868</v>
      </c>
      <c r="D176" s="18">
        <f t="shared" si="44"/>
        <v>49.78908</v>
      </c>
      <c r="E176" s="18">
        <f t="shared" si="44"/>
        <v>40.52664</v>
      </c>
      <c r="F176" s="18">
        <f t="shared" si="44"/>
        <v>39.97125</v>
      </c>
      <c r="G176" s="18">
        <f t="shared" si="44"/>
        <v>99.693</v>
      </c>
      <c r="H176" s="18">
        <f t="shared" si="44"/>
        <v>96.40125</v>
      </c>
      <c r="I176" s="18">
        <f t="shared" si="44"/>
        <v>44.9361</v>
      </c>
      <c r="J176" s="18">
        <f t="shared" si="44"/>
        <v>43.173899999999996</v>
      </c>
      <c r="K176" s="18">
        <f t="shared" si="44"/>
        <v>94.73409</v>
      </c>
      <c r="L176" s="18">
        <f t="shared" si="44"/>
        <v>126.72</v>
      </c>
      <c r="M176" s="18">
        <f t="shared" si="23"/>
        <v>20.61168</v>
      </c>
      <c r="N176" s="18">
        <f t="shared" si="24"/>
        <v>2.5</v>
      </c>
      <c r="O176" s="18">
        <f t="shared" si="24"/>
        <v>13.543199999999999</v>
      </c>
      <c r="P176" s="18">
        <f t="shared" si="24"/>
        <v>4.56848</v>
      </c>
      <c r="Q176" s="19">
        <f t="shared" si="39"/>
        <v>8.4</v>
      </c>
      <c r="R176" s="126"/>
      <c r="S176" s="186">
        <f t="shared" si="27"/>
        <v>142.34319</v>
      </c>
      <c r="T176" s="123"/>
      <c r="U176" s="123"/>
      <c r="V176" s="126"/>
      <c r="W176" s="44"/>
    </row>
    <row r="177" spans="1:23" s="4" customFormat="1" ht="15">
      <c r="A177" s="192" t="s">
        <v>89</v>
      </c>
      <c r="B177" s="42">
        <f>SUM(C177:L177)</f>
        <v>677.9475500000001</v>
      </c>
      <c r="C177" s="18">
        <f aca="true" t="shared" si="45" ref="C177:L177">C128*0.97</f>
        <v>77.115</v>
      </c>
      <c r="D177" s="18">
        <f t="shared" si="45"/>
        <v>41.903999999999996</v>
      </c>
      <c r="E177" s="18">
        <f t="shared" si="45"/>
        <v>40.97279999999999</v>
      </c>
      <c r="F177" s="18">
        <f t="shared" si="45"/>
        <v>42.84974999999999</v>
      </c>
      <c r="G177" s="18">
        <f t="shared" si="45"/>
        <v>94.72049999999999</v>
      </c>
      <c r="H177" s="18">
        <f t="shared" si="45"/>
        <v>90.21</v>
      </c>
      <c r="I177" s="18">
        <f t="shared" si="45"/>
        <v>38.8</v>
      </c>
      <c r="J177" s="18">
        <f t="shared" si="45"/>
        <v>39.57599999999999</v>
      </c>
      <c r="K177" s="18">
        <f t="shared" si="45"/>
        <v>85.36</v>
      </c>
      <c r="L177" s="18">
        <f t="shared" si="45"/>
        <v>126.43950000000002</v>
      </c>
      <c r="M177" s="18">
        <f>SUM(N177:P177)</f>
        <v>21.6712</v>
      </c>
      <c r="N177" s="18">
        <f t="shared" si="24"/>
        <v>3.8000000000000003</v>
      </c>
      <c r="O177" s="18">
        <f t="shared" si="24"/>
        <v>13.6152</v>
      </c>
      <c r="P177" s="18">
        <f t="shared" si="24"/>
        <v>4.256</v>
      </c>
      <c r="Q177" s="19">
        <f t="shared" si="39"/>
        <v>13.3</v>
      </c>
      <c r="R177" s="126"/>
      <c r="S177" s="186">
        <f t="shared" si="27"/>
        <v>129.3613825</v>
      </c>
      <c r="T177" s="123"/>
      <c r="U177" s="123"/>
      <c r="V177" s="126"/>
      <c r="W177" s="44"/>
    </row>
    <row r="178" spans="1:23" s="4" customFormat="1" ht="15">
      <c r="A178" s="105" t="s">
        <v>63</v>
      </c>
      <c r="B178" s="42">
        <f t="shared" si="25"/>
        <v>788.40228</v>
      </c>
      <c r="C178" s="18">
        <f aca="true" t="shared" si="46" ref="C178:L178">C129*0.92</f>
        <v>106.1082</v>
      </c>
      <c r="D178" s="18">
        <f t="shared" si="46"/>
        <v>48.300000000000004</v>
      </c>
      <c r="E178" s="18">
        <f t="shared" si="46"/>
        <v>43.6724</v>
      </c>
      <c r="F178" s="18">
        <f t="shared" si="46"/>
        <v>47.471999999999994</v>
      </c>
      <c r="G178" s="18">
        <f t="shared" si="46"/>
        <v>121.44000000000001</v>
      </c>
      <c r="H178" s="18">
        <f t="shared" si="46"/>
        <v>117.57600000000001</v>
      </c>
      <c r="I178" s="18">
        <f t="shared" si="46"/>
        <v>56.212</v>
      </c>
      <c r="J178" s="18">
        <f t="shared" si="46"/>
        <v>54.4824</v>
      </c>
      <c r="K178" s="18">
        <f t="shared" si="46"/>
        <v>86.526</v>
      </c>
      <c r="L178" s="18">
        <f t="shared" si="46"/>
        <v>106.61328</v>
      </c>
      <c r="M178" s="18">
        <f t="shared" si="23"/>
        <v>27.970400000000005</v>
      </c>
      <c r="N178" s="18">
        <f t="shared" si="24"/>
        <v>4.3</v>
      </c>
      <c r="O178" s="18">
        <f t="shared" si="24"/>
        <v>17.625600000000002</v>
      </c>
      <c r="P178" s="18">
        <f t="shared" si="24"/>
        <v>6.0448</v>
      </c>
      <c r="Q178" s="19">
        <f t="shared" si="39"/>
        <v>14.700000000000001</v>
      </c>
      <c r="R178" s="126"/>
      <c r="S178" s="186">
        <f t="shared" si="27"/>
        <v>144.7398648</v>
      </c>
      <c r="T178" s="123"/>
      <c r="U178" s="123"/>
      <c r="V178" s="126"/>
      <c r="W178" s="44"/>
    </row>
    <row r="179" spans="1:23" s="4" customFormat="1" ht="15">
      <c r="A179" s="105" t="s">
        <v>64</v>
      </c>
      <c r="B179" s="42">
        <f t="shared" si="25"/>
        <v>362.57855</v>
      </c>
      <c r="C179" s="18">
        <f aca="true" t="shared" si="47" ref="C179:L179">C130*0.85</f>
        <v>48.9294</v>
      </c>
      <c r="D179" s="18">
        <f t="shared" si="47"/>
        <v>23.375</v>
      </c>
      <c r="E179" s="18">
        <f t="shared" si="47"/>
        <v>20.773999999999997</v>
      </c>
      <c r="F179" s="18">
        <f t="shared" si="47"/>
        <v>22.770649999999996</v>
      </c>
      <c r="G179" s="18">
        <f t="shared" si="47"/>
        <v>56.287</v>
      </c>
      <c r="H179" s="18">
        <f t="shared" si="47"/>
        <v>49.89075</v>
      </c>
      <c r="I179" s="18">
        <f t="shared" si="47"/>
        <v>25.636</v>
      </c>
      <c r="J179" s="18">
        <f t="shared" si="47"/>
        <v>24.847199999999997</v>
      </c>
      <c r="K179" s="18">
        <f t="shared" si="47"/>
        <v>39.97125</v>
      </c>
      <c r="L179" s="18">
        <f t="shared" si="47"/>
        <v>50.097300000000004</v>
      </c>
      <c r="M179" s="18">
        <f t="shared" si="23"/>
        <v>13.872224000000001</v>
      </c>
      <c r="N179" s="18">
        <f t="shared" si="24"/>
        <v>2.1</v>
      </c>
      <c r="O179" s="18">
        <f t="shared" si="24"/>
        <v>8.928864</v>
      </c>
      <c r="P179" s="18">
        <f t="shared" si="24"/>
        <v>2.8433600000000006</v>
      </c>
      <c r="Q179" s="19">
        <f t="shared" si="39"/>
        <v>7.000000000000001</v>
      </c>
      <c r="R179" s="126"/>
      <c r="S179" s="186">
        <f t="shared" si="27"/>
        <v>66.5718555</v>
      </c>
      <c r="T179" s="123"/>
      <c r="U179" s="123"/>
      <c r="V179" s="126"/>
      <c r="W179" s="44"/>
    </row>
    <row r="180" spans="1:23" s="4" customFormat="1" ht="15">
      <c r="A180" s="105" t="s">
        <v>65</v>
      </c>
      <c r="B180" s="42">
        <f t="shared" si="25"/>
        <v>672.18425</v>
      </c>
      <c r="C180" s="18">
        <f aca="true" t="shared" si="48" ref="C180:L180">C131*0.85</f>
        <v>93.58075</v>
      </c>
      <c r="D180" s="18">
        <f t="shared" si="48"/>
        <v>43.35</v>
      </c>
      <c r="E180" s="18">
        <f t="shared" si="48"/>
        <v>39.55049999999999</v>
      </c>
      <c r="F180" s="18">
        <f t="shared" si="48"/>
        <v>43.4231</v>
      </c>
      <c r="G180" s="18">
        <f t="shared" si="48"/>
        <v>107.338</v>
      </c>
      <c r="H180" s="18">
        <f t="shared" si="48"/>
        <v>95.1405</v>
      </c>
      <c r="I180" s="18">
        <f t="shared" si="48"/>
        <v>49.725</v>
      </c>
      <c r="J180" s="18">
        <f t="shared" si="48"/>
        <v>48.195</v>
      </c>
      <c r="K180" s="18">
        <f t="shared" si="48"/>
        <v>63.1125</v>
      </c>
      <c r="L180" s="18">
        <f t="shared" si="48"/>
        <v>88.7689</v>
      </c>
      <c r="M180" s="18">
        <f t="shared" si="23"/>
        <v>26.780896</v>
      </c>
      <c r="N180" s="18">
        <f t="shared" si="24"/>
        <v>4.3</v>
      </c>
      <c r="O180" s="18">
        <f t="shared" si="24"/>
        <v>17.027136</v>
      </c>
      <c r="P180" s="18">
        <f t="shared" si="24"/>
        <v>5.453760000000001</v>
      </c>
      <c r="Q180" s="19">
        <f t="shared" si="39"/>
        <v>14.700000000000001</v>
      </c>
      <c r="R180" s="126"/>
      <c r="S180" s="186">
        <f t="shared" si="27"/>
        <v>114.4144115</v>
      </c>
      <c r="T180" s="123"/>
      <c r="U180" s="123"/>
      <c r="V180" s="126"/>
      <c r="W180" s="44"/>
    </row>
    <row r="181" spans="1:23" s="4" customFormat="1" ht="15">
      <c r="A181" s="105" t="s">
        <v>66</v>
      </c>
      <c r="B181" s="42">
        <f t="shared" si="25"/>
        <v>783.1586300000001</v>
      </c>
      <c r="C181" s="18">
        <f aca="true" t="shared" si="49" ref="C181:L181">C132*0.82</f>
        <v>127.81667999999999</v>
      </c>
      <c r="D181" s="18">
        <f t="shared" si="49"/>
        <v>63.55</v>
      </c>
      <c r="E181" s="18">
        <f t="shared" si="49"/>
        <v>53.709999999999994</v>
      </c>
      <c r="F181" s="18">
        <f t="shared" si="49"/>
        <v>39.84093</v>
      </c>
      <c r="G181" s="18">
        <f t="shared" si="49"/>
        <v>91.83671999999999</v>
      </c>
      <c r="H181" s="18">
        <f t="shared" si="49"/>
        <v>90.036</v>
      </c>
      <c r="I181" s="18">
        <f t="shared" si="49"/>
        <v>54.95394</v>
      </c>
      <c r="J181" s="18">
        <f t="shared" si="49"/>
        <v>51.455</v>
      </c>
      <c r="K181" s="18">
        <f t="shared" si="49"/>
        <v>93.53084</v>
      </c>
      <c r="L181" s="18">
        <f t="shared" si="49"/>
        <v>116.42852</v>
      </c>
      <c r="M181" s="18">
        <f t="shared" si="23"/>
        <v>26.074064</v>
      </c>
      <c r="N181" s="18">
        <f t="shared" si="24"/>
        <v>5</v>
      </c>
      <c r="O181" s="18">
        <f t="shared" si="24"/>
        <v>15.415919999999998</v>
      </c>
      <c r="P181" s="18">
        <f t="shared" si="24"/>
        <v>5.658144</v>
      </c>
      <c r="Q181" s="19">
        <f t="shared" si="39"/>
        <v>17.5</v>
      </c>
      <c r="R181" s="126"/>
      <c r="S181" s="186">
        <f t="shared" si="27"/>
        <v>149.0608382</v>
      </c>
      <c r="T181" s="123"/>
      <c r="U181" s="123"/>
      <c r="V181" s="126"/>
      <c r="W181" s="44"/>
    </row>
    <row r="182" spans="1:23" s="4" customFormat="1" ht="15">
      <c r="A182" s="105" t="s">
        <v>67</v>
      </c>
      <c r="B182" s="42">
        <f t="shared" si="25"/>
        <v>1306.9522917000002</v>
      </c>
      <c r="C182" s="18">
        <f aca="true" t="shared" si="50" ref="C182:L182">C133*0.9999</f>
        <v>215.1794799</v>
      </c>
      <c r="D182" s="18">
        <f t="shared" si="50"/>
        <v>100.48995000000001</v>
      </c>
      <c r="E182" s="18">
        <f t="shared" si="50"/>
        <v>70.072992</v>
      </c>
      <c r="F182" s="18">
        <f t="shared" si="50"/>
        <v>66.803319</v>
      </c>
      <c r="G182" s="18">
        <f t="shared" si="50"/>
        <v>176.832315</v>
      </c>
      <c r="H182" s="18">
        <f t="shared" si="50"/>
        <v>156.39835860000002</v>
      </c>
      <c r="I182" s="18">
        <f t="shared" si="50"/>
        <v>83.20167900000001</v>
      </c>
      <c r="J182" s="18">
        <f t="shared" si="50"/>
        <v>78.49215</v>
      </c>
      <c r="K182" s="18">
        <f t="shared" si="50"/>
        <v>163.4216562</v>
      </c>
      <c r="L182" s="18">
        <f t="shared" si="50"/>
        <v>196.060392</v>
      </c>
      <c r="M182" s="18">
        <f t="shared" si="23"/>
        <v>37.059328</v>
      </c>
      <c r="N182" s="18">
        <f t="shared" si="24"/>
        <v>6</v>
      </c>
      <c r="O182" s="18">
        <f t="shared" si="24"/>
        <v>23.39136</v>
      </c>
      <c r="P182" s="18">
        <f t="shared" si="24"/>
        <v>7.667968000000001</v>
      </c>
      <c r="Q182" s="19">
        <f t="shared" si="39"/>
        <v>21.700000000000003</v>
      </c>
      <c r="R182" s="126"/>
      <c r="S182" s="186">
        <f t="shared" si="27"/>
        <v>248.77591992</v>
      </c>
      <c r="T182" s="123"/>
      <c r="U182" s="123"/>
      <c r="V182" s="126"/>
      <c r="W182" s="44"/>
    </row>
    <row r="183" spans="1:23" s="4" customFormat="1" ht="15">
      <c r="A183" s="105" t="s">
        <v>68</v>
      </c>
      <c r="B183" s="42">
        <f t="shared" si="25"/>
        <v>520.1409</v>
      </c>
      <c r="C183" s="18">
        <f aca="true" t="shared" si="51" ref="C183:L183">C134*0.86</f>
        <v>70.09</v>
      </c>
      <c r="D183" s="18">
        <f t="shared" si="51"/>
        <v>33.024</v>
      </c>
      <c r="E183" s="18">
        <f t="shared" si="51"/>
        <v>32.1984</v>
      </c>
      <c r="F183" s="18">
        <f t="shared" si="51"/>
        <v>32.843399999999995</v>
      </c>
      <c r="G183" s="18">
        <f t="shared" si="51"/>
        <v>72.6012</v>
      </c>
      <c r="H183" s="18">
        <f t="shared" si="51"/>
        <v>69.144</v>
      </c>
      <c r="I183" s="18">
        <f t="shared" si="51"/>
        <v>30.745</v>
      </c>
      <c r="J183" s="18">
        <f t="shared" si="51"/>
        <v>31.359900000000003</v>
      </c>
      <c r="K183" s="18">
        <f t="shared" si="51"/>
        <v>65.36</v>
      </c>
      <c r="L183" s="18">
        <f t="shared" si="51"/>
        <v>82.775</v>
      </c>
      <c r="M183" s="18">
        <f t="shared" si="23"/>
        <v>18.88736</v>
      </c>
      <c r="N183" s="18">
        <f t="shared" si="24"/>
        <v>3.4000000000000004</v>
      </c>
      <c r="O183" s="18">
        <f t="shared" si="24"/>
        <v>11.77056</v>
      </c>
      <c r="P183" s="18">
        <f t="shared" si="24"/>
        <v>3.7168</v>
      </c>
      <c r="Q183" s="19">
        <f t="shared" si="39"/>
        <v>11.9</v>
      </c>
      <c r="R183" s="126"/>
      <c r="S183" s="186">
        <f t="shared" si="27"/>
        <v>99.617025</v>
      </c>
      <c r="T183" s="123"/>
      <c r="U183" s="123"/>
      <c r="V183" s="126"/>
      <c r="W183" s="44"/>
    </row>
    <row r="184" spans="1:23" s="4" customFormat="1" ht="15">
      <c r="A184" s="105" t="s">
        <v>69</v>
      </c>
      <c r="B184" s="42">
        <f t="shared" si="25"/>
        <v>576.8354999999999</v>
      </c>
      <c r="C184" s="18">
        <f aca="true" t="shared" si="52" ref="C184:L184">C135*0.85</f>
        <v>76.925</v>
      </c>
      <c r="D184" s="18">
        <f t="shared" si="52"/>
        <v>36.72</v>
      </c>
      <c r="E184" s="18">
        <f t="shared" si="52"/>
        <v>35.495999999999995</v>
      </c>
      <c r="F184" s="18">
        <f t="shared" si="52"/>
        <v>36.822</v>
      </c>
      <c r="G184" s="18">
        <f t="shared" si="52"/>
        <v>81.39599999999999</v>
      </c>
      <c r="H184" s="18">
        <f t="shared" si="52"/>
        <v>77.52</v>
      </c>
      <c r="I184" s="18">
        <f t="shared" si="52"/>
        <v>31.662499999999998</v>
      </c>
      <c r="J184" s="18">
        <f t="shared" si="52"/>
        <v>32.29575</v>
      </c>
      <c r="K184" s="18">
        <f t="shared" si="52"/>
        <v>73.032</v>
      </c>
      <c r="L184" s="18">
        <f t="shared" si="52"/>
        <v>94.96625</v>
      </c>
      <c r="M184" s="18">
        <f t="shared" si="23"/>
        <v>20.86208</v>
      </c>
      <c r="N184" s="18">
        <f t="shared" si="24"/>
        <v>3.4000000000000004</v>
      </c>
      <c r="O184" s="18">
        <f t="shared" si="24"/>
        <v>13.35168</v>
      </c>
      <c r="P184" s="18">
        <f t="shared" si="24"/>
        <v>4.1104</v>
      </c>
      <c r="Q184" s="19">
        <f t="shared" si="39"/>
        <v>11.9</v>
      </c>
      <c r="R184" s="126"/>
      <c r="S184" s="186">
        <f t="shared" si="27"/>
        <v>108.65156875</v>
      </c>
      <c r="T184" s="123"/>
      <c r="U184" s="123"/>
      <c r="V184" s="126"/>
      <c r="W184" s="44"/>
    </row>
    <row r="185" spans="1:23" s="4" customFormat="1" ht="15">
      <c r="A185" s="105" t="s">
        <v>70</v>
      </c>
      <c r="B185" s="42">
        <f t="shared" si="25"/>
        <v>474.0279999999999</v>
      </c>
      <c r="C185" s="18">
        <f aca="true" t="shared" si="53" ref="C185:L185">C136*0.85</f>
        <v>62.9</v>
      </c>
      <c r="D185" s="18">
        <f t="shared" si="53"/>
        <v>33.15</v>
      </c>
      <c r="E185" s="18">
        <f t="shared" si="53"/>
        <v>30.599999999999998</v>
      </c>
      <c r="F185" s="18">
        <f t="shared" si="53"/>
        <v>29.63525</v>
      </c>
      <c r="G185" s="18">
        <f t="shared" si="53"/>
        <v>65.50949999999999</v>
      </c>
      <c r="H185" s="18">
        <f t="shared" si="53"/>
        <v>62.39</v>
      </c>
      <c r="I185" s="18">
        <f t="shared" si="53"/>
        <v>28.2625</v>
      </c>
      <c r="J185" s="18">
        <f t="shared" si="53"/>
        <v>28.827749999999998</v>
      </c>
      <c r="K185" s="18">
        <f t="shared" si="53"/>
        <v>57.93599999999999</v>
      </c>
      <c r="L185" s="18">
        <f t="shared" si="53"/>
        <v>74.81700000000001</v>
      </c>
      <c r="M185" s="18">
        <f t="shared" si="23"/>
        <v>17.15856</v>
      </c>
      <c r="N185" s="18">
        <f t="shared" si="24"/>
        <v>3</v>
      </c>
      <c r="O185" s="18">
        <f t="shared" si="24"/>
        <v>10.74576</v>
      </c>
      <c r="P185" s="18">
        <f t="shared" si="24"/>
        <v>3.4128000000000003</v>
      </c>
      <c r="Q185" s="19">
        <f t="shared" si="39"/>
        <v>10.500000000000002</v>
      </c>
      <c r="R185" s="126"/>
      <c r="S185" s="186">
        <f t="shared" si="27"/>
        <v>89.38234499999999</v>
      </c>
      <c r="T185" s="123"/>
      <c r="U185" s="123"/>
      <c r="V185" s="126"/>
      <c r="W185" s="44"/>
    </row>
    <row r="186" spans="1:23" s="4" customFormat="1" ht="15">
      <c r="A186" s="105" t="s">
        <v>71</v>
      </c>
      <c r="B186" s="42">
        <f t="shared" si="25"/>
        <v>1102.0429450000001</v>
      </c>
      <c r="C186" s="18">
        <f aca="true" t="shared" si="54" ref="C186:L186">C137*0.89</f>
        <v>142.4</v>
      </c>
      <c r="D186" s="18">
        <f t="shared" si="54"/>
        <v>68.975</v>
      </c>
      <c r="E186" s="18">
        <f t="shared" si="54"/>
        <v>65.415</v>
      </c>
      <c r="F186" s="18">
        <f t="shared" si="54"/>
        <v>70.74432</v>
      </c>
      <c r="G186" s="18">
        <f t="shared" si="54"/>
        <v>165.3264</v>
      </c>
      <c r="H186" s="18">
        <f t="shared" si="54"/>
        <v>143.79552</v>
      </c>
      <c r="I186" s="18">
        <f t="shared" si="54"/>
        <v>68.93406</v>
      </c>
      <c r="J186" s="18">
        <f t="shared" si="54"/>
        <v>75.26774499999999</v>
      </c>
      <c r="K186" s="18">
        <f t="shared" si="54"/>
        <v>125.0717</v>
      </c>
      <c r="L186" s="18">
        <f t="shared" si="54"/>
        <v>176.1132</v>
      </c>
      <c r="M186" s="18">
        <f t="shared" si="23"/>
        <v>38.112512</v>
      </c>
      <c r="N186" s="18">
        <f t="shared" si="24"/>
        <v>5</v>
      </c>
      <c r="O186" s="18">
        <f t="shared" si="24"/>
        <v>25.463808</v>
      </c>
      <c r="P186" s="18">
        <f t="shared" si="24"/>
        <v>7.648704000000001</v>
      </c>
      <c r="Q186" s="19">
        <f t="shared" si="39"/>
        <v>17.5</v>
      </c>
      <c r="R186" s="126"/>
      <c r="S186" s="186">
        <f t="shared" si="27"/>
        <v>206.503407</v>
      </c>
      <c r="T186" s="123"/>
      <c r="U186" s="123"/>
      <c r="V186" s="126"/>
      <c r="W186" s="44"/>
    </row>
    <row r="187" spans="1:23" s="4" customFormat="1" ht="15">
      <c r="A187" s="105" t="s">
        <v>72</v>
      </c>
      <c r="B187" s="42">
        <f t="shared" si="25"/>
        <v>683.8326</v>
      </c>
      <c r="C187" s="18">
        <f aca="true" t="shared" si="55" ref="C187:L187">C138*0.99</f>
        <v>90.8523</v>
      </c>
      <c r="D187" s="18">
        <f t="shared" si="55"/>
        <v>42.857099999999996</v>
      </c>
      <c r="E187" s="18">
        <f t="shared" si="55"/>
        <v>43.79067</v>
      </c>
      <c r="F187" s="18">
        <f t="shared" si="55"/>
        <v>45.144</v>
      </c>
      <c r="G187" s="18">
        <f t="shared" si="55"/>
        <v>101.10375</v>
      </c>
      <c r="H187" s="18">
        <f t="shared" si="55"/>
        <v>89.3475</v>
      </c>
      <c r="I187" s="18">
        <f t="shared" si="55"/>
        <v>38.41299</v>
      </c>
      <c r="J187" s="18">
        <f t="shared" si="55"/>
        <v>43.19469</v>
      </c>
      <c r="K187" s="18">
        <f t="shared" si="55"/>
        <v>88.3575</v>
      </c>
      <c r="L187" s="18">
        <f t="shared" si="55"/>
        <v>100.77210000000001</v>
      </c>
      <c r="M187" s="18">
        <f t="shared" si="23"/>
        <v>21.511232000000003</v>
      </c>
      <c r="N187" s="18">
        <f t="shared" si="24"/>
        <v>3.2</v>
      </c>
      <c r="O187" s="18">
        <f t="shared" si="24"/>
        <v>14.181600000000001</v>
      </c>
      <c r="P187" s="18">
        <f t="shared" si="24"/>
        <v>4.129632</v>
      </c>
      <c r="Q187" s="20">
        <f t="shared" si="39"/>
        <v>11.200000000000001</v>
      </c>
      <c r="R187" s="126"/>
      <c r="S187" s="186">
        <f t="shared" si="27"/>
        <v>135.0792135</v>
      </c>
      <c r="T187" s="123"/>
      <c r="U187" s="123"/>
      <c r="V187" s="126"/>
      <c r="W187" s="44"/>
    </row>
    <row r="188" spans="1:21" s="4" customFormat="1" ht="15">
      <c r="A188" s="15"/>
      <c r="B188" s="42"/>
      <c r="K188" s="59"/>
      <c r="L188" s="61"/>
      <c r="Q188" s="114"/>
      <c r="R188" s="44"/>
      <c r="S188" s="44"/>
      <c r="T188" s="44"/>
      <c r="U188" s="123"/>
    </row>
    <row r="189" spans="1:18" s="4" customFormat="1" ht="15">
      <c r="A189" s="15" t="s">
        <v>18</v>
      </c>
      <c r="B189" s="42">
        <f>SUM(C189:K189)</f>
        <v>0</v>
      </c>
      <c r="K189" s="59"/>
      <c r="L189" s="61"/>
      <c r="Q189" s="114"/>
      <c r="R189"/>
    </row>
    <row r="190" spans="1:18" s="4" customFormat="1" ht="15">
      <c r="A190" s="38"/>
      <c r="B190" s="38"/>
      <c r="C190" s="22"/>
      <c r="D190" s="22"/>
      <c r="E190" s="22"/>
      <c r="F190" s="22"/>
      <c r="G190" s="22"/>
      <c r="H190" s="22"/>
      <c r="I190" s="22"/>
      <c r="J190" s="22"/>
      <c r="K190" s="112"/>
      <c r="L190" s="25"/>
      <c r="M190" s="22"/>
      <c r="N190" s="22"/>
      <c r="O190" s="22"/>
      <c r="P190" s="22"/>
      <c r="Q190" s="130"/>
      <c r="R190" s="3"/>
    </row>
    <row r="191" s="4" customFormat="1" ht="15"/>
    <row r="192" s="4" customFormat="1" ht="15"/>
    <row r="193" s="4" customFormat="1" ht="15"/>
    <row r="194" s="4" customFormat="1" ht="15"/>
    <row r="195" s="4" customFormat="1" ht="15">
      <c r="E195" s="4" t="s">
        <v>36</v>
      </c>
    </row>
    <row r="196" s="4" customFormat="1" ht="15"/>
    <row r="197" s="4" customFormat="1" ht="15">
      <c r="G197" s="4" t="str">
        <f>+G3</f>
        <v>           SERVICIO DE SALUD ACONCAGUA  2020</v>
      </c>
    </row>
    <row r="198" spans="8:12" s="4" customFormat="1" ht="15">
      <c r="H198" s="5"/>
      <c r="I198" s="5"/>
      <c r="J198" s="5"/>
      <c r="K198" s="5"/>
      <c r="L198" s="5"/>
    </row>
    <row r="199" s="4" customFormat="1" ht="15"/>
    <row r="200" spans="1:19" s="4" customFormat="1" ht="15">
      <c r="A200" s="6"/>
      <c r="B200" s="7"/>
      <c r="C200" s="6"/>
      <c r="D200" s="8"/>
      <c r="E200" s="8"/>
      <c r="F200" s="8"/>
      <c r="G200" s="8"/>
      <c r="H200" s="8"/>
      <c r="I200" s="10"/>
      <c r="J200" s="11"/>
      <c r="K200" s="12"/>
      <c r="L200" s="10"/>
      <c r="M200" s="11"/>
      <c r="N200" s="11"/>
      <c r="O200" s="11"/>
      <c r="P200" s="11"/>
      <c r="Q200" s="11"/>
      <c r="R200" s="13"/>
      <c r="S200"/>
    </row>
    <row r="201" spans="1:19" s="4" customFormat="1" ht="15">
      <c r="A201" s="14"/>
      <c r="B201" s="15"/>
      <c r="C201" s="14"/>
      <c r="D201" s="59"/>
      <c r="E201" s="4" t="s">
        <v>2</v>
      </c>
      <c r="I201" s="17" t="s">
        <v>20</v>
      </c>
      <c r="J201" s="18"/>
      <c r="K201" s="19"/>
      <c r="L201" s="17"/>
      <c r="M201" s="214" t="s">
        <v>21</v>
      </c>
      <c r="N201" s="214"/>
      <c r="O201" s="214"/>
      <c r="P201" s="214"/>
      <c r="Q201" s="214"/>
      <c r="R201" s="20"/>
      <c r="S201"/>
    </row>
    <row r="202" spans="1:19" s="4" customFormat="1" ht="15">
      <c r="A202" s="14"/>
      <c r="B202" s="15"/>
      <c r="C202" s="21"/>
      <c r="D202" s="22"/>
      <c r="E202" s="22"/>
      <c r="F202" s="22"/>
      <c r="G202" s="22"/>
      <c r="H202" s="22"/>
      <c r="I202" s="24"/>
      <c r="J202" s="25"/>
      <c r="K202" s="26"/>
      <c r="L202" s="24"/>
      <c r="M202" s="25"/>
      <c r="N202" s="25"/>
      <c r="O202" s="25"/>
      <c r="P202" s="25"/>
      <c r="Q202" s="25"/>
      <c r="R202" s="27"/>
      <c r="S202"/>
    </row>
    <row r="203" spans="1:19" s="4" customFormat="1" ht="15">
      <c r="A203" s="14"/>
      <c r="B203" s="28" t="s">
        <v>5</v>
      </c>
      <c r="C203" s="14"/>
      <c r="D203" s="59"/>
      <c r="I203" s="29"/>
      <c r="J203" s="30"/>
      <c r="K203" s="31"/>
      <c r="L203" s="29"/>
      <c r="M203" s="30"/>
      <c r="N203" s="30"/>
      <c r="O203" s="30"/>
      <c r="P203" s="30"/>
      <c r="Q203" s="30"/>
      <c r="R203" s="32"/>
      <c r="S203"/>
    </row>
    <row r="204" spans="1:19" s="4" customFormat="1" ht="15">
      <c r="A204" s="33" t="s">
        <v>6</v>
      </c>
      <c r="B204" s="15"/>
      <c r="C204" s="14"/>
      <c r="D204" s="59"/>
      <c r="E204" s="86" t="s">
        <v>75</v>
      </c>
      <c r="F204" s="86" t="s">
        <v>76</v>
      </c>
      <c r="G204" s="5" t="s">
        <v>7</v>
      </c>
      <c r="H204" s="34" t="s">
        <v>8</v>
      </c>
      <c r="I204" s="35"/>
      <c r="J204" s="36" t="s">
        <v>9</v>
      </c>
      <c r="K204" s="37" t="s">
        <v>10</v>
      </c>
      <c r="L204" s="35"/>
      <c r="M204" s="36" t="s">
        <v>11</v>
      </c>
      <c r="N204" s="76" t="s">
        <v>77</v>
      </c>
      <c r="O204" s="76" t="s">
        <v>54</v>
      </c>
      <c r="P204" s="76" t="s">
        <v>49</v>
      </c>
      <c r="Q204" s="76" t="s">
        <v>34</v>
      </c>
      <c r="R204" s="77" t="s">
        <v>35</v>
      </c>
      <c r="S204"/>
    </row>
    <row r="205" spans="1:19" s="4" customFormat="1" ht="15">
      <c r="A205" s="14"/>
      <c r="B205" s="28" t="s">
        <v>12</v>
      </c>
      <c r="C205" s="33" t="s">
        <v>13</v>
      </c>
      <c r="D205" s="5" t="s">
        <v>14</v>
      </c>
      <c r="E205" s="76" t="s">
        <v>15</v>
      </c>
      <c r="F205" s="76" t="s">
        <v>15</v>
      </c>
      <c r="G205" s="5" t="s">
        <v>16</v>
      </c>
      <c r="H205" s="34" t="s">
        <v>16</v>
      </c>
      <c r="I205" s="35" t="s">
        <v>13</v>
      </c>
      <c r="J205" s="36" t="s">
        <v>16</v>
      </c>
      <c r="K205" s="37" t="s">
        <v>16</v>
      </c>
      <c r="L205" s="35" t="s">
        <v>13</v>
      </c>
      <c r="M205" s="36" t="s">
        <v>16</v>
      </c>
      <c r="N205" s="76" t="s">
        <v>16</v>
      </c>
      <c r="O205" s="76" t="s">
        <v>16</v>
      </c>
      <c r="P205" s="76" t="s">
        <v>16</v>
      </c>
      <c r="Q205" s="76" t="s">
        <v>16</v>
      </c>
      <c r="R205" s="77" t="s">
        <v>16</v>
      </c>
      <c r="S205"/>
    </row>
    <row r="206" spans="1:19" s="4" customFormat="1" ht="15">
      <c r="A206" s="21"/>
      <c r="B206" s="38"/>
      <c r="C206" s="21"/>
      <c r="D206" s="22"/>
      <c r="E206" s="22"/>
      <c r="F206" s="22"/>
      <c r="G206" s="22"/>
      <c r="H206" s="23"/>
      <c r="I206" s="39"/>
      <c r="J206" s="40"/>
      <c r="K206" s="41"/>
      <c r="L206" s="24"/>
      <c r="M206" s="25"/>
      <c r="N206" s="25"/>
      <c r="O206" s="25"/>
      <c r="P206" s="25"/>
      <c r="Q206" s="25"/>
      <c r="R206" s="27"/>
      <c r="S206"/>
    </row>
    <row r="207" spans="1:19" s="4" customFormat="1" ht="17.25" customHeight="1">
      <c r="A207" s="14" t="s">
        <v>37</v>
      </c>
      <c r="B207" s="42">
        <f>SUM(C207,I207,L207)</f>
        <v>156869.359508</v>
      </c>
      <c r="C207" s="17">
        <f>SUM(D207:H207)</f>
        <v>25358.186744</v>
      </c>
      <c r="D207" s="18">
        <f>D211-D208</f>
        <v>2312.618</v>
      </c>
      <c r="E207" s="18">
        <f>E211-E208</f>
        <v>1162.9164799999999</v>
      </c>
      <c r="F207" s="18">
        <f>F211-F208</f>
        <v>1148.380024</v>
      </c>
      <c r="G207" s="18">
        <f>G211-G208</f>
        <v>10109.4444</v>
      </c>
      <c r="H207" s="18">
        <f>H211-H208</f>
        <v>10624.82784</v>
      </c>
      <c r="I207" s="17">
        <f>SUM(J207:K207)</f>
        <v>20176.389668</v>
      </c>
      <c r="J207" s="18">
        <f>J211-J208</f>
        <v>10494.026286</v>
      </c>
      <c r="K207" s="18">
        <f>K211-K208</f>
        <v>9682.363382</v>
      </c>
      <c r="L207" s="95">
        <f>+M207+O207+P207+Q207+R207</f>
        <v>111334.783096</v>
      </c>
      <c r="M207" s="18">
        <f aca="true" t="shared" si="56" ref="M207:R207">M211-M208</f>
        <v>54832.522860000005</v>
      </c>
      <c r="N207" s="18">
        <f t="shared" si="56"/>
        <v>44919.798559999996</v>
      </c>
      <c r="O207" s="18">
        <f t="shared" si="56"/>
        <v>19358.115292000002</v>
      </c>
      <c r="P207" s="18">
        <f t="shared" si="56"/>
        <v>17260.74916</v>
      </c>
      <c r="Q207" s="18">
        <f t="shared" si="56"/>
        <v>6743.871811999999</v>
      </c>
      <c r="R207" s="18">
        <f t="shared" si="56"/>
        <v>13139.523971999999</v>
      </c>
      <c r="S207"/>
    </row>
    <row r="208" spans="1:19" s="4" customFormat="1" ht="17.25" customHeight="1">
      <c r="A208" s="14" t="s">
        <v>38</v>
      </c>
      <c r="B208" s="42">
        <f>SUM(C208,I208,L208)</f>
        <v>87231.956172</v>
      </c>
      <c r="C208" s="17">
        <f>SUM(D208:H208)</f>
        <v>11814.360276</v>
      </c>
      <c r="D208" s="18">
        <f>+E13*0.307842</f>
        <v>1077.4470000000001</v>
      </c>
      <c r="E208" s="18">
        <f>+F13*0.307842</f>
        <v>541.80192</v>
      </c>
      <c r="F208" s="18">
        <f>+G13*0.307842</f>
        <v>535.029396</v>
      </c>
      <c r="G208" s="18">
        <f>+H13*0.307842</f>
        <v>4709.9826</v>
      </c>
      <c r="H208" s="18">
        <f>+I13*0.307842</f>
        <v>4950.09936</v>
      </c>
      <c r="I208" s="17">
        <f>SUM(J208:K208)</f>
        <v>11539.765212</v>
      </c>
      <c r="J208" s="18">
        <f>+K13*0.307842</f>
        <v>6001.995474</v>
      </c>
      <c r="K208" s="18">
        <f>+L13*0.307842</f>
        <v>5537.769738</v>
      </c>
      <c r="L208" s="95">
        <f>+M208+O208+P208+Q208+R208</f>
        <v>63877.830684</v>
      </c>
      <c r="M208" s="18">
        <f aca="true" t="shared" si="57" ref="M208:R208">+N13*0.307842</f>
        <v>31459.91319</v>
      </c>
      <c r="N208" s="18">
        <f t="shared" si="57"/>
        <v>25772.53224</v>
      </c>
      <c r="O208" s="18">
        <f t="shared" si="57"/>
        <v>11106.631518</v>
      </c>
      <c r="P208" s="18">
        <f t="shared" si="57"/>
        <v>9903.27714</v>
      </c>
      <c r="Q208" s="18">
        <f t="shared" si="57"/>
        <v>3869.266098</v>
      </c>
      <c r="R208" s="18">
        <f t="shared" si="57"/>
        <v>7538.742738</v>
      </c>
      <c r="S208"/>
    </row>
    <row r="209" spans="1:19" s="4" customFormat="1" ht="17.25" customHeight="1">
      <c r="A209" s="14" t="s">
        <v>39</v>
      </c>
      <c r="B209" s="42">
        <f>SUM(C209,I209,L209)</f>
        <v>39500.572799999994</v>
      </c>
      <c r="C209" s="17">
        <f>SUM(D209:H209)</f>
        <v>5558.686</v>
      </c>
      <c r="D209" s="18">
        <f>+E61+E68+E88</f>
        <v>483.45</v>
      </c>
      <c r="E209" s="18">
        <f>+F61+F68+F88</f>
        <v>245.897</v>
      </c>
      <c r="F209" s="18">
        <f>+G61+G68+G88</f>
        <v>241.404</v>
      </c>
      <c r="G209" s="18">
        <f>+H61+H68+H88</f>
        <v>2309.279</v>
      </c>
      <c r="H209" s="18">
        <f>+I61+I68+I88</f>
        <v>2278.656</v>
      </c>
      <c r="I209" s="17">
        <f>SUM(J209:K209)</f>
        <v>5179.9580000000005</v>
      </c>
      <c r="J209" s="18">
        <f>+K61+K68+K88</f>
        <v>2674.754</v>
      </c>
      <c r="K209" s="18">
        <f>+L61+L68+L88</f>
        <v>2505.204</v>
      </c>
      <c r="L209" s="95">
        <f>+M209+O209+P209+Q209+R209</f>
        <v>28761.928799999998</v>
      </c>
      <c r="M209" s="18">
        <f aca="true" t="shared" si="58" ref="M209:R209">+N61+N68+N88</f>
        <v>13876.51</v>
      </c>
      <c r="N209" s="18">
        <f t="shared" si="58"/>
        <v>11138.721999999998</v>
      </c>
      <c r="O209" s="18">
        <f t="shared" si="58"/>
        <v>4985.936</v>
      </c>
      <c r="P209" s="18">
        <f t="shared" si="58"/>
        <v>4312.934</v>
      </c>
      <c r="Q209" s="18">
        <f t="shared" si="58"/>
        <v>1784.4379999999999</v>
      </c>
      <c r="R209" s="18">
        <f t="shared" si="58"/>
        <v>3802.1108</v>
      </c>
      <c r="S209"/>
    </row>
    <row r="210" spans="1:19" s="4" customFormat="1" ht="17.25" customHeight="1">
      <c r="A210" s="14" t="s">
        <v>40</v>
      </c>
      <c r="B210" s="42">
        <f>SUM(C210,I210,L210)</f>
        <v>14359.861499999999</v>
      </c>
      <c r="C210" s="17">
        <f>SUM(D210:H210)</f>
        <v>1837.656</v>
      </c>
      <c r="D210" s="18">
        <f>+E69+E83+E84+E85+E86</f>
        <v>170.06800000000004</v>
      </c>
      <c r="E210" s="18">
        <f>+F69+F83+F84+F85+F86</f>
        <v>83.807</v>
      </c>
      <c r="F210" s="18">
        <f>+G69+G83+G84+G85+G86</f>
        <v>78.864</v>
      </c>
      <c r="G210" s="18">
        <f>+H69+H83+H84+H85+H86</f>
        <v>741.636</v>
      </c>
      <c r="H210" s="18">
        <f>+I69+I83+I84+I85+I86</f>
        <v>763.2810000000001</v>
      </c>
      <c r="I210" s="17">
        <f>SUM(J210:K210)</f>
        <v>1861.2060000000001</v>
      </c>
      <c r="J210" s="18">
        <f>+K69+K83+K84+K85+K86</f>
        <v>903.526</v>
      </c>
      <c r="K210" s="18">
        <f>+L69+L83+L84+L85+L86</f>
        <v>957.6800000000001</v>
      </c>
      <c r="L210" s="95">
        <f>+M210+O210+P210+Q210+R210</f>
        <v>10660.9995</v>
      </c>
      <c r="M210" s="18">
        <f aca="true" t="shared" si="59" ref="M210:R210">+N69+N83+N84+N85+N86</f>
        <v>4631.963000000001</v>
      </c>
      <c r="N210" s="18">
        <f t="shared" si="59"/>
        <v>3852.984</v>
      </c>
      <c r="O210" s="18">
        <f t="shared" si="59"/>
        <v>2005.683</v>
      </c>
      <c r="P210" s="18">
        <f t="shared" si="59"/>
        <v>1621.2580000000003</v>
      </c>
      <c r="Q210" s="18">
        <f t="shared" si="59"/>
        <v>697.57</v>
      </c>
      <c r="R210" s="18">
        <f t="shared" si="59"/>
        <v>1704.5255000000002</v>
      </c>
      <c r="S210"/>
    </row>
    <row r="211" spans="1:19" s="4" customFormat="1" ht="17.25" customHeight="1">
      <c r="A211" s="14" t="s">
        <v>41</v>
      </c>
      <c r="B211" s="42">
        <f>SUM(C211,I211,L211)</f>
        <v>244101.31568</v>
      </c>
      <c r="C211" s="17">
        <f>SUM(D211:H211)</f>
        <v>37172.54702</v>
      </c>
      <c r="D211" s="18">
        <f>+E13*0.96859</f>
        <v>3390.065</v>
      </c>
      <c r="E211" s="18">
        <f>+F13*0.96859</f>
        <v>1704.7184</v>
      </c>
      <c r="F211" s="18">
        <f>+G13*0.96859</f>
        <v>1683.40942</v>
      </c>
      <c r="G211" s="18">
        <f>+H13*0.96859</f>
        <v>14819.427</v>
      </c>
      <c r="H211" s="18">
        <f>+I13*0.96859</f>
        <v>15574.9272</v>
      </c>
      <c r="I211" s="17">
        <f>SUM(J211:K211)</f>
        <v>31716.154880000002</v>
      </c>
      <c r="J211" s="18">
        <f>+K13*0.84608</f>
        <v>16496.02176</v>
      </c>
      <c r="K211" s="18">
        <f>+L13*0.84608</f>
        <v>15220.13312</v>
      </c>
      <c r="L211" s="95">
        <f>+M211+O211+P211+Q211+R211</f>
        <v>175212.61377999999</v>
      </c>
      <c r="M211" s="18">
        <f aca="true" t="shared" si="60" ref="M211:R211">+N13*0.84439</f>
        <v>86292.43605</v>
      </c>
      <c r="N211" s="18">
        <f t="shared" si="60"/>
        <v>70692.3308</v>
      </c>
      <c r="O211" s="18">
        <f t="shared" si="60"/>
        <v>30464.74681</v>
      </c>
      <c r="P211" s="18">
        <f t="shared" si="60"/>
        <v>27164.026299999998</v>
      </c>
      <c r="Q211" s="18">
        <f t="shared" si="60"/>
        <v>10613.13791</v>
      </c>
      <c r="R211" s="18">
        <f t="shared" si="60"/>
        <v>20678.26671</v>
      </c>
      <c r="S211"/>
    </row>
    <row r="212" spans="1:19" s="4" customFormat="1" ht="15">
      <c r="A212" s="21"/>
      <c r="B212" s="43"/>
      <c r="C212" s="24"/>
      <c r="D212" s="25"/>
      <c r="E212" s="25"/>
      <c r="F212" s="25"/>
      <c r="G212" s="25"/>
      <c r="H212" s="25"/>
      <c r="I212" s="24"/>
      <c r="J212" s="25"/>
      <c r="K212" s="26"/>
      <c r="L212" s="24"/>
      <c r="M212" s="25"/>
      <c r="N212" s="25"/>
      <c r="O212" s="25"/>
      <c r="P212" s="25"/>
      <c r="Q212" s="25"/>
      <c r="R212" s="27"/>
      <c r="S212"/>
    </row>
    <row r="213" s="4" customFormat="1" ht="15">
      <c r="B213" s="44"/>
    </row>
    <row r="214" s="4" customFormat="1" ht="15"/>
    <row r="215" spans="1:8" s="4" customFormat="1" ht="15">
      <c r="A215" s="45" t="s">
        <v>42</v>
      </c>
      <c r="B215" s="46" t="s">
        <v>43</v>
      </c>
      <c r="C215" s="46"/>
      <c r="D215" s="46"/>
      <c r="E215" s="46"/>
      <c r="F215" s="46"/>
      <c r="G215" s="46"/>
      <c r="H215" s="46"/>
    </row>
    <row r="216" spans="1:8" s="4" customFormat="1" ht="15">
      <c r="A216" s="46"/>
      <c r="B216" s="46" t="s">
        <v>44</v>
      </c>
      <c r="C216" s="46"/>
      <c r="D216" s="46"/>
      <c r="E216" s="46"/>
      <c r="F216" s="46"/>
      <c r="G216" s="46"/>
      <c r="H216" s="46"/>
    </row>
    <row r="217" spans="1:8" s="4" customFormat="1" ht="15">
      <c r="A217" s="46"/>
      <c r="B217" s="46" t="s">
        <v>45</v>
      </c>
      <c r="C217" s="46"/>
      <c r="D217" s="46"/>
      <c r="E217" s="46"/>
      <c r="F217" s="46"/>
      <c r="G217" s="46"/>
      <c r="H217" s="46"/>
    </row>
    <row r="218" spans="1:8" s="4" customFormat="1" ht="15">
      <c r="A218" s="46"/>
      <c r="B218" s="46" t="s">
        <v>46</v>
      </c>
      <c r="C218" s="46"/>
      <c r="D218" s="46"/>
      <c r="E218" s="46"/>
      <c r="F218" s="46"/>
      <c r="G218" s="46"/>
      <c r="H218" s="46"/>
    </row>
    <row r="219" spans="1:8" s="4" customFormat="1" ht="15">
      <c r="A219" s="46"/>
      <c r="B219" s="46" t="s">
        <v>47</v>
      </c>
      <c r="C219" s="46"/>
      <c r="D219" s="46"/>
      <c r="E219" s="46"/>
      <c r="F219" s="46"/>
      <c r="G219" s="46"/>
      <c r="H219" s="46"/>
    </row>
    <row r="220" s="4" customFormat="1" ht="15"/>
    <row r="221" s="4" customFormat="1" ht="15"/>
    <row r="222" s="4" customFormat="1" ht="15">
      <c r="E222" s="4" t="s">
        <v>48</v>
      </c>
    </row>
    <row r="223" s="4" customFormat="1" ht="15"/>
    <row r="224" s="4" customFormat="1" ht="15.75" thickBot="1"/>
    <row r="225" spans="1:18" s="4" customFormat="1" ht="15">
      <c r="A225" s="149"/>
      <c r="B225" s="150"/>
      <c r="C225" s="151"/>
      <c r="D225" s="152"/>
      <c r="E225" s="152"/>
      <c r="F225" s="152"/>
      <c r="G225" s="152"/>
      <c r="H225" s="152"/>
      <c r="I225" s="152"/>
      <c r="J225" s="152"/>
      <c r="K225" s="153"/>
      <c r="L225" s="152"/>
      <c r="M225" s="152"/>
      <c r="N225" s="152"/>
      <c r="O225" s="154"/>
      <c r="P225"/>
      <c r="Q225"/>
      <c r="R225"/>
    </row>
    <row r="226" spans="1:18" s="4" customFormat="1" ht="15">
      <c r="A226" s="147"/>
      <c r="B226" s="15"/>
      <c r="C226" s="14"/>
      <c r="D226" s="59"/>
      <c r="E226" s="155" t="s">
        <v>23</v>
      </c>
      <c r="F226" s="155"/>
      <c r="G226" s="155"/>
      <c r="H226" s="155"/>
      <c r="I226" s="155"/>
      <c r="J226" s="155"/>
      <c r="K226" s="121"/>
      <c r="L226" s="59"/>
      <c r="M226" s="59" t="s">
        <v>24</v>
      </c>
      <c r="N226" s="59"/>
      <c r="O226" s="156" t="s">
        <v>25</v>
      </c>
      <c r="P226"/>
      <c r="Q226"/>
      <c r="R226"/>
    </row>
    <row r="227" spans="1:18" s="4" customFormat="1" ht="15">
      <c r="A227" s="147"/>
      <c r="B227" s="15"/>
      <c r="C227" s="21"/>
      <c r="D227" s="22"/>
      <c r="E227" s="22"/>
      <c r="F227" s="22"/>
      <c r="G227" s="22"/>
      <c r="H227" s="22"/>
      <c r="I227" s="22"/>
      <c r="J227" s="22"/>
      <c r="K227" s="115"/>
      <c r="L227" s="22"/>
      <c r="M227" s="22"/>
      <c r="N227" s="22"/>
      <c r="O227" s="156"/>
      <c r="P227"/>
      <c r="Q227"/>
      <c r="R227"/>
    </row>
    <row r="228" spans="1:18" s="4" customFormat="1" ht="15">
      <c r="A228" s="147"/>
      <c r="B228" s="28" t="s">
        <v>5</v>
      </c>
      <c r="C228" s="14"/>
      <c r="D228" s="59"/>
      <c r="E228" s="59"/>
      <c r="F228" s="59"/>
      <c r="G228" s="59"/>
      <c r="H228" s="59"/>
      <c r="I228" s="59"/>
      <c r="J228" s="59"/>
      <c r="K228" s="117"/>
      <c r="L228" s="47"/>
      <c r="M228" s="47"/>
      <c r="N228" s="47"/>
      <c r="O228" s="156" t="s">
        <v>26</v>
      </c>
      <c r="P228"/>
      <c r="Q228"/>
      <c r="R228"/>
    </row>
    <row r="229" spans="1:18" s="4" customFormat="1" ht="15">
      <c r="A229" s="157" t="s">
        <v>6</v>
      </c>
      <c r="B229" s="15"/>
      <c r="C229" s="33" t="s">
        <v>27</v>
      </c>
      <c r="D229" s="60" t="s">
        <v>9</v>
      </c>
      <c r="E229" s="60" t="s">
        <v>10</v>
      </c>
      <c r="F229" s="48" t="s">
        <v>11</v>
      </c>
      <c r="G229" s="76" t="s">
        <v>54</v>
      </c>
      <c r="H229" s="76" t="s">
        <v>49</v>
      </c>
      <c r="I229" s="76" t="s">
        <v>34</v>
      </c>
      <c r="J229" s="76" t="s">
        <v>35</v>
      </c>
      <c r="K229" s="118" t="s">
        <v>12</v>
      </c>
      <c r="L229" s="60" t="s">
        <v>30</v>
      </c>
      <c r="M229" s="60" t="s">
        <v>31</v>
      </c>
      <c r="N229" s="60" t="s">
        <v>83</v>
      </c>
      <c r="O229" s="156"/>
      <c r="P229"/>
      <c r="Q229"/>
      <c r="R229"/>
    </row>
    <row r="230" spans="1:18" s="4" customFormat="1" ht="15">
      <c r="A230" s="147"/>
      <c r="B230" s="28" t="s">
        <v>12</v>
      </c>
      <c r="C230" s="60" t="s">
        <v>16</v>
      </c>
      <c r="D230" s="60" t="s">
        <v>16</v>
      </c>
      <c r="E230" s="60" t="s">
        <v>16</v>
      </c>
      <c r="F230" s="48" t="s">
        <v>16</v>
      </c>
      <c r="G230" s="76" t="s">
        <v>16</v>
      </c>
      <c r="H230" s="76" t="s">
        <v>16</v>
      </c>
      <c r="I230" s="76" t="s">
        <v>16</v>
      </c>
      <c r="J230" s="76" t="s">
        <v>16</v>
      </c>
      <c r="K230" s="118"/>
      <c r="L230" s="60" t="s">
        <v>16</v>
      </c>
      <c r="M230" s="60" t="s">
        <v>16</v>
      </c>
      <c r="N230" s="60" t="s">
        <v>16</v>
      </c>
      <c r="O230" s="156" t="s">
        <v>32</v>
      </c>
      <c r="P230"/>
      <c r="Q230"/>
      <c r="R230"/>
    </row>
    <row r="231" spans="1:18" s="4" customFormat="1" ht="15">
      <c r="A231" s="158"/>
      <c r="B231" s="38"/>
      <c r="C231" s="21"/>
      <c r="D231" s="22"/>
      <c r="E231" s="22"/>
      <c r="F231" s="22"/>
      <c r="G231" s="22"/>
      <c r="H231" s="22"/>
      <c r="I231" s="22"/>
      <c r="J231" s="22"/>
      <c r="K231" s="115"/>
      <c r="L231" s="22"/>
      <c r="M231" s="22"/>
      <c r="N231" s="22"/>
      <c r="O231" s="159"/>
      <c r="P231"/>
      <c r="Q231"/>
      <c r="R231"/>
    </row>
    <row r="232" spans="1:18" s="4" customFormat="1" ht="15.75" customHeight="1">
      <c r="A232" s="105" t="s">
        <v>37</v>
      </c>
      <c r="B232" s="42">
        <f>SUM(C232:J232)</f>
        <v>78824.47410759</v>
      </c>
      <c r="C232" s="61">
        <f>+C207*0.51</f>
        <v>12932.67523944</v>
      </c>
      <c r="D232" s="61">
        <f>+J207*0.51</f>
        <v>5351.95340586</v>
      </c>
      <c r="E232" s="61">
        <f>+K207*0.51</f>
        <v>4938.00532482</v>
      </c>
      <c r="F232" s="61">
        <f>+M207*0.4885</f>
        <v>26785.687417110003</v>
      </c>
      <c r="G232" s="61">
        <f>+O207*0.51</f>
        <v>9872.638798920001</v>
      </c>
      <c r="H232" s="61">
        <f>+P207*0.51</f>
        <v>8802.9820716</v>
      </c>
      <c r="I232" s="61">
        <f>+Q207*0.51</f>
        <v>3439.3746241199997</v>
      </c>
      <c r="J232" s="61">
        <f>+R207*0.51</f>
        <v>6701.15722572</v>
      </c>
      <c r="K232" s="122">
        <f>SUM(L232:N232)</f>
        <v>4013.7563436336004</v>
      </c>
      <c r="L232" s="61">
        <f>(+D232+E232)*0.06</f>
        <v>617.3975238408</v>
      </c>
      <c r="M232" s="122">
        <f>F232*0.108</f>
        <v>2892.8542410478804</v>
      </c>
      <c r="N232" s="122">
        <f>G232*0.051</f>
        <v>503.50457874492</v>
      </c>
      <c r="O232" s="160">
        <f>+D207</f>
        <v>2312.618</v>
      </c>
      <c r="P232"/>
      <c r="Q232"/>
      <c r="R232"/>
    </row>
    <row r="233" spans="1:18" s="4" customFormat="1" ht="15.75" customHeight="1">
      <c r="A233" s="105" t="s">
        <v>38</v>
      </c>
      <c r="B233" s="42">
        <f>SUM(C233:J233)</f>
        <v>45679.89566287681</v>
      </c>
      <c r="C233" s="61">
        <f>+C208*0.51</f>
        <v>6025.32374076</v>
      </c>
      <c r="D233" s="61">
        <f>+J208*0.5258</f>
        <v>3155.8492202292005</v>
      </c>
      <c r="E233" s="61">
        <f>+K208*0.5258</f>
        <v>2911.7593282404</v>
      </c>
      <c r="F233" s="61">
        <f>+M208*0.5258</f>
        <v>16541.622355302003</v>
      </c>
      <c r="G233" s="61">
        <f>+O208*0.5258</f>
        <v>5839.8668521644</v>
      </c>
      <c r="H233" s="61">
        <f>+P208*0.5258</f>
        <v>5207.143120212</v>
      </c>
      <c r="I233" s="61">
        <f>+Q208*0.5258</f>
        <v>2034.4601143284</v>
      </c>
      <c r="J233" s="61">
        <f>+R208*0.5258</f>
        <v>3963.8709316404</v>
      </c>
      <c r="K233" s="122">
        <f>SUM(L233:N233)</f>
        <v>2448.3849367411767</v>
      </c>
      <c r="L233" s="61">
        <f>(+D233+E233)*0.06</f>
        <v>364.056512908176</v>
      </c>
      <c r="M233" s="122">
        <f>F233*0.108</f>
        <v>1786.4952143726164</v>
      </c>
      <c r="N233" s="122">
        <f>G233*0.051</f>
        <v>297.8332094603844</v>
      </c>
      <c r="O233" s="160">
        <f>+D208</f>
        <v>1077.4470000000001</v>
      </c>
      <c r="P233"/>
      <c r="Q233"/>
      <c r="R233"/>
    </row>
    <row r="234" spans="1:18" s="4" customFormat="1" ht="15.75" customHeight="1">
      <c r="A234" s="105" t="s">
        <v>39</v>
      </c>
      <c r="B234" s="42">
        <f>SUM(C234:J234)</f>
        <v>20145.292128</v>
      </c>
      <c r="C234" s="61">
        <f>+C209*0.51</f>
        <v>2834.9298599999997</v>
      </c>
      <c r="D234" s="61">
        <f>+J209*0.51</f>
        <v>1364.12454</v>
      </c>
      <c r="E234" s="61">
        <f>+K209*0.51</f>
        <v>1277.6540400000001</v>
      </c>
      <c r="F234" s="61">
        <f>+M209*0.51</f>
        <v>7077.020100000001</v>
      </c>
      <c r="G234" s="61">
        <f>+O209*0.51</f>
        <v>2542.8273599999998</v>
      </c>
      <c r="H234" s="61">
        <f>+P209*0.51</f>
        <v>2199.59634</v>
      </c>
      <c r="I234" s="61">
        <f>+Q209*0.51</f>
        <v>910.0633799999999</v>
      </c>
      <c r="J234" s="61">
        <f>+R209*0.51</f>
        <v>1939.076508</v>
      </c>
      <c r="K234" s="122">
        <f>SUM(L234:N234)</f>
        <v>1052.5090809600001</v>
      </c>
      <c r="L234" s="61">
        <f>(+D234+E234)*0.06</f>
        <v>158.5067148</v>
      </c>
      <c r="M234" s="122">
        <f>F234*0.108</f>
        <v>764.3181708000001</v>
      </c>
      <c r="N234" s="122">
        <f>G234*0.051</f>
        <v>129.68419536</v>
      </c>
      <c r="O234" s="160">
        <f>+D209</f>
        <v>483.45</v>
      </c>
      <c r="P234"/>
      <c r="Q234"/>
      <c r="R234"/>
    </row>
    <row r="235" spans="1:18" s="4" customFormat="1" ht="15.75" customHeight="1">
      <c r="A235" s="105" t="s">
        <v>40</v>
      </c>
      <c r="B235" s="42">
        <f>SUM(C235:J235)</f>
        <v>7467.127979999999</v>
      </c>
      <c r="C235" s="61">
        <f>+C210*0.52</f>
        <v>955.58112</v>
      </c>
      <c r="D235" s="61">
        <f>+J210*0.52</f>
        <v>469.83351999999996</v>
      </c>
      <c r="E235" s="61">
        <f>+K210*0.52</f>
        <v>497.9936000000001</v>
      </c>
      <c r="F235" s="61">
        <f>+M210*0.52</f>
        <v>2408.6207600000002</v>
      </c>
      <c r="G235" s="61">
        <f>+O210*0.52</f>
        <v>1042.95516</v>
      </c>
      <c r="H235" s="61">
        <f>+P210*0.52</f>
        <v>843.0541600000001</v>
      </c>
      <c r="I235" s="61">
        <f>+Q210*0.52</f>
        <v>362.73640000000006</v>
      </c>
      <c r="J235" s="61">
        <f>+R210*0.52</f>
        <v>886.3532600000001</v>
      </c>
      <c r="K235" s="122">
        <f>SUM(L235:N235)</f>
        <v>371.39138244000003</v>
      </c>
      <c r="L235" s="61">
        <f>(+D235+E235)*0.06</f>
        <v>58.0696272</v>
      </c>
      <c r="M235" s="122">
        <f>F235*0.108</f>
        <v>260.13104208000004</v>
      </c>
      <c r="N235" s="122">
        <f>G235*0.051</f>
        <v>53.190713159999994</v>
      </c>
      <c r="O235" s="160">
        <f>+D210</f>
        <v>170.06800000000004</v>
      </c>
      <c r="P235"/>
      <c r="Q235"/>
      <c r="R235"/>
    </row>
    <row r="236" spans="1:18" s="4" customFormat="1" ht="15.75" customHeight="1">
      <c r="A236" s="105" t="s">
        <v>41</v>
      </c>
      <c r="B236" s="42"/>
      <c r="C236" s="17"/>
      <c r="D236" s="61"/>
      <c r="E236" s="61"/>
      <c r="F236" s="61"/>
      <c r="G236" s="61"/>
      <c r="H236" s="61"/>
      <c r="I236" s="61"/>
      <c r="J236" s="61"/>
      <c r="K236" s="122"/>
      <c r="L236" s="20"/>
      <c r="M236" s="122"/>
      <c r="N236" s="61"/>
      <c r="O236" s="160"/>
      <c r="P236"/>
      <c r="Q236"/>
      <c r="R236"/>
    </row>
    <row r="237" spans="1:18" s="4" customFormat="1" ht="15.75" customHeight="1" thickBot="1">
      <c r="A237" s="49"/>
      <c r="B237" s="161"/>
      <c r="C237" s="162"/>
      <c r="D237" s="52"/>
      <c r="E237" s="52"/>
      <c r="F237" s="52"/>
      <c r="G237" s="52"/>
      <c r="H237" s="52"/>
      <c r="I237" s="52"/>
      <c r="J237" s="52"/>
      <c r="K237" s="163"/>
      <c r="L237" s="164"/>
      <c r="M237" s="163"/>
      <c r="N237" s="52"/>
      <c r="O237" s="165"/>
      <c r="P237"/>
      <c r="Q237"/>
      <c r="R237"/>
    </row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</sheetData>
  <sheetProtection/>
  <mergeCells count="4">
    <mergeCell ref="N7:S7"/>
    <mergeCell ref="E102:J102"/>
    <mergeCell ref="E151:J151"/>
    <mergeCell ref="M201:Q201"/>
  </mergeCells>
  <printOptions horizontalCentered="1"/>
  <pageMargins left="0.3937007874015748" right="0.1968503937007874" top="0.4330708661417323" bottom="0.4330708661417323" header="0.3937007874015748" footer="0.3937007874015748"/>
  <pageSetup horizontalDpi="300" verticalDpi="300" orientation="landscape" paperSize="5" scale="65" r:id="rId1"/>
  <headerFooter alignWithMargins="0">
    <oddHeader>&amp;L&amp;8 MINISTERIO  DE  SALUD
 SERVICIO DE SALUD ACONCAGUA
 ESTADISTICA</oddHeader>
  </headerFooter>
  <rowBreaks count="4" manualBreakCount="4">
    <brk id="46" max="255" man="1"/>
    <brk id="95" max="255" man="1"/>
    <brk id="144" max="255" man="1"/>
    <brk id="194" max="255" man="1"/>
  </rowBreaks>
  <ignoredErrors>
    <ignoredError sqref="C14:C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Salud Aconcagua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Salud Aconcagua</dc:creator>
  <cp:keywords/>
  <dc:description/>
  <cp:lastModifiedBy>Guillermo_P</cp:lastModifiedBy>
  <cp:lastPrinted>2015-10-09T12:03:53Z</cp:lastPrinted>
  <dcterms:created xsi:type="dcterms:W3CDTF">2000-11-29T21:05:21Z</dcterms:created>
  <dcterms:modified xsi:type="dcterms:W3CDTF">2020-12-07T21:42:16Z</dcterms:modified>
  <cp:category/>
  <cp:version/>
  <cp:contentType/>
  <cp:contentStatus/>
</cp:coreProperties>
</file>