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ml.chartshapes+xml"/>
  <Override PartName="/xl/charts/chart2.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ml.chartshapes+xml"/>
  <Override PartName="/xl/charts/chart4.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drawings/drawing15.xml" ContentType="application/vnd.openxmlformats-officedocument.drawingml.chartshapes+xml"/>
  <Override PartName="/xl/charts/chart10.xml" ContentType="application/vnd.openxmlformats-officedocument.drawingml.chart+xml"/>
  <Override PartName="/xl/drawings/drawing16.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17.xml" ContentType="application/vnd.openxmlformats-officedocument.drawingml.chartshapes+xml"/>
  <Override PartName="/xl/charts/chart13.xml" ContentType="application/vnd.openxmlformats-officedocument.drawingml.chart+xml"/>
  <Override PartName="/xl/charts/chart14.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charts/chart15.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6.xml" ContentType="application/vnd.openxmlformats-officedocument.drawingml.chart+xml"/>
  <Override PartName="/xl/drawings/drawing23.xml" ContentType="application/vnd.openxmlformats-officedocument.drawing+xml"/>
  <Override PartName="/xl/charts/chart17.xml" ContentType="application/vnd.openxmlformats-officedocument.drawingml.chart+xml"/>
  <Override PartName="/xl/drawings/drawing24.xml" ContentType="application/vnd.openxmlformats-officedocument.drawing+xml"/>
  <Override PartName="/xl/charts/chart18.xml" ContentType="application/vnd.openxmlformats-officedocument.drawingml.chart+xml"/>
  <Override PartName="/xl/drawings/drawing25.xml" ContentType="application/vnd.openxmlformats-officedocument.drawing+xml"/>
  <Override PartName="/xl/charts/chart19.xml" ContentType="application/vnd.openxmlformats-officedocument.drawingml.chart+xml"/>
  <Override PartName="/xl/drawings/drawing26.xml" ContentType="application/vnd.openxmlformats-officedocument.drawing+xml"/>
  <Override PartName="/xl/charts/chart20.xml" ContentType="application/vnd.openxmlformats-officedocument.drawingml.chart+xml"/>
  <Override PartName="/xl/drawings/drawing27.xml" ContentType="application/vnd.openxmlformats-officedocument.drawing+xml"/>
  <Override PartName="/xl/charts/chart21.xml" ContentType="application/vnd.openxmlformats-officedocument.drawingml.chart+xml"/>
  <Override PartName="/xl/drawings/drawing28.xml" ContentType="application/vnd.openxmlformats-officedocument.drawing+xml"/>
  <Override PartName="/xl/charts/chart22.xml" ContentType="application/vnd.openxmlformats-officedocument.drawingml.chart+xml"/>
  <Override PartName="/xl/drawings/drawing29.xml" ContentType="application/vnd.openxmlformats-officedocument.drawing+xml"/>
  <Override PartName="/xl/charts/chart23.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4.xml" ContentType="application/vnd.openxmlformats-officedocument.drawingml.chart+xml"/>
  <Override PartName="/xl/drawings/drawing32.xml" ContentType="application/vnd.openxmlformats-officedocument.drawingml.chartshapes+xml"/>
  <Override PartName="/xl/charts/chart25.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26.xml" ContentType="application/vnd.openxmlformats-officedocument.drawingml.chart+xml"/>
  <Override PartName="/xl/drawings/drawing35.xml" ContentType="application/vnd.openxmlformats-officedocument.drawingml.chartshapes+xml"/>
  <Override PartName="/xl/charts/chart27.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drawings/drawing38.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39.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4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41.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drawings/drawing42.xml" ContentType="application/vnd.openxmlformats-officedocument.drawing+xml"/>
  <Override PartName="/xl/charts/chart38.xml" ContentType="application/vnd.openxmlformats-officedocument.drawingml.chart+xml"/>
  <Override PartName="/xl/drawings/drawing43.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44.xml" ContentType="application/vnd.openxmlformats-officedocument.drawing+xml"/>
  <Override PartName="/xl/charts/chart63.xml" ContentType="application/vnd.openxmlformats-officedocument.drawingml.chart+xml"/>
  <Override PartName="/xl/drawings/drawing45.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drawings/drawing46.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drawings/drawing47.xml" ContentType="application/vnd.openxmlformats-officedocument.drawing+xml"/>
  <Override PartName="/xl/charts/chart70.xml" ContentType="application/vnd.openxmlformats-officedocument.drawingml.chart+xml"/>
  <Override PartName="/xl/drawings/drawing48.xml" ContentType="application/vnd.openxmlformats-officedocument.drawing+xml"/>
  <Override PartName="/xl/charts/chart71.xml" ContentType="application/vnd.openxmlformats-officedocument.drawingml.chart+xml"/>
  <Override PartName="/xl/drawings/drawing49.xml" ContentType="application/vnd.openxmlformats-officedocument.drawingml.chartshapes+xml"/>
  <Override PartName="/xl/charts/chart72.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drawings/drawing52.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53.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drawings/drawing54.xml" ContentType="application/vnd.openxmlformats-officedocument.drawing+xml"/>
  <Override PartName="/xl/charts/chart85.xml" ContentType="application/vnd.openxmlformats-officedocument.drawingml.chart+xml"/>
  <Override PartName="/xl/drawings/drawing55.xml" ContentType="application/vnd.openxmlformats-officedocument.drawingml.chartshapes+xml"/>
  <Override PartName="/xl/charts/chart86.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58.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drawings/drawing59.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drawings/drawing60.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drawings/drawing61.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drawings/drawing62.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respaldo\zestadis\Mem2015\"/>
    </mc:Choice>
  </mc:AlternateContent>
  <bookViews>
    <workbookView xWindow="60" yWindow="-225" windowWidth="15315" windowHeight="4920" tabRatio="942" firstSheet="16" activeTab="16"/>
  </bookViews>
  <sheets>
    <sheet name="INDICE" sheetId="101" r:id="rId1"/>
    <sheet name="PROLOGO" sheetId="20" r:id="rId2"/>
    <sheet name="CAP I INF. BASICA" sheetId="115" r:id="rId3"/>
    <sheet name="2" sheetId="117" r:id="rId4"/>
    <sheet name="3" sheetId="116" r:id="rId5"/>
    <sheet name="4" sheetId="5" r:id="rId6"/>
    <sheet name="5" sheetId="6" r:id="rId7"/>
    <sheet name="6" sheetId="10" r:id="rId8"/>
    <sheet name="7" sheetId="22" r:id="rId9"/>
    <sheet name="8" sheetId="11" r:id="rId10"/>
    <sheet name="9" sheetId="12" r:id="rId11"/>
    <sheet name="10" sheetId="13" r:id="rId12"/>
    <sheet name="11" sheetId="21" r:id="rId13"/>
    <sheet name="12" sheetId="14" r:id="rId14"/>
    <sheet name="13" sheetId="15" r:id="rId15"/>
    <sheet name="14" sheetId="104" r:id="rId16"/>
    <sheet name="15" sheetId="103" r:id="rId17"/>
    <sheet name="CAP II  IND BIODEM" sheetId="118" r:id="rId18"/>
    <sheet name="18" sheetId="30" r:id="rId19"/>
    <sheet name="19" sheetId="31" r:id="rId20"/>
    <sheet name="20" sheetId="32" r:id="rId21"/>
    <sheet name="21" sheetId="33" r:id="rId22"/>
    <sheet name="22" sheetId="34" r:id="rId23"/>
    <sheet name="23" sheetId="35" r:id="rId24"/>
    <sheet name="24" sheetId="36" r:id="rId25"/>
    <sheet name="25" sheetId="37" r:id="rId26"/>
    <sheet name="26" sheetId="38" r:id="rId27"/>
    <sheet name="27" sheetId="39" r:id="rId28"/>
    <sheet name="28" sheetId="106" r:id="rId29"/>
    <sheet name="29" sheetId="40" r:id="rId30"/>
    <sheet name="30" sheetId="41" r:id="rId31"/>
    <sheet name="31" sheetId="113" r:id="rId32"/>
    <sheet name="CAP III ACTIVIDADES" sheetId="119" r:id="rId33"/>
    <sheet name="34" sheetId="43" r:id="rId34"/>
    <sheet name="35" sheetId="44" r:id="rId35"/>
    <sheet name="36" sheetId="45" r:id="rId36"/>
    <sheet name="37" sheetId="46" r:id="rId37"/>
    <sheet name="38" sheetId="47" r:id="rId38"/>
    <sheet name="39" sheetId="48" r:id="rId39"/>
    <sheet name="40" sheetId="49" r:id="rId40"/>
    <sheet name="41" sheetId="50" r:id="rId41"/>
    <sheet name="42" sheetId="51" r:id="rId42"/>
    <sheet name="43" sheetId="52" r:id="rId43"/>
    <sheet name="44" sheetId="53" r:id="rId44"/>
    <sheet name="45" sheetId="54" r:id="rId45"/>
    <sheet name="46" sheetId="55" r:id="rId46"/>
    <sheet name="47" sheetId="56" r:id="rId47"/>
    <sheet name="48" sheetId="57" r:id="rId48"/>
    <sheet name="49" sheetId="58" r:id="rId49"/>
    <sheet name="50" sheetId="59" r:id="rId50"/>
    <sheet name="51" sheetId="60" r:id="rId51"/>
    <sheet name="52" sheetId="61" r:id="rId52"/>
    <sheet name="53" sheetId="62" r:id="rId53"/>
    <sheet name="54" sheetId="112" r:id="rId54"/>
    <sheet name="55" sheetId="63" r:id="rId55"/>
    <sheet name="56" sheetId="64" r:id="rId56"/>
    <sheet name="57" sheetId="110" r:id="rId57"/>
    <sheet name="58" sheetId="102" r:id="rId58"/>
    <sheet name="59" sheetId="65" r:id="rId59"/>
    <sheet name="60" sheetId="66" r:id="rId60"/>
    <sheet name="61" sheetId="67" r:id="rId61"/>
    <sheet name="62" sheetId="68" r:id="rId62"/>
    <sheet name="63" sheetId="70" r:id="rId63"/>
    <sheet name="64" sheetId="71" r:id="rId64"/>
    <sheet name="65" sheetId="111" r:id="rId65"/>
    <sheet name="66" sheetId="72" r:id="rId66"/>
    <sheet name="67" sheetId="73" r:id="rId67"/>
    <sheet name="68" sheetId="74" r:id="rId68"/>
    <sheet name="69" sheetId="75" r:id="rId69"/>
    <sheet name="70" sheetId="76" r:id="rId70"/>
    <sheet name="71" sheetId="77" r:id="rId71"/>
    <sheet name="72" sheetId="78" r:id="rId72"/>
    <sheet name="73" sheetId="79" r:id="rId73"/>
    <sheet name="74" sheetId="80" r:id="rId74"/>
    <sheet name="75" sheetId="114" r:id="rId75"/>
    <sheet name="76" sheetId="81" r:id="rId76"/>
    <sheet name="77" sheetId="107" r:id="rId77"/>
    <sheet name="78" sheetId="82" r:id="rId78"/>
    <sheet name="79" sheetId="109" r:id="rId79"/>
    <sheet name="80" sheetId="83" r:id="rId80"/>
    <sheet name="81" sheetId="84" r:id="rId81"/>
    <sheet name="82" sheetId="85" r:id="rId82"/>
    <sheet name="83" sheetId="86" r:id="rId83"/>
    <sheet name="84" sheetId="87" r:id="rId84"/>
    <sheet name="85" sheetId="88" r:id="rId85"/>
    <sheet name="86" sheetId="89" r:id="rId86"/>
    <sheet name="87" sheetId="90" r:id="rId87"/>
    <sheet name="88" sheetId="91" r:id="rId88"/>
    <sheet name="89" sheetId="92" r:id="rId89"/>
    <sheet name="90" sheetId="93" r:id="rId90"/>
    <sheet name="91" sheetId="94" r:id="rId91"/>
    <sheet name="92" sheetId="95" r:id="rId92"/>
    <sheet name="93" sheetId="96" r:id="rId93"/>
    <sheet name="94" sheetId="97" r:id="rId94"/>
    <sheet name="95" sheetId="98" r:id="rId95"/>
    <sheet name="GLOSARIO" sheetId="100" r:id="rId96"/>
  </sheets>
  <externalReferences>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s>
  <definedNames>
    <definedName name="_xlnm._FilterDatabase" localSheetId="29" hidden="1">'29'!$A$42:$T$56</definedName>
    <definedName name="_xlnm._FilterDatabase" localSheetId="58" hidden="1">'59'!$A$7:$I$92</definedName>
    <definedName name="_xlnm._FilterDatabase" localSheetId="90" hidden="1">'91'!$D$41:$M$58</definedName>
    <definedName name="_R" localSheetId="28">'74'!#REF!</definedName>
    <definedName name="_R" localSheetId="31">'74'!#REF!</definedName>
    <definedName name="_R" localSheetId="56">'74'!#REF!</definedName>
    <definedName name="_R" localSheetId="57">'74'!#REF!</definedName>
    <definedName name="_R" localSheetId="64">'74'!#REF!</definedName>
    <definedName name="_R" localSheetId="75">'76'!#REF!</definedName>
    <definedName name="_R" localSheetId="76">'77'!#REF!</definedName>
    <definedName name="_R" localSheetId="77">'78'!#REF!</definedName>
    <definedName name="_R" localSheetId="79">'80'!#REF!</definedName>
    <definedName name="_R" localSheetId="80">'81'!#REF!</definedName>
    <definedName name="_R" localSheetId="81">'82'!#REF!</definedName>
    <definedName name="_Regression_Int" localSheetId="73" hidden="1">1</definedName>
    <definedName name="_Regression_Int" localSheetId="74" hidden="1">1</definedName>
    <definedName name="_Regression_Int" localSheetId="75" hidden="1">1</definedName>
    <definedName name="_Regression_Int" localSheetId="76" hidden="1">1</definedName>
    <definedName name="_Regression_Int" localSheetId="77" hidden="1">1</definedName>
    <definedName name="_Regression_Int" localSheetId="79" hidden="1">1</definedName>
    <definedName name="_Regression_Int" localSheetId="80" hidden="1">1</definedName>
    <definedName name="_Regression_Int" localSheetId="81" hidden="1">1</definedName>
    <definedName name="A_impresión_IM" localSheetId="75">'76'!$A$1:$Y$26</definedName>
    <definedName name="A_impresión_IM" localSheetId="76">'77'!$A$1:$Y$4</definedName>
    <definedName name="A_impresión_IM" localSheetId="77">'78'!$A$1:$Y$26</definedName>
    <definedName name="A_impresión_IM" localSheetId="79">'80'!$A$1:$Y$26</definedName>
    <definedName name="A_impresión_IM" localSheetId="80">'81'!$A$1:$Y$26</definedName>
    <definedName name="A_impresión_IM" localSheetId="81">'82'!$A$1:$Y$26</definedName>
    <definedName name="_xlnm.Print_Area" localSheetId="11">'10'!$A$62:$F$116</definedName>
    <definedName name="_xlnm.Print_Area" localSheetId="13">'12'!$A$1:$H$53</definedName>
    <definedName name="_xlnm.Print_Area" localSheetId="14">'13'!$A$1:$F$59</definedName>
    <definedName name="_xlnm.Print_Area" localSheetId="29">'29'!$A$1:$T$22</definedName>
    <definedName name="_xlnm.Print_Area" localSheetId="33">'34'!$A$1:$I$65</definedName>
    <definedName name="_xlnm.Print_Area" localSheetId="37">'38'!$A$1:$K$36</definedName>
    <definedName name="_xlnm.Print_Area" localSheetId="7">'6'!$A$1:$G$61</definedName>
    <definedName name="_xlnm.Print_Area" localSheetId="60">'61'!$A$1:$H$276</definedName>
    <definedName name="_xlnm.Print_Area" localSheetId="65">'66'!$A$51:$H$105</definedName>
    <definedName name="_xlnm.Print_Area" localSheetId="68">'69'!$A$1:$G$64</definedName>
    <definedName name="_xlnm.Print_Area" localSheetId="69">'70'!$A$1:$I$83</definedName>
    <definedName name="_xlnm.Print_Area" localSheetId="70">'71'!$A$1:$J$127</definedName>
    <definedName name="_xlnm.Print_Area" localSheetId="72">'73'!$A$1:$M$71</definedName>
    <definedName name="_xlnm.Print_Area" localSheetId="77">'78'!$A$1:$Y$26</definedName>
    <definedName name="_xlnm.Print_Area" localSheetId="79">'80'!$A$1:$Y$26</definedName>
    <definedName name="_xlnm.Print_Area" localSheetId="80">'81'!$A$1:$Y$26</definedName>
    <definedName name="_xlnm.Print_Area" localSheetId="81">'82'!$A$1:$Y$34</definedName>
    <definedName name="_xlnm.Print_Area" localSheetId="82">'83'!$A$1:$H$72</definedName>
    <definedName name="_xlnm.Print_Area" localSheetId="83">'84'!$A$1:$H$71</definedName>
    <definedName name="_xlnm.Print_Area" localSheetId="84">'85'!$A$1:$H$72</definedName>
    <definedName name="_xlnm.Print_Area" localSheetId="85">'86'!$A$1:$H$72</definedName>
    <definedName name="_xlnm.Print_Area" localSheetId="86">'87'!$A$1:$H$72</definedName>
    <definedName name="_xlnm.Print_Area" localSheetId="87">'88'!$A$1:$H$72</definedName>
    <definedName name="hola" localSheetId="28">'[1]1990'!#REF!</definedName>
    <definedName name="hola" localSheetId="31">'[1]1990'!#REF!</definedName>
    <definedName name="hola" localSheetId="56">'[1]1990'!#REF!</definedName>
    <definedName name="hola" localSheetId="57">'[1]1990'!#REF!</definedName>
    <definedName name="hola" localSheetId="64">'[1]1990'!#REF!</definedName>
    <definedName name="hola" localSheetId="76">'[1]1990'!#REF!</definedName>
    <definedName name="tabla" localSheetId="28">'[1]1990'!#REF!</definedName>
    <definedName name="tabla" localSheetId="31">'[1]1990'!#REF!</definedName>
    <definedName name="tabla" localSheetId="56">'[1]1990'!#REF!</definedName>
    <definedName name="tabla" localSheetId="57">'[1]1990'!#REF!</definedName>
    <definedName name="tabla" localSheetId="64">'[1]1990'!#REF!</definedName>
    <definedName name="tabla" localSheetId="76">'[1]1990'!#REF!</definedName>
    <definedName name="TOTAL" localSheetId="75">'76'!$AE$2:$AE$39</definedName>
    <definedName name="TOTAL" localSheetId="76">'77'!$AE$2:$AE$26</definedName>
    <definedName name="TOTAL" localSheetId="77">'78'!$AE$2:$AE$51</definedName>
    <definedName name="TOTAL" localSheetId="79">'80'!$AE$2:$AE$51</definedName>
    <definedName name="TOTAL" localSheetId="80">'81'!$AE$2:$AE$51</definedName>
    <definedName name="TOTAL" localSheetId="81">'82'!$AE$2:$AE$56</definedName>
  </definedNames>
  <calcPr calcId="152511"/>
</workbook>
</file>

<file path=xl/calcChain.xml><?xml version="1.0" encoding="utf-8"?>
<calcChain xmlns="http://schemas.openxmlformats.org/spreadsheetml/2006/main">
  <c r="G25" i="72" l="1"/>
  <c r="F25" i="72"/>
  <c r="E25" i="72"/>
  <c r="D25" i="72"/>
  <c r="C25" i="72"/>
  <c r="H78" i="72"/>
  <c r="H61" i="72"/>
  <c r="C43" i="110" l="1"/>
  <c r="C51" i="110"/>
  <c r="R11" i="30" l="1"/>
  <c r="R12" i="30"/>
  <c r="R13" i="30"/>
  <c r="R14" i="30"/>
  <c r="R15" i="30"/>
  <c r="R16" i="30"/>
  <c r="R17" i="30"/>
  <c r="H17" i="30"/>
  <c r="H16" i="30"/>
  <c r="H15" i="30"/>
  <c r="H14" i="30"/>
  <c r="H13" i="30"/>
  <c r="H12" i="30"/>
  <c r="F11" i="30"/>
  <c r="F12" i="30"/>
  <c r="F13" i="30"/>
  <c r="F14" i="30"/>
  <c r="F15" i="30"/>
  <c r="F16" i="30"/>
  <c r="F17" i="30"/>
  <c r="F18" i="30"/>
  <c r="F19" i="30"/>
  <c r="J78" i="65" l="1"/>
  <c r="J88" i="65"/>
  <c r="J67" i="65"/>
  <c r="J70" i="65"/>
  <c r="J38" i="65"/>
  <c r="J39" i="65"/>
  <c r="J40" i="65"/>
  <c r="J41" i="65"/>
  <c r="J42" i="65"/>
  <c r="J34" i="65"/>
  <c r="J35" i="65"/>
  <c r="J23" i="65"/>
  <c r="J18" i="65"/>
  <c r="J9" i="65"/>
  <c r="J8" i="65"/>
  <c r="B7" i="65" l="1"/>
  <c r="D11" i="32" l="1"/>
  <c r="E11" i="32" s="1"/>
  <c r="D12" i="32"/>
  <c r="E12" i="32"/>
  <c r="D13" i="32"/>
  <c r="E13" i="32" s="1"/>
  <c r="B11" i="32"/>
  <c r="C11" i="32" s="1"/>
  <c r="B12" i="32"/>
  <c r="C12" i="32"/>
  <c r="B13" i="32"/>
  <c r="C13" i="32" s="1"/>
  <c r="C11" i="31"/>
  <c r="C12" i="31"/>
  <c r="C13" i="31"/>
  <c r="E11" i="31"/>
  <c r="E12" i="31"/>
  <c r="E13" i="31"/>
  <c r="E18" i="33" l="1"/>
  <c r="D14" i="32"/>
  <c r="D15" i="32"/>
  <c r="D16" i="32"/>
  <c r="D17" i="32"/>
  <c r="D18" i="32"/>
  <c r="E18" i="32" s="1"/>
  <c r="B14" i="32"/>
  <c r="B15" i="32"/>
  <c r="B16" i="32"/>
  <c r="B17" i="32"/>
  <c r="B18" i="32"/>
  <c r="C18" i="32" s="1"/>
  <c r="J18" i="32"/>
  <c r="K18" i="32"/>
  <c r="O18" i="32"/>
  <c r="Q18" i="32"/>
  <c r="R18" i="32"/>
  <c r="S18" i="32"/>
  <c r="U18" i="32"/>
  <c r="W18" i="32"/>
  <c r="Y18" i="32"/>
  <c r="AA18" i="32"/>
  <c r="AC18" i="32"/>
  <c r="AE18" i="32"/>
  <c r="J17" i="32"/>
  <c r="J16" i="32"/>
  <c r="J15" i="32"/>
  <c r="J14" i="32"/>
  <c r="J13" i="32"/>
  <c r="J12" i="32"/>
  <c r="E18" i="34"/>
  <c r="E18" i="35"/>
  <c r="C18" i="37"/>
  <c r="C18" i="35"/>
  <c r="C18" i="34"/>
  <c r="C18" i="33"/>
  <c r="B18" i="36"/>
  <c r="C18" i="36"/>
  <c r="D18" i="36"/>
  <c r="E18" i="36" s="1"/>
  <c r="AE18" i="31"/>
  <c r="AC18" i="31"/>
  <c r="AA18" i="31"/>
  <c r="Y18" i="31"/>
  <c r="W18" i="31"/>
  <c r="U18" i="31"/>
  <c r="Q18" i="31"/>
  <c r="O18" i="31"/>
  <c r="K18" i="31"/>
  <c r="R18" i="31"/>
  <c r="S18" i="31" s="1"/>
  <c r="H18" i="31"/>
  <c r="E18" i="31"/>
  <c r="C18" i="31"/>
  <c r="E18" i="38"/>
  <c r="C18" i="38"/>
  <c r="E18" i="30"/>
  <c r="R18" i="30"/>
  <c r="R19" i="30"/>
  <c r="H18" i="30"/>
  <c r="H19" i="30"/>
  <c r="C18" i="30"/>
  <c r="T52" i="40"/>
  <c r="I18" i="31" l="1"/>
  <c r="H18" i="32"/>
  <c r="I18" i="32" s="1"/>
  <c r="F18" i="31"/>
  <c r="G18" i="31" s="1"/>
  <c r="U12" i="83"/>
  <c r="T12" i="83"/>
  <c r="S12" i="83"/>
  <c r="R12" i="83"/>
  <c r="Q12" i="83"/>
  <c r="N12" i="83"/>
  <c r="M12" i="83"/>
  <c r="L12" i="83"/>
  <c r="J12" i="83"/>
  <c r="I12" i="83"/>
  <c r="H12" i="83"/>
  <c r="G12" i="83"/>
  <c r="F12" i="83"/>
  <c r="E12" i="83"/>
  <c r="D12" i="83"/>
  <c r="C12" i="83"/>
  <c r="W13" i="83"/>
  <c r="V13" i="83"/>
  <c r="O13" i="83"/>
  <c r="Y13" i="83" s="1"/>
  <c r="K13" i="83"/>
  <c r="C13" i="80"/>
  <c r="D13" i="80"/>
  <c r="E13" i="80"/>
  <c r="F13" i="80"/>
  <c r="G13" i="80"/>
  <c r="H13" i="80"/>
  <c r="I13" i="80"/>
  <c r="J13" i="80"/>
  <c r="L13" i="80"/>
  <c r="M13" i="80"/>
  <c r="N13" i="80"/>
  <c r="Q13" i="80"/>
  <c r="R13" i="80"/>
  <c r="S13" i="80"/>
  <c r="T13" i="80"/>
  <c r="U13" i="80"/>
  <c r="C14" i="80"/>
  <c r="O13" i="80" l="1"/>
  <c r="F18" i="32"/>
  <c r="G18" i="32" s="1"/>
  <c r="V13" i="80"/>
  <c r="Y13" i="80"/>
  <c r="W13" i="80"/>
  <c r="K13" i="80"/>
  <c r="P13" i="80" s="1"/>
  <c r="X13" i="83"/>
  <c r="P13" i="83"/>
  <c r="X13" i="80"/>
  <c r="G26" i="111"/>
  <c r="F26" i="111"/>
  <c r="E26" i="111"/>
  <c r="D26" i="111"/>
  <c r="G25" i="111"/>
  <c r="F25" i="111"/>
  <c r="E25" i="111"/>
  <c r="D25" i="111"/>
  <c r="F24" i="111"/>
  <c r="E24" i="111"/>
  <c r="D24" i="111"/>
  <c r="C24" i="111"/>
  <c r="G23" i="111"/>
  <c r="F23" i="111"/>
  <c r="E23" i="111"/>
  <c r="D23" i="111"/>
  <c r="C23" i="111"/>
  <c r="G22" i="111"/>
  <c r="F22" i="111"/>
  <c r="E22" i="111"/>
  <c r="D22" i="111"/>
  <c r="C22" i="111"/>
  <c r="G21" i="111"/>
  <c r="F21" i="111"/>
  <c r="E21" i="111"/>
  <c r="D21" i="111"/>
  <c r="C21" i="111"/>
  <c r="G20" i="111"/>
  <c r="F20" i="111"/>
  <c r="E20" i="111"/>
  <c r="D20" i="111"/>
  <c r="C20" i="111"/>
  <c r="G19" i="111"/>
  <c r="F19" i="111"/>
  <c r="E19" i="111"/>
  <c r="D19" i="111"/>
  <c r="C19" i="111"/>
  <c r="B20" i="111"/>
  <c r="B21" i="111"/>
  <c r="B22" i="111"/>
  <c r="B23" i="111"/>
  <c r="B24" i="111"/>
  <c r="B19" i="111"/>
  <c r="B31" i="114"/>
  <c r="B30" i="114"/>
  <c r="B29" i="114"/>
  <c r="B28" i="114"/>
  <c r="B27" i="114"/>
  <c r="B26" i="114"/>
  <c r="B25" i="114"/>
  <c r="B24" i="114"/>
  <c r="B23" i="114"/>
  <c r="B22" i="114"/>
  <c r="M16" i="32" l="1"/>
  <c r="R16" i="31"/>
  <c r="H16" i="31"/>
  <c r="F16" i="31" l="1"/>
  <c r="C17" i="37" l="1"/>
  <c r="E17" i="35"/>
  <c r="E17" i="34"/>
  <c r="E17" i="33"/>
  <c r="D17" i="36"/>
  <c r="E17" i="36" s="1"/>
  <c r="B17" i="36"/>
  <c r="C17" i="36" s="1"/>
  <c r="C17" i="35"/>
  <c r="C17" i="34"/>
  <c r="C17" i="33"/>
  <c r="AE16" i="31"/>
  <c r="AE17" i="31"/>
  <c r="AC16" i="31"/>
  <c r="AC17" i="31"/>
  <c r="AA16" i="31"/>
  <c r="AA17" i="31"/>
  <c r="Y16" i="31"/>
  <c r="Y17" i="31"/>
  <c r="W16" i="31"/>
  <c r="W17" i="31"/>
  <c r="U16" i="31"/>
  <c r="U17" i="31"/>
  <c r="S16" i="31"/>
  <c r="S17" i="31"/>
  <c r="Q16" i="31"/>
  <c r="Q17" i="31"/>
  <c r="O16" i="31"/>
  <c r="O17" i="31"/>
  <c r="M16" i="31"/>
  <c r="K16" i="31"/>
  <c r="K17" i="31"/>
  <c r="I16" i="31"/>
  <c r="I17" i="31"/>
  <c r="G16" i="31"/>
  <c r="G17" i="31"/>
  <c r="E17" i="31"/>
  <c r="C17" i="31"/>
  <c r="AE16" i="32"/>
  <c r="AE17" i="32"/>
  <c r="AC16" i="32"/>
  <c r="AC17" i="32"/>
  <c r="AA16" i="32"/>
  <c r="AA17" i="32"/>
  <c r="Y16" i="32"/>
  <c r="Y17" i="32"/>
  <c r="W16" i="32"/>
  <c r="W17" i="32"/>
  <c r="U16" i="32"/>
  <c r="U17" i="32"/>
  <c r="Q16" i="32"/>
  <c r="Q17" i="32"/>
  <c r="O16" i="32"/>
  <c r="O17" i="32"/>
  <c r="K16" i="32"/>
  <c r="K17" i="32"/>
  <c r="R16" i="32"/>
  <c r="R17" i="32"/>
  <c r="H16" i="32"/>
  <c r="I16" i="32" s="1"/>
  <c r="H17" i="32"/>
  <c r="I17" i="32" s="1"/>
  <c r="E17" i="32"/>
  <c r="C17" i="32"/>
  <c r="S17" i="32" l="1"/>
  <c r="F17" i="32"/>
  <c r="G17" i="32" s="1"/>
  <c r="S16" i="32"/>
  <c r="F16" i="32"/>
  <c r="G16" i="32" s="1"/>
  <c r="T31" i="44"/>
  <c r="T13" i="44"/>
  <c r="H33" i="44"/>
  <c r="H25" i="44"/>
  <c r="R23" i="56" l="1"/>
  <c r="N23" i="56"/>
  <c r="J23" i="56"/>
  <c r="F23" i="56"/>
  <c r="R19" i="56"/>
  <c r="N9" i="112"/>
  <c r="N10" i="112"/>
  <c r="N11" i="112"/>
  <c r="N12" i="112"/>
  <c r="N13" i="112"/>
  <c r="N14" i="112"/>
  <c r="N15" i="112"/>
  <c r="N16" i="112"/>
  <c r="N17" i="112"/>
  <c r="N18" i="112"/>
  <c r="N19" i="112"/>
  <c r="N20" i="112"/>
  <c r="N21" i="112"/>
  <c r="N22" i="112"/>
  <c r="N23" i="112"/>
  <c r="N24" i="112"/>
  <c r="N25" i="112"/>
  <c r="N26" i="112"/>
  <c r="N27" i="112"/>
  <c r="N28" i="112"/>
  <c r="N29" i="112"/>
  <c r="N30" i="112"/>
  <c r="N31" i="112"/>
  <c r="N32" i="112"/>
  <c r="N33" i="112"/>
  <c r="N34" i="112"/>
  <c r="N35" i="112"/>
  <c r="N36" i="112"/>
  <c r="O9" i="112"/>
  <c r="O10" i="112"/>
  <c r="O11" i="112"/>
  <c r="O12" i="112"/>
  <c r="O13" i="112"/>
  <c r="O14" i="112"/>
  <c r="O15" i="112"/>
  <c r="O16" i="112"/>
  <c r="O17" i="112"/>
  <c r="O18" i="112"/>
  <c r="O19" i="112"/>
  <c r="O20" i="112"/>
  <c r="O21" i="112"/>
  <c r="O22" i="112"/>
  <c r="O23" i="112"/>
  <c r="O24" i="112"/>
  <c r="O25" i="112"/>
  <c r="O26" i="112"/>
  <c r="O27" i="112"/>
  <c r="O28" i="112"/>
  <c r="O29" i="112"/>
  <c r="O30" i="112"/>
  <c r="O31" i="112"/>
  <c r="O32" i="112"/>
  <c r="O33" i="112"/>
  <c r="O34" i="112"/>
  <c r="O35" i="112"/>
  <c r="O36" i="112"/>
  <c r="P36" i="112"/>
  <c r="P35" i="112"/>
  <c r="P34" i="112"/>
  <c r="P33" i="112"/>
  <c r="P32" i="112"/>
  <c r="P31" i="112"/>
  <c r="P30" i="112"/>
  <c r="P29" i="112"/>
  <c r="P28" i="112"/>
  <c r="P27" i="112"/>
  <c r="P26" i="112"/>
  <c r="P25" i="112"/>
  <c r="P24" i="112"/>
  <c r="P23" i="112"/>
  <c r="P22" i="112"/>
  <c r="P21" i="112"/>
  <c r="P20" i="112"/>
  <c r="P19" i="112"/>
  <c r="P18" i="112"/>
  <c r="P17" i="112"/>
  <c r="P16" i="112"/>
  <c r="P15" i="112"/>
  <c r="P14" i="112"/>
  <c r="P13" i="112"/>
  <c r="P12" i="112"/>
  <c r="P11" i="112"/>
  <c r="P10" i="112"/>
  <c r="P9" i="112"/>
  <c r="Q11" i="112"/>
  <c r="Q12" i="112"/>
  <c r="Q13" i="112"/>
  <c r="Q14" i="112"/>
  <c r="Q15" i="112"/>
  <c r="Q16" i="112"/>
  <c r="Q17" i="112"/>
  <c r="Q18" i="112"/>
  <c r="Q19" i="112"/>
  <c r="Q20" i="112"/>
  <c r="Q21" i="112"/>
  <c r="Q22" i="112"/>
  <c r="Q23" i="112"/>
  <c r="Q24" i="112"/>
  <c r="Q25" i="112"/>
  <c r="Q26" i="112"/>
  <c r="Q27" i="112"/>
  <c r="Q28" i="112"/>
  <c r="Q29" i="112"/>
  <c r="Q30" i="112"/>
  <c r="Q31" i="112"/>
  <c r="Q32" i="112"/>
  <c r="Q33" i="112"/>
  <c r="Q34" i="112"/>
  <c r="Q35" i="112"/>
  <c r="Q36" i="112"/>
  <c r="Q10" i="112"/>
  <c r="Q9" i="112"/>
  <c r="E37" i="112"/>
  <c r="C37" i="112" l="1"/>
  <c r="D37" i="112"/>
  <c r="F37" i="112"/>
  <c r="G37" i="112"/>
  <c r="H37" i="112"/>
  <c r="I37" i="112"/>
  <c r="J37" i="112"/>
  <c r="K37" i="112"/>
  <c r="L37" i="112"/>
  <c r="M37" i="112"/>
  <c r="N37" i="112"/>
  <c r="O37" i="112"/>
  <c r="P37" i="112"/>
  <c r="Q37" i="112"/>
  <c r="B37" i="112"/>
  <c r="F30" i="68" l="1"/>
  <c r="F29" i="68"/>
  <c r="F18" i="68"/>
  <c r="F17" i="68"/>
  <c r="F16" i="68"/>
  <c r="F14" i="68"/>
  <c r="F13" i="68"/>
  <c r="F12" i="68"/>
  <c r="F11" i="68"/>
  <c r="F9" i="68"/>
  <c r="F8" i="68"/>
  <c r="F7" i="68"/>
  <c r="AI25" i="70" l="1"/>
  <c r="AI30" i="70"/>
  <c r="AI31" i="70"/>
  <c r="AI32" i="70"/>
  <c r="AI33" i="70"/>
  <c r="AI29" i="70"/>
  <c r="AI28" i="70"/>
  <c r="AI27" i="70"/>
  <c r="AI15" i="70"/>
  <c r="AI16" i="70"/>
  <c r="AI17" i="70"/>
  <c r="AI18" i="70"/>
  <c r="AI19" i="70"/>
  <c r="AI20" i="70"/>
  <c r="AI21" i="70"/>
  <c r="AI22" i="70"/>
  <c r="AI23" i="70"/>
  <c r="AI24" i="70"/>
  <c r="AI14" i="70"/>
  <c r="AI12" i="70"/>
  <c r="AI13" i="70"/>
  <c r="AI11" i="70"/>
  <c r="AI10" i="70"/>
  <c r="AE10" i="70"/>
  <c r="AE26" i="70" l="1"/>
  <c r="AG26" i="70" s="1"/>
  <c r="AF26" i="70"/>
  <c r="G34" i="70"/>
  <c r="H34" i="70"/>
  <c r="I34" i="70"/>
  <c r="J34" i="70"/>
  <c r="K34" i="70"/>
  <c r="L34" i="70"/>
  <c r="M34" i="70"/>
  <c r="N34" i="70"/>
  <c r="O34" i="70"/>
  <c r="P34" i="70"/>
  <c r="Q34" i="70"/>
  <c r="R34" i="70"/>
  <c r="S34" i="70"/>
  <c r="T34" i="70"/>
  <c r="U34" i="70"/>
  <c r="V34" i="70"/>
  <c r="W34" i="70"/>
  <c r="X34" i="70"/>
  <c r="Y34" i="70"/>
  <c r="Z34" i="70"/>
  <c r="AA34" i="70"/>
  <c r="AB34" i="70"/>
  <c r="AE12" i="70"/>
  <c r="AF12" i="70"/>
  <c r="AE13" i="70"/>
  <c r="AF13" i="70"/>
  <c r="AE14" i="70"/>
  <c r="AF14" i="70"/>
  <c r="AE15" i="70"/>
  <c r="AF15" i="70"/>
  <c r="AE16" i="70"/>
  <c r="AF16" i="70"/>
  <c r="AE17" i="70"/>
  <c r="AF17" i="70"/>
  <c r="AE18" i="70"/>
  <c r="AF18" i="70"/>
  <c r="AE19" i="70"/>
  <c r="AF19" i="70"/>
  <c r="AE20" i="70"/>
  <c r="AF20" i="70"/>
  <c r="AE21" i="70"/>
  <c r="AF21" i="70"/>
  <c r="AE22" i="70"/>
  <c r="AF22" i="70"/>
  <c r="AE23" i="70"/>
  <c r="AF23" i="70"/>
  <c r="AE24" i="70"/>
  <c r="AF24" i="70"/>
  <c r="AE25" i="70"/>
  <c r="AF25" i="70"/>
  <c r="AE27" i="70"/>
  <c r="AF27" i="70"/>
  <c r="AE28" i="70"/>
  <c r="AF28" i="70"/>
  <c r="AE29" i="70"/>
  <c r="AF29" i="70"/>
  <c r="AE30" i="70"/>
  <c r="AF30" i="70"/>
  <c r="AE31" i="70"/>
  <c r="AF31" i="70"/>
  <c r="AE32" i="70"/>
  <c r="AF32" i="70"/>
  <c r="AE33" i="70"/>
  <c r="AF33" i="70"/>
  <c r="AF10" i="70"/>
  <c r="AF11" i="70"/>
  <c r="AE11" i="70"/>
  <c r="U23" i="71" l="1"/>
  <c r="U22" i="71"/>
  <c r="U24" i="71"/>
  <c r="U25" i="71"/>
  <c r="F70" i="72"/>
  <c r="G70" i="72"/>
  <c r="J12" i="73"/>
  <c r="J11" i="73"/>
  <c r="J9" i="73"/>
  <c r="J8" i="73"/>
  <c r="I12" i="73" l="1"/>
  <c r="I11" i="73"/>
  <c r="E23" i="114"/>
  <c r="F23" i="114"/>
  <c r="B8" i="114"/>
  <c r="C23" i="114" s="1"/>
  <c r="D23" i="114" s="1"/>
  <c r="D9" i="114"/>
  <c r="E9" i="114"/>
  <c r="F9" i="114"/>
  <c r="G9" i="114"/>
  <c r="H9" i="114"/>
  <c r="I9" i="114"/>
  <c r="J9" i="114"/>
  <c r="K9" i="114"/>
  <c r="L9" i="114"/>
  <c r="M9" i="114"/>
  <c r="N9" i="114"/>
  <c r="C9" i="114"/>
  <c r="D16" i="114"/>
  <c r="E16" i="114"/>
  <c r="F16" i="114"/>
  <c r="G16" i="114"/>
  <c r="H16" i="114"/>
  <c r="I16" i="114"/>
  <c r="J16" i="114"/>
  <c r="K16" i="114"/>
  <c r="L16" i="114"/>
  <c r="M16" i="114"/>
  <c r="N16" i="114"/>
  <c r="C16" i="114"/>
  <c r="D15" i="114"/>
  <c r="E15" i="114"/>
  <c r="F15" i="114"/>
  <c r="G15" i="114"/>
  <c r="H15" i="114"/>
  <c r="I15" i="114"/>
  <c r="J15" i="114"/>
  <c r="K15" i="114"/>
  <c r="L15" i="114"/>
  <c r="M15" i="114"/>
  <c r="N15" i="114"/>
  <c r="C15" i="114"/>
  <c r="D14" i="114"/>
  <c r="E14" i="114"/>
  <c r="F14" i="114"/>
  <c r="G14" i="114"/>
  <c r="H14" i="114"/>
  <c r="I14" i="114"/>
  <c r="J14" i="114"/>
  <c r="K14" i="114"/>
  <c r="L14" i="114"/>
  <c r="M14" i="114"/>
  <c r="N14" i="114"/>
  <c r="C14" i="114"/>
  <c r="D13" i="114"/>
  <c r="E13" i="114"/>
  <c r="F13" i="114"/>
  <c r="G13" i="114"/>
  <c r="H13" i="114"/>
  <c r="I13" i="114"/>
  <c r="J13" i="114"/>
  <c r="K13" i="114"/>
  <c r="L13" i="114"/>
  <c r="M13" i="114"/>
  <c r="N13" i="114"/>
  <c r="C13" i="114"/>
  <c r="D12" i="114"/>
  <c r="E12" i="114"/>
  <c r="F12" i="114"/>
  <c r="G12" i="114"/>
  <c r="H12" i="114"/>
  <c r="I12" i="114"/>
  <c r="J12" i="114"/>
  <c r="K12" i="114"/>
  <c r="L12" i="114"/>
  <c r="M12" i="114"/>
  <c r="N12" i="114"/>
  <c r="C12" i="114"/>
  <c r="D11" i="114"/>
  <c r="E11" i="114"/>
  <c r="F11" i="114"/>
  <c r="G11" i="114"/>
  <c r="H11" i="114"/>
  <c r="I11" i="114"/>
  <c r="J11" i="114"/>
  <c r="K11" i="114"/>
  <c r="L11" i="114"/>
  <c r="M11" i="114"/>
  <c r="N11" i="114"/>
  <c r="C11" i="114"/>
  <c r="D10" i="114"/>
  <c r="E10" i="114"/>
  <c r="F10" i="114"/>
  <c r="G10" i="114"/>
  <c r="H10" i="114"/>
  <c r="I10" i="114"/>
  <c r="J10" i="114"/>
  <c r="K10" i="114"/>
  <c r="L10" i="114"/>
  <c r="M10" i="114"/>
  <c r="N10" i="114"/>
  <c r="C10" i="114"/>
  <c r="D7" i="114"/>
  <c r="E7" i="114"/>
  <c r="F7" i="114"/>
  <c r="G7" i="114"/>
  <c r="H7" i="114"/>
  <c r="I7" i="114"/>
  <c r="J7" i="114"/>
  <c r="K7" i="114"/>
  <c r="L7" i="114"/>
  <c r="L17" i="114" s="1"/>
  <c r="M7" i="114"/>
  <c r="N7" i="114"/>
  <c r="C7" i="114"/>
  <c r="A3" i="114"/>
  <c r="E24" i="114" l="1"/>
  <c r="E25" i="114"/>
  <c r="F25" i="114" s="1"/>
  <c r="E26" i="114"/>
  <c r="E27" i="114"/>
  <c r="E28" i="114"/>
  <c r="E29" i="114"/>
  <c r="E30" i="114"/>
  <c r="E31" i="114"/>
  <c r="B14" i="114"/>
  <c r="C29" i="114" s="1"/>
  <c r="D29" i="114" s="1"/>
  <c r="B10" i="114"/>
  <c r="C25" i="114" s="1"/>
  <c r="D25" i="114" s="1"/>
  <c r="B15" i="114"/>
  <c r="C30" i="114" s="1"/>
  <c r="D30" i="114" s="1"/>
  <c r="B11" i="114"/>
  <c r="C26" i="114" s="1"/>
  <c r="D26" i="114" s="1"/>
  <c r="H17" i="114"/>
  <c r="D17" i="114"/>
  <c r="B16" i="114"/>
  <c r="C31" i="114" s="1"/>
  <c r="D31" i="114" s="1"/>
  <c r="E22" i="114"/>
  <c r="K17" i="114"/>
  <c r="B12" i="114"/>
  <c r="C27" i="114" s="1"/>
  <c r="D27" i="114" s="1"/>
  <c r="G17" i="114"/>
  <c r="B32" i="114"/>
  <c r="N17" i="114"/>
  <c r="F17" i="114"/>
  <c r="J17" i="114"/>
  <c r="I17" i="114"/>
  <c r="E17" i="114"/>
  <c r="C17" i="114"/>
  <c r="B9" i="114"/>
  <c r="C24" i="114" s="1"/>
  <c r="D24" i="114" s="1"/>
  <c r="B13" i="114"/>
  <c r="C28" i="114" s="1"/>
  <c r="D28" i="114" s="1"/>
  <c r="M17" i="114"/>
  <c r="E32" i="114" s="1"/>
  <c r="B7" i="114"/>
  <c r="F29" i="114"/>
  <c r="M30" i="78"/>
  <c r="M29" i="78"/>
  <c r="M14" i="78"/>
  <c r="M60" i="78"/>
  <c r="M61" i="78"/>
  <c r="M62" i="78"/>
  <c r="C48" i="78"/>
  <c r="F28" i="114" l="1"/>
  <c r="B17" i="114"/>
  <c r="C32" i="114" s="1"/>
  <c r="D32" i="114" s="1"/>
  <c r="F26" i="114"/>
  <c r="F31" i="114"/>
  <c r="F30" i="114"/>
  <c r="F27" i="114"/>
  <c r="F24" i="114"/>
  <c r="C22" i="114"/>
  <c r="D22" i="114" s="1"/>
  <c r="F22" i="114"/>
  <c r="F32" i="114"/>
  <c r="I28" i="97"/>
  <c r="J28" i="97"/>
  <c r="K28" i="97"/>
  <c r="L28" i="97"/>
  <c r="M28" i="97"/>
  <c r="N28" i="97"/>
  <c r="M45" i="94" l="1"/>
  <c r="M46" i="94"/>
  <c r="M47" i="94"/>
  <c r="M48" i="94"/>
  <c r="M49" i="94"/>
  <c r="M50" i="94"/>
  <c r="M51" i="94"/>
  <c r="M52" i="94"/>
  <c r="M53" i="94"/>
  <c r="M54" i="94"/>
  <c r="M55" i="94"/>
  <c r="M56" i="94"/>
  <c r="M57" i="94"/>
  <c r="M58" i="94"/>
  <c r="D22" i="104" l="1"/>
  <c r="D23" i="104" s="1"/>
  <c r="E22" i="104"/>
  <c r="F22" i="104"/>
  <c r="G22" i="104"/>
  <c r="H22" i="104"/>
  <c r="H23" i="104" s="1"/>
  <c r="I22" i="104"/>
  <c r="J22" i="104"/>
  <c r="J23" i="104" s="1"/>
  <c r="K22" i="104"/>
  <c r="K23" i="104" s="1"/>
  <c r="C22" i="104"/>
  <c r="C23" i="104" s="1"/>
  <c r="E23" i="104"/>
  <c r="F23" i="104"/>
  <c r="G23" i="104"/>
  <c r="I23" i="104"/>
  <c r="AG48" i="60" l="1"/>
  <c r="E36" i="61"/>
  <c r="O28" i="85"/>
  <c r="O29" i="85"/>
  <c r="O30" i="85"/>
  <c r="O31" i="85"/>
  <c r="O32" i="85"/>
  <c r="O33" i="85"/>
  <c r="O27" i="85"/>
  <c r="J51" i="110" l="1"/>
  <c r="I51" i="110"/>
  <c r="H51" i="110"/>
  <c r="G8" i="110"/>
  <c r="G9" i="110"/>
  <c r="G10" i="110"/>
  <c r="G11" i="110"/>
  <c r="G12" i="110"/>
  <c r="G13" i="110"/>
  <c r="G14" i="110"/>
  <c r="G15" i="110"/>
  <c r="G16" i="110"/>
  <c r="G17" i="110"/>
  <c r="G18" i="110"/>
  <c r="G19" i="110"/>
  <c r="G20" i="110"/>
  <c r="G21" i="110"/>
  <c r="G22" i="110"/>
  <c r="G23" i="110"/>
  <c r="G24" i="110"/>
  <c r="G25" i="110"/>
  <c r="G26" i="110"/>
  <c r="G27" i="110"/>
  <c r="G28" i="110"/>
  <c r="G29" i="110"/>
  <c r="G30" i="110"/>
  <c r="G31" i="110"/>
  <c r="G32" i="110"/>
  <c r="G33" i="110"/>
  <c r="G34" i="110"/>
  <c r="G35" i="110"/>
  <c r="G36" i="110"/>
  <c r="G37" i="110"/>
  <c r="G38" i="110"/>
  <c r="G39" i="110"/>
  <c r="G40" i="110"/>
  <c r="G41" i="110"/>
  <c r="G42" i="110"/>
  <c r="G43" i="110"/>
  <c r="G44" i="110"/>
  <c r="G45" i="110"/>
  <c r="G46" i="110"/>
  <c r="G47" i="110"/>
  <c r="G48" i="110"/>
  <c r="G49" i="110"/>
  <c r="G50" i="110"/>
  <c r="G7" i="110"/>
  <c r="G6" i="110"/>
  <c r="G5" i="110"/>
  <c r="F50" i="110"/>
  <c r="N50" i="110" s="1"/>
  <c r="E50" i="110"/>
  <c r="M50" i="110" s="1"/>
  <c r="D50" i="110"/>
  <c r="L50" i="110" s="1"/>
  <c r="B50" i="110"/>
  <c r="F49" i="110"/>
  <c r="N49" i="110" s="1"/>
  <c r="E49" i="110"/>
  <c r="M49" i="110" s="1"/>
  <c r="D49" i="110"/>
  <c r="L49" i="110" s="1"/>
  <c r="B49" i="110"/>
  <c r="F48" i="110"/>
  <c r="N48" i="110" s="1"/>
  <c r="E48" i="110"/>
  <c r="M48" i="110" s="1"/>
  <c r="D48" i="110"/>
  <c r="L48" i="110" s="1"/>
  <c r="B48" i="110"/>
  <c r="F47" i="110"/>
  <c r="N47" i="110" s="1"/>
  <c r="E47" i="110"/>
  <c r="M47" i="110" s="1"/>
  <c r="D47" i="110"/>
  <c r="L47" i="110" s="1"/>
  <c r="B47" i="110"/>
  <c r="F46" i="110"/>
  <c r="N46" i="110" s="1"/>
  <c r="E46" i="110"/>
  <c r="M46" i="110" s="1"/>
  <c r="D46" i="110"/>
  <c r="L46" i="110" s="1"/>
  <c r="B46" i="110"/>
  <c r="F45" i="110"/>
  <c r="N45" i="110" s="1"/>
  <c r="E45" i="110"/>
  <c r="M45" i="110" s="1"/>
  <c r="D45" i="110"/>
  <c r="L45" i="110" s="1"/>
  <c r="B45" i="110"/>
  <c r="F44" i="110"/>
  <c r="N44" i="110" s="1"/>
  <c r="E44" i="110"/>
  <c r="M44" i="110" s="1"/>
  <c r="D44" i="110"/>
  <c r="L44" i="110" s="1"/>
  <c r="B44" i="110"/>
  <c r="F43" i="110"/>
  <c r="N43" i="110" s="1"/>
  <c r="E43" i="110"/>
  <c r="M43" i="110" s="1"/>
  <c r="D43" i="110"/>
  <c r="L43" i="110" s="1"/>
  <c r="B43" i="110"/>
  <c r="F42" i="110"/>
  <c r="N42" i="110" s="1"/>
  <c r="E42" i="110"/>
  <c r="M42" i="110" s="1"/>
  <c r="D42" i="110"/>
  <c r="L42" i="110" s="1"/>
  <c r="B42" i="110"/>
  <c r="F41" i="110"/>
  <c r="N41" i="110" s="1"/>
  <c r="E41" i="110"/>
  <c r="M41" i="110" s="1"/>
  <c r="D41" i="110"/>
  <c r="L41" i="110" s="1"/>
  <c r="B41" i="110"/>
  <c r="F40" i="110"/>
  <c r="N40" i="110" s="1"/>
  <c r="E40" i="110"/>
  <c r="M40" i="110" s="1"/>
  <c r="D40" i="110"/>
  <c r="L40" i="110" s="1"/>
  <c r="B40" i="110"/>
  <c r="F39" i="110"/>
  <c r="N39" i="110" s="1"/>
  <c r="E39" i="110"/>
  <c r="M39" i="110" s="1"/>
  <c r="D39" i="110"/>
  <c r="L39" i="110" s="1"/>
  <c r="B39" i="110"/>
  <c r="F38" i="110"/>
  <c r="N38" i="110" s="1"/>
  <c r="E38" i="110"/>
  <c r="M38" i="110" s="1"/>
  <c r="D38" i="110"/>
  <c r="L38" i="110" s="1"/>
  <c r="B38" i="110"/>
  <c r="F37" i="110"/>
  <c r="N37" i="110" s="1"/>
  <c r="E37" i="110"/>
  <c r="M37" i="110" s="1"/>
  <c r="D37" i="110"/>
  <c r="L37" i="110" s="1"/>
  <c r="B37" i="110"/>
  <c r="F36" i="110"/>
  <c r="N36" i="110" s="1"/>
  <c r="E36" i="110"/>
  <c r="M36" i="110" s="1"/>
  <c r="D36" i="110"/>
  <c r="L36" i="110" s="1"/>
  <c r="B36" i="110"/>
  <c r="F35" i="110"/>
  <c r="N35" i="110" s="1"/>
  <c r="E35" i="110"/>
  <c r="M35" i="110" s="1"/>
  <c r="D35" i="110"/>
  <c r="L35" i="110" s="1"/>
  <c r="B35" i="110"/>
  <c r="F34" i="110"/>
  <c r="N34" i="110" s="1"/>
  <c r="E34" i="110"/>
  <c r="M34" i="110" s="1"/>
  <c r="D34" i="110"/>
  <c r="L34" i="110" s="1"/>
  <c r="B34" i="110"/>
  <c r="F33" i="110"/>
  <c r="N33" i="110" s="1"/>
  <c r="E33" i="110"/>
  <c r="M33" i="110" s="1"/>
  <c r="D33" i="110"/>
  <c r="L33" i="110" s="1"/>
  <c r="B33" i="110"/>
  <c r="F32" i="110"/>
  <c r="N32" i="110" s="1"/>
  <c r="E32" i="110"/>
  <c r="M32" i="110" s="1"/>
  <c r="D32" i="110"/>
  <c r="L32" i="110" s="1"/>
  <c r="B32" i="110"/>
  <c r="F31" i="110"/>
  <c r="N31" i="110" s="1"/>
  <c r="E31" i="110"/>
  <c r="M31" i="110" s="1"/>
  <c r="D31" i="110"/>
  <c r="L31" i="110" s="1"/>
  <c r="B31" i="110"/>
  <c r="F30" i="110"/>
  <c r="N30" i="110" s="1"/>
  <c r="E30" i="110"/>
  <c r="M30" i="110" s="1"/>
  <c r="D30" i="110"/>
  <c r="L30" i="110" s="1"/>
  <c r="B30" i="110"/>
  <c r="F29" i="110"/>
  <c r="N29" i="110" s="1"/>
  <c r="E29" i="110"/>
  <c r="M29" i="110" s="1"/>
  <c r="D29" i="110"/>
  <c r="L29" i="110" s="1"/>
  <c r="B29" i="110"/>
  <c r="F28" i="110"/>
  <c r="N28" i="110" s="1"/>
  <c r="E28" i="110"/>
  <c r="M28" i="110" s="1"/>
  <c r="D28" i="110"/>
  <c r="L28" i="110" s="1"/>
  <c r="B28" i="110"/>
  <c r="F27" i="110"/>
  <c r="N27" i="110" s="1"/>
  <c r="E27" i="110"/>
  <c r="M27" i="110" s="1"/>
  <c r="D27" i="110"/>
  <c r="L27" i="110" s="1"/>
  <c r="B27" i="110"/>
  <c r="F26" i="110"/>
  <c r="N26" i="110" s="1"/>
  <c r="E26" i="110"/>
  <c r="M26" i="110" s="1"/>
  <c r="D26" i="110"/>
  <c r="L26" i="110" s="1"/>
  <c r="B26" i="110"/>
  <c r="F25" i="110"/>
  <c r="N25" i="110" s="1"/>
  <c r="E25" i="110"/>
  <c r="M25" i="110" s="1"/>
  <c r="D25" i="110"/>
  <c r="L25" i="110" s="1"/>
  <c r="B25" i="110"/>
  <c r="F24" i="110"/>
  <c r="N24" i="110" s="1"/>
  <c r="E24" i="110"/>
  <c r="M24" i="110" s="1"/>
  <c r="D24" i="110"/>
  <c r="L24" i="110" s="1"/>
  <c r="B24" i="110"/>
  <c r="F23" i="110"/>
  <c r="N23" i="110" s="1"/>
  <c r="E23" i="110"/>
  <c r="M23" i="110" s="1"/>
  <c r="D23" i="110"/>
  <c r="L23" i="110" s="1"/>
  <c r="B23" i="110"/>
  <c r="F22" i="110"/>
  <c r="N22" i="110" s="1"/>
  <c r="E22" i="110"/>
  <c r="M22" i="110" s="1"/>
  <c r="D22" i="110"/>
  <c r="L22" i="110" s="1"/>
  <c r="B22" i="110"/>
  <c r="F21" i="110"/>
  <c r="N21" i="110" s="1"/>
  <c r="E21" i="110"/>
  <c r="M21" i="110" s="1"/>
  <c r="D21" i="110"/>
  <c r="L21" i="110" s="1"/>
  <c r="B21" i="110"/>
  <c r="F20" i="110"/>
  <c r="N20" i="110" s="1"/>
  <c r="E20" i="110"/>
  <c r="M20" i="110" s="1"/>
  <c r="D20" i="110"/>
  <c r="L20" i="110" s="1"/>
  <c r="B20" i="110"/>
  <c r="F19" i="110"/>
  <c r="N19" i="110" s="1"/>
  <c r="E19" i="110"/>
  <c r="M19" i="110" s="1"/>
  <c r="D19" i="110"/>
  <c r="L19" i="110" s="1"/>
  <c r="B19" i="110"/>
  <c r="F18" i="110"/>
  <c r="N18" i="110" s="1"/>
  <c r="E18" i="110"/>
  <c r="M18" i="110" s="1"/>
  <c r="D18" i="110"/>
  <c r="L18" i="110" s="1"/>
  <c r="B18" i="110"/>
  <c r="F17" i="110"/>
  <c r="N17" i="110" s="1"/>
  <c r="E17" i="110"/>
  <c r="M17" i="110" s="1"/>
  <c r="D17" i="110"/>
  <c r="L17" i="110" s="1"/>
  <c r="B17" i="110"/>
  <c r="F16" i="110"/>
  <c r="N16" i="110" s="1"/>
  <c r="E16" i="110"/>
  <c r="M16" i="110" s="1"/>
  <c r="D16" i="110"/>
  <c r="L16" i="110" s="1"/>
  <c r="B16" i="110"/>
  <c r="F15" i="110"/>
  <c r="N15" i="110" s="1"/>
  <c r="E15" i="110"/>
  <c r="M15" i="110" s="1"/>
  <c r="D15" i="110"/>
  <c r="L15" i="110" s="1"/>
  <c r="B15" i="110"/>
  <c r="F14" i="110"/>
  <c r="N14" i="110" s="1"/>
  <c r="E14" i="110"/>
  <c r="M14" i="110" s="1"/>
  <c r="D14" i="110"/>
  <c r="L14" i="110" s="1"/>
  <c r="B14" i="110"/>
  <c r="F13" i="110"/>
  <c r="N13" i="110" s="1"/>
  <c r="E13" i="110"/>
  <c r="M13" i="110" s="1"/>
  <c r="D13" i="110"/>
  <c r="L13" i="110" s="1"/>
  <c r="B13" i="110"/>
  <c r="F12" i="110"/>
  <c r="N12" i="110" s="1"/>
  <c r="E12" i="110"/>
  <c r="M12" i="110" s="1"/>
  <c r="D12" i="110"/>
  <c r="L12" i="110" s="1"/>
  <c r="B12" i="110"/>
  <c r="F11" i="110"/>
  <c r="N11" i="110" s="1"/>
  <c r="E11" i="110"/>
  <c r="M11" i="110" s="1"/>
  <c r="D11" i="110"/>
  <c r="L11" i="110" s="1"/>
  <c r="B11" i="110"/>
  <c r="F10" i="110"/>
  <c r="N10" i="110" s="1"/>
  <c r="E10" i="110"/>
  <c r="M10" i="110" s="1"/>
  <c r="D10" i="110"/>
  <c r="L10" i="110" s="1"/>
  <c r="B10" i="110"/>
  <c r="F9" i="110"/>
  <c r="N9" i="110" s="1"/>
  <c r="E9" i="110"/>
  <c r="M9" i="110" s="1"/>
  <c r="D9" i="110"/>
  <c r="L9" i="110" s="1"/>
  <c r="B9" i="110"/>
  <c r="F8" i="110"/>
  <c r="N8" i="110" s="1"/>
  <c r="E8" i="110"/>
  <c r="M8" i="110" s="1"/>
  <c r="D8" i="110"/>
  <c r="L8" i="110" s="1"/>
  <c r="B8" i="110"/>
  <c r="F7" i="110"/>
  <c r="N7" i="110" s="1"/>
  <c r="E7" i="110"/>
  <c r="M7" i="110" s="1"/>
  <c r="D7" i="110"/>
  <c r="L7" i="110" s="1"/>
  <c r="B7" i="110"/>
  <c r="F6" i="110"/>
  <c r="N6" i="110" s="1"/>
  <c r="E6" i="110"/>
  <c r="M6" i="110" s="1"/>
  <c r="D6" i="110"/>
  <c r="L6" i="110" s="1"/>
  <c r="B6" i="110"/>
  <c r="F5" i="110"/>
  <c r="E5" i="110"/>
  <c r="D5" i="110"/>
  <c r="B5" i="110"/>
  <c r="B51" i="110" s="1"/>
  <c r="H31" i="72"/>
  <c r="H48" i="72"/>
  <c r="H47" i="72"/>
  <c r="H46" i="72"/>
  <c r="H45" i="72"/>
  <c r="H44" i="72"/>
  <c r="H43" i="72"/>
  <c r="H42" i="72"/>
  <c r="H41" i="72"/>
  <c r="H37" i="72"/>
  <c r="H36" i="72"/>
  <c r="H35" i="72"/>
  <c r="H34" i="72"/>
  <c r="H33" i="72"/>
  <c r="H32" i="72"/>
  <c r="H40" i="72"/>
  <c r="H39" i="72"/>
  <c r="H38" i="72"/>
  <c r="F78" i="72"/>
  <c r="E74" i="72"/>
  <c r="F74" i="72"/>
  <c r="D69" i="72"/>
  <c r="E63" i="72"/>
  <c r="E69" i="72"/>
  <c r="F69" i="72"/>
  <c r="F65" i="72"/>
  <c r="F63" i="72"/>
  <c r="C49" i="72"/>
  <c r="D49" i="72"/>
  <c r="E49" i="72"/>
  <c r="F49" i="72"/>
  <c r="G49" i="72"/>
  <c r="K6" i="110" l="1"/>
  <c r="K7" i="110"/>
  <c r="K8" i="110"/>
  <c r="K9" i="110"/>
  <c r="K10" i="110"/>
  <c r="K11" i="110"/>
  <c r="K12" i="110"/>
  <c r="K13" i="110"/>
  <c r="K14" i="110"/>
  <c r="K15" i="110"/>
  <c r="K16" i="110"/>
  <c r="K17" i="110"/>
  <c r="K18" i="110"/>
  <c r="K19" i="110"/>
  <c r="K20" i="110"/>
  <c r="K21" i="110"/>
  <c r="K22" i="110"/>
  <c r="K23" i="110"/>
  <c r="K24" i="110"/>
  <c r="K25" i="110"/>
  <c r="K26" i="110"/>
  <c r="K27" i="110"/>
  <c r="K28" i="110"/>
  <c r="K29" i="110"/>
  <c r="K30" i="110"/>
  <c r="K31" i="110"/>
  <c r="K32" i="110"/>
  <c r="K33" i="110"/>
  <c r="K34" i="110"/>
  <c r="K35" i="110"/>
  <c r="K36" i="110"/>
  <c r="K37" i="110"/>
  <c r="K38" i="110"/>
  <c r="K39" i="110"/>
  <c r="K40" i="110"/>
  <c r="K41" i="110"/>
  <c r="K42" i="110"/>
  <c r="K43" i="110"/>
  <c r="K44" i="110"/>
  <c r="K45" i="110"/>
  <c r="K46" i="110"/>
  <c r="K47" i="110"/>
  <c r="K48" i="110"/>
  <c r="K49" i="110"/>
  <c r="K50" i="110"/>
  <c r="D51" i="110"/>
  <c r="L5" i="110"/>
  <c r="L51" i="110" s="1"/>
  <c r="E51" i="110"/>
  <c r="M5" i="110"/>
  <c r="M51" i="110" s="1"/>
  <c r="F51" i="110"/>
  <c r="N5" i="110"/>
  <c r="C6" i="110"/>
  <c r="O6" i="110" s="1"/>
  <c r="C7" i="110"/>
  <c r="C8" i="110"/>
  <c r="O8" i="110" s="1"/>
  <c r="C10" i="110"/>
  <c r="O10" i="110" s="1"/>
  <c r="C11" i="110"/>
  <c r="O11" i="110" s="1"/>
  <c r="C12" i="110"/>
  <c r="C13" i="110"/>
  <c r="O13" i="110" s="1"/>
  <c r="C14" i="110"/>
  <c r="C15" i="110"/>
  <c r="O15" i="110" s="1"/>
  <c r="C16" i="110"/>
  <c r="C17" i="110"/>
  <c r="O17" i="110" s="1"/>
  <c r="C18" i="110"/>
  <c r="O18" i="110" s="1"/>
  <c r="C19" i="110"/>
  <c r="O19" i="110" s="1"/>
  <c r="C20" i="110"/>
  <c r="O20" i="110" s="1"/>
  <c r="C21" i="110"/>
  <c r="C22" i="110"/>
  <c r="O22" i="110" s="1"/>
  <c r="C23" i="110"/>
  <c r="O23" i="110" s="1"/>
  <c r="C24" i="110"/>
  <c r="C25" i="110"/>
  <c r="O25" i="110" s="1"/>
  <c r="C26" i="110"/>
  <c r="C27" i="110"/>
  <c r="O27" i="110" s="1"/>
  <c r="C28" i="110"/>
  <c r="O28" i="110" s="1"/>
  <c r="C29" i="110"/>
  <c r="C30" i="110"/>
  <c r="O30" i="110" s="1"/>
  <c r="C31" i="110"/>
  <c r="O31" i="110" s="1"/>
  <c r="C32" i="110"/>
  <c r="C33" i="110"/>
  <c r="O33" i="110" s="1"/>
  <c r="C34" i="110"/>
  <c r="C35" i="110"/>
  <c r="C36" i="110"/>
  <c r="C37" i="110"/>
  <c r="O37" i="110" s="1"/>
  <c r="C38" i="110"/>
  <c r="C39" i="110"/>
  <c r="C44" i="110"/>
  <c r="O44" i="110" s="1"/>
  <c r="C45" i="110"/>
  <c r="C46" i="110"/>
  <c r="O46" i="110" s="1"/>
  <c r="C47" i="110"/>
  <c r="C48" i="110"/>
  <c r="O48" i="110" s="1"/>
  <c r="C49" i="110"/>
  <c r="O49" i="110" s="1"/>
  <c r="G51" i="110"/>
  <c r="C9" i="110"/>
  <c r="O9" i="110" s="1"/>
  <c r="C40" i="110"/>
  <c r="O40" i="110" s="1"/>
  <c r="C41" i="110"/>
  <c r="O41" i="110" s="1"/>
  <c r="C42" i="110"/>
  <c r="O42" i="110" s="1"/>
  <c r="C50" i="110"/>
  <c r="C5" i="110"/>
  <c r="O5" i="110" s="1"/>
  <c r="R14" i="67"/>
  <c r="R13" i="67"/>
  <c r="R12" i="67"/>
  <c r="R11" i="67"/>
  <c r="R10" i="67"/>
  <c r="R9" i="67"/>
  <c r="R7" i="67"/>
  <c r="R6" i="67"/>
  <c r="R5" i="67"/>
  <c r="R4" i="67"/>
  <c r="I23" i="66"/>
  <c r="G23" i="66"/>
  <c r="F23" i="66"/>
  <c r="E23" i="66"/>
  <c r="D23" i="66"/>
  <c r="C23" i="66"/>
  <c r="B23" i="66"/>
  <c r="I22" i="66"/>
  <c r="G22" i="66"/>
  <c r="F22" i="66"/>
  <c r="E22" i="66"/>
  <c r="D22" i="66"/>
  <c r="C22" i="66"/>
  <c r="B22" i="66"/>
  <c r="I21" i="66"/>
  <c r="G21" i="66"/>
  <c r="F21" i="66"/>
  <c r="E21" i="66"/>
  <c r="D21" i="66"/>
  <c r="C21" i="66"/>
  <c r="B21" i="66"/>
  <c r="I20" i="66"/>
  <c r="G20" i="66"/>
  <c r="F20" i="66"/>
  <c r="E20" i="66"/>
  <c r="D20" i="66"/>
  <c r="C20" i="66"/>
  <c r="B20" i="66"/>
  <c r="I19" i="66"/>
  <c r="G19" i="66"/>
  <c r="F19" i="66"/>
  <c r="E19" i="66"/>
  <c r="D19" i="66"/>
  <c r="C19" i="66"/>
  <c r="B19" i="66"/>
  <c r="I18" i="66"/>
  <c r="G18" i="66"/>
  <c r="F18" i="66"/>
  <c r="E18" i="66"/>
  <c r="D18" i="66"/>
  <c r="C18" i="66"/>
  <c r="B18" i="66"/>
  <c r="I17" i="66"/>
  <c r="G17" i="66"/>
  <c r="F17" i="66"/>
  <c r="E17" i="66"/>
  <c r="D17" i="66"/>
  <c r="C17" i="66"/>
  <c r="B17" i="66"/>
  <c r="I16" i="66"/>
  <c r="G16" i="66"/>
  <c r="F16" i="66"/>
  <c r="E16" i="66"/>
  <c r="D16" i="66"/>
  <c r="C16" i="66"/>
  <c r="B16" i="66"/>
  <c r="I15" i="66"/>
  <c r="G15" i="66"/>
  <c r="F15" i="66"/>
  <c r="E15" i="66"/>
  <c r="D15" i="66"/>
  <c r="C15" i="66"/>
  <c r="B15" i="66"/>
  <c r="I14" i="66"/>
  <c r="G14" i="66"/>
  <c r="F14" i="66"/>
  <c r="E14" i="66"/>
  <c r="D14" i="66"/>
  <c r="C14" i="66"/>
  <c r="B14" i="66"/>
  <c r="I13" i="66"/>
  <c r="G13" i="66"/>
  <c r="F13" i="66"/>
  <c r="E13" i="66"/>
  <c r="D13" i="66"/>
  <c r="C13" i="66"/>
  <c r="B13" i="66"/>
  <c r="I12" i="66"/>
  <c r="G12" i="66"/>
  <c r="F12" i="66"/>
  <c r="E12" i="66"/>
  <c r="D12" i="66"/>
  <c r="C12" i="66"/>
  <c r="B12" i="66"/>
  <c r="I11" i="66"/>
  <c r="G11" i="66"/>
  <c r="F11" i="66"/>
  <c r="E11" i="66"/>
  <c r="D11" i="66"/>
  <c r="C11" i="66"/>
  <c r="B11" i="66"/>
  <c r="I10" i="66"/>
  <c r="G10" i="66"/>
  <c r="F10" i="66"/>
  <c r="E10" i="66"/>
  <c r="D10" i="66"/>
  <c r="C10" i="66"/>
  <c r="B10" i="66"/>
  <c r="I9" i="66"/>
  <c r="G9" i="66"/>
  <c r="F9" i="66"/>
  <c r="E9" i="66"/>
  <c r="D9" i="66"/>
  <c r="C9" i="66"/>
  <c r="B9" i="66"/>
  <c r="I8" i="66"/>
  <c r="G8" i="66"/>
  <c r="F8" i="66"/>
  <c r="E8" i="66"/>
  <c r="D8" i="66"/>
  <c r="C8" i="66"/>
  <c r="B8" i="66"/>
  <c r="I7" i="66"/>
  <c r="I6" i="66"/>
  <c r="G7" i="66"/>
  <c r="F7" i="66"/>
  <c r="E7" i="66"/>
  <c r="D7" i="66"/>
  <c r="C7" i="66"/>
  <c r="B7" i="66"/>
  <c r="G6" i="66"/>
  <c r="F6" i="66"/>
  <c r="E6" i="66"/>
  <c r="D6" i="66"/>
  <c r="C6" i="66"/>
  <c r="B6" i="66"/>
  <c r="I5" i="66"/>
  <c r="G5" i="66"/>
  <c r="F5" i="66"/>
  <c r="E5" i="66"/>
  <c r="D5" i="66"/>
  <c r="C5" i="66"/>
  <c r="B5" i="66"/>
  <c r="H12" i="65"/>
  <c r="G86" i="65"/>
  <c r="G44" i="65"/>
  <c r="G22" i="65"/>
  <c r="F12" i="65"/>
  <c r="F11" i="65"/>
  <c r="E91" i="65"/>
  <c r="E90" i="65"/>
  <c r="E89" i="65"/>
  <c r="E88" i="65"/>
  <c r="E87" i="65"/>
  <c r="E86" i="65"/>
  <c r="E85" i="65"/>
  <c r="E84" i="65"/>
  <c r="E83" i="65"/>
  <c r="E82" i="65"/>
  <c r="E81" i="65"/>
  <c r="E80" i="65"/>
  <c r="E79" i="65"/>
  <c r="E78" i="65"/>
  <c r="E77" i="65"/>
  <c r="E76" i="65"/>
  <c r="E75" i="65"/>
  <c r="E74" i="65"/>
  <c r="E73" i="65"/>
  <c r="E72" i="65"/>
  <c r="E71" i="65"/>
  <c r="E70" i="65"/>
  <c r="E69" i="65"/>
  <c r="E68" i="65"/>
  <c r="E67" i="65"/>
  <c r="E66" i="65"/>
  <c r="E65" i="65"/>
  <c r="E64" i="65"/>
  <c r="E63" i="65"/>
  <c r="E62" i="65"/>
  <c r="E61" i="65"/>
  <c r="E60" i="65"/>
  <c r="E59" i="65"/>
  <c r="E58" i="65"/>
  <c r="E57" i="65"/>
  <c r="E56" i="65"/>
  <c r="E55" i="65"/>
  <c r="E54" i="65"/>
  <c r="E53" i="65"/>
  <c r="E52" i="65"/>
  <c r="E51" i="65"/>
  <c r="E50" i="65"/>
  <c r="E49" i="65"/>
  <c r="E48" i="65"/>
  <c r="E47" i="65"/>
  <c r="E46" i="65"/>
  <c r="E45" i="65"/>
  <c r="E44" i="65"/>
  <c r="E43" i="65"/>
  <c r="E42" i="65"/>
  <c r="E41" i="65"/>
  <c r="E40" i="65"/>
  <c r="E39" i="65"/>
  <c r="E38" i="65"/>
  <c r="E37" i="65"/>
  <c r="E36" i="65"/>
  <c r="E35" i="65"/>
  <c r="E33" i="65"/>
  <c r="E29" i="65"/>
  <c r="E25" i="65"/>
  <c r="E24" i="65"/>
  <c r="E23" i="65"/>
  <c r="E22" i="65"/>
  <c r="E21" i="65"/>
  <c r="E20" i="65"/>
  <c r="E19" i="65"/>
  <c r="E18" i="65"/>
  <c r="E17" i="65"/>
  <c r="E16" i="65"/>
  <c r="E15" i="65"/>
  <c r="E14" i="65"/>
  <c r="E13" i="65"/>
  <c r="E12" i="65"/>
  <c r="E11" i="65"/>
  <c r="E10" i="65"/>
  <c r="E9" i="65"/>
  <c r="E8" i="65"/>
  <c r="D91" i="65"/>
  <c r="D90" i="65"/>
  <c r="D89" i="65"/>
  <c r="D88" i="65"/>
  <c r="D87" i="65"/>
  <c r="D86" i="65"/>
  <c r="D85" i="65"/>
  <c r="D84" i="65"/>
  <c r="D83" i="65"/>
  <c r="D82" i="65"/>
  <c r="D81" i="65"/>
  <c r="D80" i="65"/>
  <c r="D79" i="65"/>
  <c r="D78" i="65"/>
  <c r="D77" i="65"/>
  <c r="D76" i="65"/>
  <c r="D75" i="65"/>
  <c r="D73" i="65"/>
  <c r="D74" i="65"/>
  <c r="D72" i="65"/>
  <c r="D71" i="65"/>
  <c r="D70" i="65"/>
  <c r="D69" i="65"/>
  <c r="D68" i="65"/>
  <c r="D67" i="65"/>
  <c r="D66" i="65"/>
  <c r="D65" i="65"/>
  <c r="D64" i="65"/>
  <c r="D63" i="65"/>
  <c r="D62" i="65"/>
  <c r="D61" i="65"/>
  <c r="D58" i="65"/>
  <c r="D59" i="65"/>
  <c r="D60" i="65"/>
  <c r="D57" i="65"/>
  <c r="D56" i="65"/>
  <c r="D55" i="65"/>
  <c r="D54" i="65"/>
  <c r="D53" i="65"/>
  <c r="D52" i="65"/>
  <c r="D51" i="65"/>
  <c r="D50" i="65"/>
  <c r="D49" i="65"/>
  <c r="D48" i="65"/>
  <c r="D47" i="65"/>
  <c r="D46" i="65"/>
  <c r="D45" i="65"/>
  <c r="D44" i="65"/>
  <c r="D43" i="65"/>
  <c r="D42" i="65"/>
  <c r="D41" i="65"/>
  <c r="D40" i="65"/>
  <c r="D39" i="65"/>
  <c r="D38" i="65"/>
  <c r="D37" i="65"/>
  <c r="D36" i="65"/>
  <c r="D35" i="65"/>
  <c r="D33" i="65"/>
  <c r="D29" i="65"/>
  <c r="D25" i="65"/>
  <c r="D24" i="65"/>
  <c r="D23" i="65"/>
  <c r="D22" i="65"/>
  <c r="D21" i="65"/>
  <c r="D20" i="65"/>
  <c r="D19" i="65"/>
  <c r="D18" i="65"/>
  <c r="D17" i="65"/>
  <c r="D16" i="65"/>
  <c r="D15" i="65"/>
  <c r="D14" i="65"/>
  <c r="D13" i="65"/>
  <c r="D12" i="65"/>
  <c r="D11" i="65"/>
  <c r="D10" i="65"/>
  <c r="D9" i="65"/>
  <c r="D8" i="65"/>
  <c r="K5" i="110" l="1"/>
  <c r="K51" i="110" s="1"/>
  <c r="N51" i="110"/>
  <c r="O51" i="110"/>
  <c r="R8" i="67"/>
  <c r="R15" i="67"/>
  <c r="F7" i="102"/>
  <c r="F8" i="102"/>
  <c r="F9" i="102"/>
  <c r="F10" i="102"/>
  <c r="F11" i="102"/>
  <c r="F12" i="102"/>
  <c r="F13" i="102"/>
  <c r="F14" i="102"/>
  <c r="F15" i="102"/>
  <c r="F16" i="102"/>
  <c r="F17" i="102"/>
  <c r="F18" i="102"/>
  <c r="F6" i="102"/>
  <c r="AH26" i="57"/>
  <c r="AH24" i="57"/>
  <c r="AH23" i="57"/>
  <c r="AH22" i="57"/>
  <c r="AD26" i="57"/>
  <c r="AD24" i="57"/>
  <c r="AD23" i="57"/>
  <c r="AD22" i="57"/>
  <c r="Z26" i="57"/>
  <c r="Z24" i="57"/>
  <c r="Z23" i="57"/>
  <c r="Z22" i="57"/>
  <c r="V26" i="57"/>
  <c r="V25" i="57"/>
  <c r="V24" i="57"/>
  <c r="V23" i="57"/>
  <c r="V22" i="57"/>
  <c r="R26" i="57"/>
  <c r="R25" i="57"/>
  <c r="R24" i="57"/>
  <c r="R23" i="57"/>
  <c r="R22" i="57"/>
  <c r="J26" i="57"/>
  <c r="J24" i="57"/>
  <c r="J23" i="57"/>
  <c r="J22" i="57"/>
  <c r="F26" i="57"/>
  <c r="F24" i="57"/>
  <c r="F23" i="57"/>
  <c r="F22" i="57"/>
  <c r="F20" i="57"/>
  <c r="AH20" i="57"/>
  <c r="AH19" i="57"/>
  <c r="AD20" i="57"/>
  <c r="AD19" i="57"/>
  <c r="Z20" i="57"/>
  <c r="Z19" i="57"/>
  <c r="V20" i="57"/>
  <c r="V19" i="57"/>
  <c r="R20" i="57"/>
  <c r="R19" i="57"/>
  <c r="J20" i="57"/>
  <c r="J19" i="57"/>
  <c r="F19" i="57"/>
  <c r="AH17" i="57"/>
  <c r="AH16" i="57"/>
  <c r="AD17" i="57"/>
  <c r="AD16" i="57"/>
  <c r="Z17" i="57"/>
  <c r="Z16" i="57"/>
  <c r="V17" i="57"/>
  <c r="V16" i="57"/>
  <c r="R17" i="57"/>
  <c r="R16" i="57"/>
  <c r="J17" i="57"/>
  <c r="J16" i="57"/>
  <c r="F17" i="57"/>
  <c r="F16" i="57"/>
  <c r="AH15" i="57"/>
  <c r="AD15" i="57"/>
  <c r="Z15" i="57"/>
  <c r="V15" i="57"/>
  <c r="R15" i="57"/>
  <c r="J15" i="57"/>
  <c r="F15" i="57"/>
  <c r="AH13" i="57"/>
  <c r="AD13" i="57"/>
  <c r="Z13" i="57"/>
  <c r="V13" i="57"/>
  <c r="R13" i="57"/>
  <c r="J13" i="57"/>
  <c r="F13" i="57"/>
  <c r="AH12" i="57"/>
  <c r="AD12" i="57"/>
  <c r="Z12" i="57"/>
  <c r="V12" i="57"/>
  <c r="R12" i="57"/>
  <c r="J12" i="57"/>
  <c r="F12" i="57"/>
  <c r="AH11" i="57"/>
  <c r="AD11" i="57"/>
  <c r="Z11" i="57"/>
  <c r="V11" i="57"/>
  <c r="R11" i="57"/>
  <c r="J11" i="57"/>
  <c r="F11" i="57"/>
  <c r="AH9" i="57"/>
  <c r="AD9" i="57"/>
  <c r="Z9" i="57"/>
  <c r="V9" i="57"/>
  <c r="R9" i="57"/>
  <c r="J9" i="57"/>
  <c r="F9" i="57"/>
  <c r="AH8" i="57"/>
  <c r="AD8" i="57"/>
  <c r="Z8" i="57"/>
  <c r="V8" i="57"/>
  <c r="R8" i="57"/>
  <c r="J8" i="57"/>
  <c r="F8" i="57"/>
  <c r="AD64" i="63"/>
  <c r="AB64" i="63"/>
  <c r="Z64" i="63"/>
  <c r="X64" i="63"/>
  <c r="V64" i="63"/>
  <c r="T64" i="63"/>
  <c r="R64" i="63"/>
  <c r="P64" i="63"/>
  <c r="N64" i="63"/>
  <c r="L64" i="63"/>
  <c r="J64" i="63"/>
  <c r="H64" i="63"/>
  <c r="F64" i="63"/>
  <c r="AD63" i="63"/>
  <c r="AB63" i="63"/>
  <c r="Z63" i="63"/>
  <c r="X63" i="63"/>
  <c r="V63" i="63"/>
  <c r="T63" i="63"/>
  <c r="R63" i="63"/>
  <c r="P63" i="63"/>
  <c r="N63" i="63"/>
  <c r="L63" i="63"/>
  <c r="J63" i="63"/>
  <c r="H63" i="63"/>
  <c r="F63" i="63"/>
  <c r="AD62" i="63"/>
  <c r="AB62" i="63"/>
  <c r="Z62" i="63"/>
  <c r="X62" i="63"/>
  <c r="V62" i="63"/>
  <c r="T62" i="63"/>
  <c r="R62" i="63"/>
  <c r="P62" i="63"/>
  <c r="N62" i="63"/>
  <c r="L62" i="63"/>
  <c r="J62" i="63"/>
  <c r="H62" i="63"/>
  <c r="F62" i="63"/>
  <c r="AD61" i="63"/>
  <c r="AB61" i="63"/>
  <c r="Z61" i="63"/>
  <c r="X61" i="63"/>
  <c r="V61" i="63"/>
  <c r="T61" i="63"/>
  <c r="R61" i="63"/>
  <c r="P61" i="63"/>
  <c r="N61" i="63"/>
  <c r="L61" i="63"/>
  <c r="J61" i="63"/>
  <c r="H61" i="63"/>
  <c r="F61" i="63"/>
  <c r="AD60" i="63"/>
  <c r="AB60" i="63"/>
  <c r="Z60" i="63"/>
  <c r="X60" i="63"/>
  <c r="V60" i="63"/>
  <c r="T60" i="63"/>
  <c r="R60" i="63"/>
  <c r="P60" i="63"/>
  <c r="N60" i="63"/>
  <c r="L60" i="63"/>
  <c r="J60" i="63"/>
  <c r="H60" i="63"/>
  <c r="F60" i="63"/>
  <c r="AD59" i="63"/>
  <c r="AB59" i="63"/>
  <c r="Z59" i="63"/>
  <c r="X59" i="63"/>
  <c r="V59" i="63"/>
  <c r="T59" i="63"/>
  <c r="R59" i="63"/>
  <c r="P59" i="63"/>
  <c r="N59" i="63"/>
  <c r="L59" i="63"/>
  <c r="J59" i="63"/>
  <c r="H59" i="63"/>
  <c r="F59" i="63"/>
  <c r="AD58" i="63"/>
  <c r="AB58" i="63"/>
  <c r="Z58" i="63"/>
  <c r="X58" i="63"/>
  <c r="V58" i="63"/>
  <c r="T58" i="63"/>
  <c r="R58" i="63"/>
  <c r="P58" i="63"/>
  <c r="N58" i="63"/>
  <c r="L58" i="63"/>
  <c r="J58" i="63"/>
  <c r="H58" i="63"/>
  <c r="F58" i="63"/>
  <c r="AD57" i="63"/>
  <c r="AB57" i="63"/>
  <c r="Z57" i="63"/>
  <c r="X57" i="63"/>
  <c r="V57" i="63"/>
  <c r="T57" i="63"/>
  <c r="R57" i="63"/>
  <c r="P57" i="63"/>
  <c r="N57" i="63"/>
  <c r="L57" i="63"/>
  <c r="J57" i="63"/>
  <c r="H57" i="63"/>
  <c r="F57" i="63"/>
  <c r="AD56" i="63"/>
  <c r="AB56" i="63"/>
  <c r="Z56" i="63"/>
  <c r="X56" i="63"/>
  <c r="V56" i="63"/>
  <c r="T56" i="63"/>
  <c r="R56" i="63"/>
  <c r="P56" i="63"/>
  <c r="N56" i="63"/>
  <c r="L56" i="63"/>
  <c r="J56" i="63"/>
  <c r="H56" i="63"/>
  <c r="F56" i="63"/>
  <c r="AD55" i="63"/>
  <c r="AB55" i="63"/>
  <c r="Z55" i="63"/>
  <c r="X55" i="63"/>
  <c r="V55" i="63"/>
  <c r="T55" i="63"/>
  <c r="R55" i="63"/>
  <c r="P55" i="63"/>
  <c r="N55" i="63"/>
  <c r="L55" i="63"/>
  <c r="J55" i="63"/>
  <c r="H55" i="63"/>
  <c r="AD54" i="63"/>
  <c r="AB54" i="63"/>
  <c r="Z54" i="63"/>
  <c r="X54" i="63"/>
  <c r="V54" i="63"/>
  <c r="T54" i="63"/>
  <c r="R54" i="63"/>
  <c r="P54" i="63"/>
  <c r="N54" i="63"/>
  <c r="L54" i="63"/>
  <c r="J54" i="63"/>
  <c r="H54" i="63"/>
  <c r="AD50" i="63"/>
  <c r="AC50" i="63"/>
  <c r="AB50" i="63"/>
  <c r="AA50" i="63"/>
  <c r="Z50" i="63"/>
  <c r="Y50" i="63"/>
  <c r="X50" i="63"/>
  <c r="W50" i="63"/>
  <c r="V50" i="63"/>
  <c r="U50" i="63"/>
  <c r="T50" i="63"/>
  <c r="S50" i="63"/>
  <c r="R50" i="63"/>
  <c r="Q50" i="63"/>
  <c r="P50" i="63"/>
  <c r="O50" i="63"/>
  <c r="N50" i="63"/>
  <c r="M50" i="63"/>
  <c r="L50" i="63"/>
  <c r="K50" i="63"/>
  <c r="J50" i="63"/>
  <c r="I50" i="63"/>
  <c r="H50" i="63"/>
  <c r="G50" i="63"/>
  <c r="F50" i="63"/>
  <c r="E50" i="63"/>
  <c r="AD49" i="63"/>
  <c r="AC49" i="63"/>
  <c r="AB49" i="63"/>
  <c r="AA49" i="63"/>
  <c r="Z49" i="63"/>
  <c r="Y49" i="63"/>
  <c r="X49" i="63"/>
  <c r="W49" i="63"/>
  <c r="V49" i="63"/>
  <c r="U49" i="63"/>
  <c r="T49" i="63"/>
  <c r="S49" i="63"/>
  <c r="R49" i="63"/>
  <c r="Q49" i="63"/>
  <c r="P49" i="63"/>
  <c r="O49" i="63"/>
  <c r="N49" i="63"/>
  <c r="M49" i="63"/>
  <c r="L49" i="63"/>
  <c r="K49" i="63"/>
  <c r="J49" i="63"/>
  <c r="I49" i="63"/>
  <c r="H49" i="63"/>
  <c r="G49" i="63"/>
  <c r="F49" i="63"/>
  <c r="E49" i="63"/>
  <c r="AD48" i="63"/>
  <c r="AC48" i="63"/>
  <c r="AB48" i="63"/>
  <c r="AA48" i="63"/>
  <c r="Z48" i="63"/>
  <c r="Y48" i="63"/>
  <c r="X48" i="63"/>
  <c r="W48" i="63"/>
  <c r="V48" i="63"/>
  <c r="U48" i="63"/>
  <c r="T48" i="63"/>
  <c r="S48" i="63"/>
  <c r="R48" i="63"/>
  <c r="Q48" i="63"/>
  <c r="P48" i="63"/>
  <c r="O48" i="63"/>
  <c r="N48" i="63"/>
  <c r="M48" i="63"/>
  <c r="L48" i="63"/>
  <c r="K48" i="63"/>
  <c r="J48" i="63"/>
  <c r="I48" i="63"/>
  <c r="H48" i="63"/>
  <c r="G48" i="63"/>
  <c r="F48" i="63"/>
  <c r="E48" i="63"/>
  <c r="AD47" i="63"/>
  <c r="AC47" i="63"/>
  <c r="AB47" i="63"/>
  <c r="AA47" i="63"/>
  <c r="Z47" i="63"/>
  <c r="Y47" i="63"/>
  <c r="X47" i="63"/>
  <c r="W47" i="63"/>
  <c r="V47" i="63"/>
  <c r="U47" i="63"/>
  <c r="T47" i="63"/>
  <c r="S47" i="63"/>
  <c r="R47" i="63"/>
  <c r="Q47" i="63"/>
  <c r="P47" i="63"/>
  <c r="O47" i="63"/>
  <c r="N47" i="63"/>
  <c r="M47" i="63"/>
  <c r="L47" i="63"/>
  <c r="K47" i="63"/>
  <c r="J47" i="63"/>
  <c r="I47" i="63"/>
  <c r="H47" i="63"/>
  <c r="G47" i="63"/>
  <c r="F47" i="63"/>
  <c r="E47" i="63"/>
  <c r="AD46" i="63"/>
  <c r="AC46" i="63"/>
  <c r="AB46" i="63"/>
  <c r="AA46" i="63"/>
  <c r="Z46" i="63"/>
  <c r="Y46" i="63"/>
  <c r="X46" i="63"/>
  <c r="W46" i="63"/>
  <c r="V46" i="63"/>
  <c r="U46" i="63"/>
  <c r="T46" i="63"/>
  <c r="S46" i="63"/>
  <c r="R46" i="63"/>
  <c r="Q46" i="63"/>
  <c r="P46" i="63"/>
  <c r="O46" i="63"/>
  <c r="N46" i="63"/>
  <c r="M46" i="63"/>
  <c r="L46" i="63"/>
  <c r="K46" i="63"/>
  <c r="J46" i="63"/>
  <c r="I46" i="63"/>
  <c r="H46" i="63"/>
  <c r="G46" i="63"/>
  <c r="F46" i="63"/>
  <c r="E46" i="63"/>
  <c r="AD45" i="63"/>
  <c r="AC45" i="63"/>
  <c r="AB45" i="63"/>
  <c r="AA45" i="63"/>
  <c r="Z45" i="63"/>
  <c r="Y45" i="63"/>
  <c r="X45" i="63"/>
  <c r="W45" i="63"/>
  <c r="V45" i="63"/>
  <c r="U45" i="63"/>
  <c r="T45" i="63"/>
  <c r="S45" i="63"/>
  <c r="R45" i="63"/>
  <c r="Q45" i="63"/>
  <c r="P45" i="63"/>
  <c r="O45" i="63"/>
  <c r="N45" i="63"/>
  <c r="M45" i="63"/>
  <c r="L45" i="63"/>
  <c r="K45" i="63"/>
  <c r="J45" i="63"/>
  <c r="I45" i="63"/>
  <c r="H45" i="63"/>
  <c r="G45" i="63"/>
  <c r="F45" i="63"/>
  <c r="E45" i="63"/>
  <c r="AD44" i="63"/>
  <c r="AC44" i="63"/>
  <c r="AB44" i="63"/>
  <c r="AA44" i="63"/>
  <c r="Z44" i="63"/>
  <c r="Y44" i="63"/>
  <c r="X44" i="63"/>
  <c r="W44" i="63"/>
  <c r="V44" i="63"/>
  <c r="U44" i="63"/>
  <c r="T44" i="63"/>
  <c r="S44" i="63"/>
  <c r="R44" i="63"/>
  <c r="Q44" i="63"/>
  <c r="P44" i="63"/>
  <c r="O44" i="63"/>
  <c r="N44" i="63"/>
  <c r="M44" i="63"/>
  <c r="L44" i="63"/>
  <c r="K44" i="63"/>
  <c r="J44" i="63"/>
  <c r="I44" i="63"/>
  <c r="H44" i="63"/>
  <c r="G44" i="63"/>
  <c r="F44" i="63"/>
  <c r="E44" i="63"/>
  <c r="AD43" i="63"/>
  <c r="AC43" i="63"/>
  <c r="AB43" i="63"/>
  <c r="AA43" i="63"/>
  <c r="Z43" i="63"/>
  <c r="Y43" i="63"/>
  <c r="X43" i="63"/>
  <c r="W43" i="63"/>
  <c r="V43" i="63"/>
  <c r="U43" i="63"/>
  <c r="T43" i="63"/>
  <c r="S43" i="63"/>
  <c r="R43" i="63"/>
  <c r="Q43" i="63"/>
  <c r="P43" i="63"/>
  <c r="O43" i="63"/>
  <c r="N43" i="63"/>
  <c r="M43" i="63"/>
  <c r="L43" i="63"/>
  <c r="K43" i="63"/>
  <c r="J43" i="63"/>
  <c r="I43" i="63"/>
  <c r="H43" i="63"/>
  <c r="G43" i="63"/>
  <c r="F43" i="63"/>
  <c r="E43" i="63"/>
  <c r="AD42" i="63"/>
  <c r="AC42" i="63"/>
  <c r="AB42" i="63"/>
  <c r="AA42" i="63"/>
  <c r="Z42" i="63"/>
  <c r="Y42" i="63"/>
  <c r="X42" i="63"/>
  <c r="W42" i="63"/>
  <c r="V42" i="63"/>
  <c r="U42" i="63"/>
  <c r="T42" i="63"/>
  <c r="S42" i="63"/>
  <c r="R42" i="63"/>
  <c r="Q42" i="63"/>
  <c r="P42" i="63"/>
  <c r="O42" i="63"/>
  <c r="N42" i="63"/>
  <c r="M42" i="63"/>
  <c r="L42" i="63"/>
  <c r="K42" i="63"/>
  <c r="J42" i="63"/>
  <c r="I42" i="63"/>
  <c r="H42" i="63"/>
  <c r="G42" i="63"/>
  <c r="F42" i="63"/>
  <c r="E42" i="63"/>
  <c r="AD41" i="63"/>
  <c r="AC41" i="63"/>
  <c r="AB41" i="63"/>
  <c r="AA41" i="63"/>
  <c r="Z41" i="63"/>
  <c r="Y41" i="63"/>
  <c r="X41" i="63"/>
  <c r="W41" i="63"/>
  <c r="V41" i="63"/>
  <c r="U41" i="63"/>
  <c r="T41" i="63"/>
  <c r="S41" i="63"/>
  <c r="R41" i="63"/>
  <c r="Q41" i="63"/>
  <c r="P41" i="63"/>
  <c r="O41" i="63"/>
  <c r="N41" i="63"/>
  <c r="M41" i="63"/>
  <c r="L41" i="63"/>
  <c r="K41" i="63"/>
  <c r="J41" i="63"/>
  <c r="I41" i="63"/>
  <c r="H41" i="63"/>
  <c r="G41" i="63"/>
  <c r="F41" i="63"/>
  <c r="E41" i="63"/>
  <c r="AD40" i="63"/>
  <c r="AC40" i="63"/>
  <c r="AB40" i="63"/>
  <c r="AA40" i="63"/>
  <c r="Z40" i="63"/>
  <c r="Y40" i="63"/>
  <c r="X40" i="63"/>
  <c r="W40" i="63"/>
  <c r="V40" i="63"/>
  <c r="U40" i="63"/>
  <c r="T40" i="63"/>
  <c r="S40" i="63"/>
  <c r="R40" i="63"/>
  <c r="Q40" i="63"/>
  <c r="P40" i="63"/>
  <c r="O40" i="63"/>
  <c r="N40" i="63"/>
  <c r="M40" i="63"/>
  <c r="L40" i="63"/>
  <c r="K40" i="63"/>
  <c r="J40" i="63"/>
  <c r="I40" i="63"/>
  <c r="H40" i="63"/>
  <c r="G40" i="63"/>
  <c r="F40" i="63"/>
  <c r="E40" i="63"/>
  <c r="AD39" i="63"/>
  <c r="AC39" i="63"/>
  <c r="AB39" i="63"/>
  <c r="AA39" i="63"/>
  <c r="Z39" i="63"/>
  <c r="Y39" i="63"/>
  <c r="X39" i="63"/>
  <c r="W39" i="63"/>
  <c r="V39" i="63"/>
  <c r="U39" i="63"/>
  <c r="T39" i="63"/>
  <c r="S39" i="63"/>
  <c r="R39" i="63"/>
  <c r="Q39" i="63"/>
  <c r="P39" i="63"/>
  <c r="O39" i="63"/>
  <c r="N39" i="63"/>
  <c r="M39" i="63"/>
  <c r="L39" i="63"/>
  <c r="K39" i="63"/>
  <c r="J39" i="63"/>
  <c r="I39" i="63"/>
  <c r="H39" i="63"/>
  <c r="G39" i="63"/>
  <c r="F39" i="63"/>
  <c r="E39" i="63"/>
  <c r="AD38" i="63"/>
  <c r="AC38" i="63"/>
  <c r="AB38" i="63"/>
  <c r="AA38" i="63"/>
  <c r="Z38" i="63"/>
  <c r="Y38" i="63"/>
  <c r="X38" i="63"/>
  <c r="W38" i="63"/>
  <c r="V38" i="63"/>
  <c r="U38" i="63"/>
  <c r="T38" i="63"/>
  <c r="S38" i="63"/>
  <c r="R38" i="63"/>
  <c r="Q38" i="63"/>
  <c r="P38" i="63"/>
  <c r="O38" i="63"/>
  <c r="N38" i="63"/>
  <c r="M38" i="63"/>
  <c r="L38" i="63"/>
  <c r="K38" i="63"/>
  <c r="J38" i="63"/>
  <c r="I38" i="63"/>
  <c r="H38" i="63"/>
  <c r="G38" i="63"/>
  <c r="F38" i="63"/>
  <c r="E38" i="63"/>
  <c r="AD37" i="63"/>
  <c r="AC37" i="63"/>
  <c r="AB37" i="63"/>
  <c r="AA37" i="63"/>
  <c r="Z37" i="63"/>
  <c r="Y37" i="63"/>
  <c r="X37" i="63"/>
  <c r="W37" i="63"/>
  <c r="V37" i="63"/>
  <c r="U37" i="63"/>
  <c r="T37" i="63"/>
  <c r="S37" i="63"/>
  <c r="R37" i="63"/>
  <c r="Q37" i="63"/>
  <c r="P37" i="63"/>
  <c r="O37" i="63"/>
  <c r="N37" i="63"/>
  <c r="M37" i="63"/>
  <c r="L37" i="63"/>
  <c r="K37" i="63"/>
  <c r="J37" i="63"/>
  <c r="I37" i="63"/>
  <c r="H37" i="63"/>
  <c r="G37" i="63"/>
  <c r="F37" i="63"/>
  <c r="E37" i="63"/>
  <c r="AD36" i="63"/>
  <c r="AC36" i="63"/>
  <c r="AB36" i="63"/>
  <c r="AA36" i="63"/>
  <c r="Z36" i="63"/>
  <c r="Y36" i="63"/>
  <c r="X36" i="63"/>
  <c r="W36" i="63"/>
  <c r="V36" i="63"/>
  <c r="U36" i="63"/>
  <c r="T36" i="63"/>
  <c r="S36" i="63"/>
  <c r="R36" i="63"/>
  <c r="Q36" i="63"/>
  <c r="P36" i="63"/>
  <c r="O36" i="63"/>
  <c r="N36" i="63"/>
  <c r="M36" i="63"/>
  <c r="L36" i="63"/>
  <c r="K36" i="63"/>
  <c r="J36" i="63"/>
  <c r="I36" i="63"/>
  <c r="H36" i="63"/>
  <c r="G36" i="63"/>
  <c r="F36" i="63"/>
  <c r="E36" i="63"/>
  <c r="AD35" i="63"/>
  <c r="AC35" i="63"/>
  <c r="AB35" i="63"/>
  <c r="AA35" i="63"/>
  <c r="Z35" i="63"/>
  <c r="Y35" i="63"/>
  <c r="X35" i="63"/>
  <c r="W35" i="63"/>
  <c r="V35" i="63"/>
  <c r="U35" i="63"/>
  <c r="T35" i="63"/>
  <c r="S35" i="63"/>
  <c r="R35" i="63"/>
  <c r="Q35" i="63"/>
  <c r="P35" i="63"/>
  <c r="O35" i="63"/>
  <c r="N35" i="63"/>
  <c r="M35" i="63"/>
  <c r="L35" i="63"/>
  <c r="K35" i="63"/>
  <c r="J35" i="63"/>
  <c r="I35" i="63"/>
  <c r="H35" i="63"/>
  <c r="G35" i="63"/>
  <c r="F35" i="63"/>
  <c r="E35" i="63"/>
  <c r="AD34" i="63"/>
  <c r="AC34" i="63"/>
  <c r="AB34" i="63"/>
  <c r="AA34" i="63"/>
  <c r="Z34" i="63"/>
  <c r="Y34" i="63"/>
  <c r="X34" i="63"/>
  <c r="W34" i="63"/>
  <c r="V34" i="63"/>
  <c r="U34" i="63"/>
  <c r="T34" i="63"/>
  <c r="S34" i="63"/>
  <c r="R34" i="63"/>
  <c r="Q34" i="63"/>
  <c r="P34" i="63"/>
  <c r="O34" i="63"/>
  <c r="N34" i="63"/>
  <c r="M34" i="63"/>
  <c r="L34" i="63"/>
  <c r="K34" i="63"/>
  <c r="J34" i="63"/>
  <c r="I34" i="63"/>
  <c r="H34" i="63"/>
  <c r="G34" i="63"/>
  <c r="F34" i="63"/>
  <c r="E34" i="63"/>
  <c r="AD33" i="63"/>
  <c r="AC33" i="63"/>
  <c r="AB33" i="63"/>
  <c r="AA33" i="63"/>
  <c r="Z33" i="63"/>
  <c r="Y33" i="63"/>
  <c r="X33" i="63"/>
  <c r="W33" i="63"/>
  <c r="V33" i="63"/>
  <c r="U33" i="63"/>
  <c r="T33" i="63"/>
  <c r="S33" i="63"/>
  <c r="R33" i="63"/>
  <c r="Q33" i="63"/>
  <c r="P33" i="63"/>
  <c r="O33" i="63"/>
  <c r="N33" i="63"/>
  <c r="M33" i="63"/>
  <c r="L33" i="63"/>
  <c r="K33" i="63"/>
  <c r="J33" i="63"/>
  <c r="I33" i="63"/>
  <c r="H33" i="63"/>
  <c r="G33" i="63"/>
  <c r="F33" i="63"/>
  <c r="E33" i="63"/>
  <c r="AD32" i="63"/>
  <c r="AC32" i="63"/>
  <c r="AB32" i="63"/>
  <c r="AA32" i="63"/>
  <c r="Z32" i="63"/>
  <c r="Y32" i="63"/>
  <c r="X32" i="63"/>
  <c r="W32" i="63"/>
  <c r="V32" i="63"/>
  <c r="U32" i="63"/>
  <c r="T32" i="63"/>
  <c r="S32" i="63"/>
  <c r="R32" i="63"/>
  <c r="Q32" i="63"/>
  <c r="P32" i="63"/>
  <c r="O32" i="63"/>
  <c r="N32" i="63"/>
  <c r="M32" i="63"/>
  <c r="L32" i="63"/>
  <c r="K32" i="63"/>
  <c r="J32" i="63"/>
  <c r="I32" i="63"/>
  <c r="H32" i="63"/>
  <c r="G32" i="63"/>
  <c r="F32" i="63"/>
  <c r="E32" i="63"/>
  <c r="AD31" i="63"/>
  <c r="AC31" i="63"/>
  <c r="AB31" i="63"/>
  <c r="AA31" i="63"/>
  <c r="Z31" i="63"/>
  <c r="Y31" i="63"/>
  <c r="X31" i="63"/>
  <c r="W31" i="63"/>
  <c r="V31" i="63"/>
  <c r="U31" i="63"/>
  <c r="T31" i="63"/>
  <c r="S31" i="63"/>
  <c r="R31" i="63"/>
  <c r="Q31" i="63"/>
  <c r="P31" i="63"/>
  <c r="O31" i="63"/>
  <c r="N31" i="63"/>
  <c r="M31" i="63"/>
  <c r="L31" i="63"/>
  <c r="K31" i="63"/>
  <c r="J31" i="63"/>
  <c r="I31" i="63"/>
  <c r="H31" i="63"/>
  <c r="G31" i="63"/>
  <c r="F31" i="63"/>
  <c r="E31" i="63"/>
  <c r="AD30" i="63"/>
  <c r="AC30" i="63"/>
  <c r="AB30" i="63"/>
  <c r="AA30" i="63"/>
  <c r="Z30" i="63"/>
  <c r="Y30" i="63"/>
  <c r="X30" i="63"/>
  <c r="W30" i="63"/>
  <c r="V30" i="63"/>
  <c r="U30" i="63"/>
  <c r="T30" i="63"/>
  <c r="S30" i="63"/>
  <c r="R30" i="63"/>
  <c r="Q30" i="63"/>
  <c r="P30" i="63"/>
  <c r="O30" i="63"/>
  <c r="N30" i="63"/>
  <c r="M30" i="63"/>
  <c r="L30" i="63"/>
  <c r="K30" i="63"/>
  <c r="J30" i="63"/>
  <c r="I30" i="63"/>
  <c r="H30" i="63"/>
  <c r="G30" i="63"/>
  <c r="F30" i="63"/>
  <c r="E30" i="63"/>
  <c r="AD29" i="63"/>
  <c r="AC29" i="63"/>
  <c r="AB29" i="63"/>
  <c r="AA29" i="63"/>
  <c r="Z29" i="63"/>
  <c r="Y29" i="63"/>
  <c r="X29" i="63"/>
  <c r="W29" i="63"/>
  <c r="V29" i="63"/>
  <c r="U29" i="63"/>
  <c r="T29" i="63"/>
  <c r="S29" i="63"/>
  <c r="R29" i="63"/>
  <c r="Q29" i="63"/>
  <c r="P29" i="63"/>
  <c r="O29" i="63"/>
  <c r="N29" i="63"/>
  <c r="M29" i="63"/>
  <c r="L29" i="63"/>
  <c r="K29" i="63"/>
  <c r="J29" i="63"/>
  <c r="I29" i="63"/>
  <c r="H29" i="63"/>
  <c r="G29" i="63"/>
  <c r="F29" i="63"/>
  <c r="E29" i="63"/>
  <c r="AD28" i="63"/>
  <c r="AC28" i="63"/>
  <c r="AB28" i="63"/>
  <c r="AA28" i="63"/>
  <c r="Z28" i="63"/>
  <c r="Y28" i="63"/>
  <c r="X28" i="63"/>
  <c r="W28" i="63"/>
  <c r="V28" i="63"/>
  <c r="U28" i="63"/>
  <c r="T28" i="63"/>
  <c r="S28" i="63"/>
  <c r="R28" i="63"/>
  <c r="Q28" i="63"/>
  <c r="P28" i="63"/>
  <c r="O28" i="63"/>
  <c r="N28" i="63"/>
  <c r="M28" i="63"/>
  <c r="L28" i="63"/>
  <c r="K28" i="63"/>
  <c r="J28" i="63"/>
  <c r="I28" i="63"/>
  <c r="H28" i="63"/>
  <c r="G28" i="63"/>
  <c r="F28" i="63"/>
  <c r="E28" i="63"/>
  <c r="AD27" i="63"/>
  <c r="AC27" i="63"/>
  <c r="AB27" i="63"/>
  <c r="AA27" i="63"/>
  <c r="Z27" i="63"/>
  <c r="Y27" i="63"/>
  <c r="X27" i="63"/>
  <c r="W27" i="63"/>
  <c r="V27" i="63"/>
  <c r="U27" i="63"/>
  <c r="T27" i="63"/>
  <c r="S27" i="63"/>
  <c r="R27" i="63"/>
  <c r="Q27" i="63"/>
  <c r="P27" i="63"/>
  <c r="O27" i="63"/>
  <c r="N27" i="63"/>
  <c r="M27" i="63"/>
  <c r="L27" i="63"/>
  <c r="K27" i="63"/>
  <c r="J27" i="63"/>
  <c r="I27" i="63"/>
  <c r="H27" i="63"/>
  <c r="G27" i="63"/>
  <c r="F27" i="63"/>
  <c r="E27" i="63"/>
  <c r="AD26" i="63"/>
  <c r="AC26" i="63"/>
  <c r="AB26" i="63"/>
  <c r="AA26" i="63"/>
  <c r="Z26" i="63"/>
  <c r="Y26" i="63"/>
  <c r="X26" i="63"/>
  <c r="W26" i="63"/>
  <c r="V26" i="63"/>
  <c r="U26" i="63"/>
  <c r="T26" i="63"/>
  <c r="S26" i="63"/>
  <c r="R26" i="63"/>
  <c r="Q26" i="63"/>
  <c r="P26" i="63"/>
  <c r="O26" i="63"/>
  <c r="N26" i="63"/>
  <c r="M26" i="63"/>
  <c r="L26" i="63"/>
  <c r="K26" i="63"/>
  <c r="J26" i="63"/>
  <c r="I26" i="63"/>
  <c r="H26" i="63"/>
  <c r="G26" i="63"/>
  <c r="F26" i="63"/>
  <c r="E26" i="63"/>
  <c r="AD25" i="63"/>
  <c r="AC25" i="63"/>
  <c r="AB25" i="63"/>
  <c r="AA25" i="63"/>
  <c r="Z25" i="63"/>
  <c r="Y25" i="63"/>
  <c r="X25" i="63"/>
  <c r="W25" i="63"/>
  <c r="V25" i="63"/>
  <c r="U25" i="63"/>
  <c r="T25" i="63"/>
  <c r="S25" i="63"/>
  <c r="R25" i="63"/>
  <c r="Q25" i="63"/>
  <c r="P25" i="63"/>
  <c r="O25" i="63"/>
  <c r="N25" i="63"/>
  <c r="M25" i="63"/>
  <c r="L25" i="63"/>
  <c r="K25" i="63"/>
  <c r="J25" i="63"/>
  <c r="I25" i="63"/>
  <c r="H25" i="63"/>
  <c r="G25" i="63"/>
  <c r="F25" i="63"/>
  <c r="E25" i="63"/>
  <c r="AD24" i="63"/>
  <c r="AC24" i="63"/>
  <c r="AB24" i="63"/>
  <c r="AA24" i="63"/>
  <c r="Z24" i="63"/>
  <c r="Y24" i="63"/>
  <c r="X24" i="63"/>
  <c r="W24" i="63"/>
  <c r="V24" i="63"/>
  <c r="U24" i="63"/>
  <c r="T24" i="63"/>
  <c r="S24" i="63"/>
  <c r="R24" i="63"/>
  <c r="Q24" i="63"/>
  <c r="P24" i="63"/>
  <c r="O24" i="63"/>
  <c r="N24" i="63"/>
  <c r="M24" i="63"/>
  <c r="L24" i="63"/>
  <c r="K24" i="63"/>
  <c r="J24" i="63"/>
  <c r="I24" i="63"/>
  <c r="H24" i="63"/>
  <c r="G24" i="63"/>
  <c r="F24" i="63"/>
  <c r="E24" i="63"/>
  <c r="AD23" i="63"/>
  <c r="AC23" i="63"/>
  <c r="AB23" i="63"/>
  <c r="AA23" i="63"/>
  <c r="Z23" i="63"/>
  <c r="Y23" i="63"/>
  <c r="X23" i="63"/>
  <c r="W23" i="63"/>
  <c r="V23" i="63"/>
  <c r="U23" i="63"/>
  <c r="T23" i="63"/>
  <c r="S23" i="63"/>
  <c r="R23" i="63"/>
  <c r="Q23" i="63"/>
  <c r="P23" i="63"/>
  <c r="O23" i="63"/>
  <c r="N23" i="63"/>
  <c r="M23" i="63"/>
  <c r="L23" i="63"/>
  <c r="K23" i="63"/>
  <c r="J23" i="63"/>
  <c r="I23" i="63"/>
  <c r="H23" i="63"/>
  <c r="G23" i="63"/>
  <c r="F23" i="63"/>
  <c r="E23" i="63"/>
  <c r="AD22" i="63"/>
  <c r="AC22" i="63"/>
  <c r="AB22" i="63"/>
  <c r="AA22" i="63"/>
  <c r="Z22" i="63"/>
  <c r="Y22" i="63"/>
  <c r="X22" i="63"/>
  <c r="W22" i="63"/>
  <c r="V22" i="63"/>
  <c r="U22" i="63"/>
  <c r="T22" i="63"/>
  <c r="S22" i="63"/>
  <c r="R22" i="63"/>
  <c r="Q22" i="63"/>
  <c r="P22" i="63"/>
  <c r="O22" i="63"/>
  <c r="N22" i="63"/>
  <c r="M22" i="63"/>
  <c r="L22" i="63"/>
  <c r="K22" i="63"/>
  <c r="J22" i="63"/>
  <c r="I22" i="63"/>
  <c r="H22" i="63"/>
  <c r="G22" i="63"/>
  <c r="F22" i="63"/>
  <c r="E22" i="63"/>
  <c r="AD21" i="63"/>
  <c r="AC21" i="63"/>
  <c r="AB21" i="63"/>
  <c r="AA21" i="63"/>
  <c r="Z21" i="63"/>
  <c r="Y21" i="63"/>
  <c r="X21" i="63"/>
  <c r="W21" i="63"/>
  <c r="V21" i="63"/>
  <c r="U21" i="63"/>
  <c r="T21" i="63"/>
  <c r="S21" i="63"/>
  <c r="R21" i="63"/>
  <c r="Q21" i="63"/>
  <c r="P21" i="63"/>
  <c r="O21" i="63"/>
  <c r="N21" i="63"/>
  <c r="M21" i="63"/>
  <c r="L21" i="63"/>
  <c r="K21" i="63"/>
  <c r="J21" i="63"/>
  <c r="I21" i="63"/>
  <c r="H21" i="63"/>
  <c r="G21" i="63"/>
  <c r="F21" i="63"/>
  <c r="E21" i="63"/>
  <c r="AD20" i="63"/>
  <c r="AC20" i="63"/>
  <c r="AB20" i="63"/>
  <c r="AA20" i="63"/>
  <c r="Z20" i="63"/>
  <c r="Y20" i="63"/>
  <c r="X20" i="63"/>
  <c r="W20" i="63"/>
  <c r="V20" i="63"/>
  <c r="U20" i="63"/>
  <c r="T20" i="63"/>
  <c r="S20" i="63"/>
  <c r="R20" i="63"/>
  <c r="Q20" i="63"/>
  <c r="P20" i="63"/>
  <c r="O20" i="63"/>
  <c r="N20" i="63"/>
  <c r="M20" i="63"/>
  <c r="L20" i="63"/>
  <c r="K20" i="63"/>
  <c r="J20" i="63"/>
  <c r="I20" i="63"/>
  <c r="H20" i="63"/>
  <c r="G20" i="63"/>
  <c r="F20" i="63"/>
  <c r="E20" i="63"/>
  <c r="AD19" i="63"/>
  <c r="AC19" i="63"/>
  <c r="AB19" i="63"/>
  <c r="AA19" i="63"/>
  <c r="Z19" i="63"/>
  <c r="Y19" i="63"/>
  <c r="X19" i="63"/>
  <c r="W19" i="63"/>
  <c r="V19" i="63"/>
  <c r="U19" i="63"/>
  <c r="T19" i="63"/>
  <c r="S19" i="63"/>
  <c r="R19" i="63"/>
  <c r="Q19" i="63"/>
  <c r="P19" i="63"/>
  <c r="O19" i="63"/>
  <c r="N19" i="63"/>
  <c r="M19" i="63"/>
  <c r="L19" i="63"/>
  <c r="K19" i="63"/>
  <c r="J19" i="63"/>
  <c r="I19" i="63"/>
  <c r="H19" i="63"/>
  <c r="G19" i="63"/>
  <c r="F19" i="63"/>
  <c r="E19" i="63"/>
  <c r="AD18" i="63"/>
  <c r="AC18" i="63"/>
  <c r="AB18" i="63"/>
  <c r="AA18" i="63"/>
  <c r="Z18" i="63"/>
  <c r="Y18" i="63"/>
  <c r="X18" i="63"/>
  <c r="W18" i="63"/>
  <c r="V18" i="63"/>
  <c r="U18" i="63"/>
  <c r="T18" i="63"/>
  <c r="S18" i="63"/>
  <c r="R18" i="63"/>
  <c r="Q18" i="63"/>
  <c r="P18" i="63"/>
  <c r="O18" i="63"/>
  <c r="N18" i="63"/>
  <c r="M18" i="63"/>
  <c r="L18" i="63"/>
  <c r="K18" i="63"/>
  <c r="J18" i="63"/>
  <c r="I18" i="63"/>
  <c r="H18" i="63"/>
  <c r="G18" i="63"/>
  <c r="F18" i="63"/>
  <c r="E18" i="63"/>
  <c r="AD17" i="63"/>
  <c r="AC17" i="63"/>
  <c r="AB17" i="63"/>
  <c r="AA17" i="63"/>
  <c r="Z17" i="63"/>
  <c r="Y17" i="63"/>
  <c r="X17" i="63"/>
  <c r="W17" i="63"/>
  <c r="V17" i="63"/>
  <c r="U17" i="63"/>
  <c r="T17" i="63"/>
  <c r="S17" i="63"/>
  <c r="R17" i="63"/>
  <c r="Q17" i="63"/>
  <c r="P17" i="63"/>
  <c r="O17" i="63"/>
  <c r="N17" i="63"/>
  <c r="M17" i="63"/>
  <c r="L17" i="63"/>
  <c r="K17" i="63"/>
  <c r="J17" i="63"/>
  <c r="I17" i="63"/>
  <c r="H17" i="63"/>
  <c r="G17" i="63"/>
  <c r="F17" i="63"/>
  <c r="E17" i="63"/>
  <c r="AD16" i="63"/>
  <c r="AC16" i="63"/>
  <c r="AB16" i="63"/>
  <c r="AA16" i="63"/>
  <c r="Z16" i="63"/>
  <c r="Y16" i="63"/>
  <c r="X16" i="63"/>
  <c r="W16" i="63"/>
  <c r="V16" i="63"/>
  <c r="U16" i="63"/>
  <c r="T16" i="63"/>
  <c r="S16" i="63"/>
  <c r="R16" i="63"/>
  <c r="Q16" i="63"/>
  <c r="P16" i="63"/>
  <c r="O16" i="63"/>
  <c r="N16" i="63"/>
  <c r="M16" i="63"/>
  <c r="L16" i="63"/>
  <c r="K16" i="63"/>
  <c r="J16" i="63"/>
  <c r="I16" i="63"/>
  <c r="H16" i="63"/>
  <c r="G16" i="63"/>
  <c r="F16" i="63"/>
  <c r="E16" i="63"/>
  <c r="AD15" i="63"/>
  <c r="AC15" i="63"/>
  <c r="AB15" i="63"/>
  <c r="AA15" i="63"/>
  <c r="Z15" i="63"/>
  <c r="Y15" i="63"/>
  <c r="X15" i="63"/>
  <c r="W15" i="63"/>
  <c r="V15" i="63"/>
  <c r="U15" i="63"/>
  <c r="T15" i="63"/>
  <c r="S15" i="63"/>
  <c r="R15" i="63"/>
  <c r="Q15" i="63"/>
  <c r="P15" i="63"/>
  <c r="O15" i="63"/>
  <c r="N15" i="63"/>
  <c r="M15" i="63"/>
  <c r="L15" i="63"/>
  <c r="K15" i="63"/>
  <c r="J15" i="63"/>
  <c r="I15" i="63"/>
  <c r="H15" i="63"/>
  <c r="G15" i="63"/>
  <c r="F15" i="63"/>
  <c r="E15" i="63"/>
  <c r="AD14" i="63"/>
  <c r="AC14" i="63"/>
  <c r="AB14" i="63"/>
  <c r="AA14" i="63"/>
  <c r="Z14" i="63"/>
  <c r="Y14" i="63"/>
  <c r="X14" i="63"/>
  <c r="W14" i="63"/>
  <c r="V14" i="63"/>
  <c r="U14" i="63"/>
  <c r="T14" i="63"/>
  <c r="S14" i="63"/>
  <c r="R14" i="63"/>
  <c r="Q14" i="63"/>
  <c r="P14" i="63"/>
  <c r="O14" i="63"/>
  <c r="N14" i="63"/>
  <c r="M14" i="63"/>
  <c r="L14" i="63"/>
  <c r="K14" i="63"/>
  <c r="J14" i="63"/>
  <c r="I14" i="63"/>
  <c r="H14" i="63"/>
  <c r="G14" i="63"/>
  <c r="F14" i="63"/>
  <c r="E14" i="63"/>
  <c r="AD13" i="63"/>
  <c r="AC13" i="63"/>
  <c r="AB13" i="63"/>
  <c r="AA13" i="63"/>
  <c r="Z13" i="63"/>
  <c r="Y13" i="63"/>
  <c r="X13" i="63"/>
  <c r="W13" i="63"/>
  <c r="V13" i="63"/>
  <c r="U13" i="63"/>
  <c r="T13" i="63"/>
  <c r="S13" i="63"/>
  <c r="R13" i="63"/>
  <c r="Q13" i="63"/>
  <c r="P13" i="63"/>
  <c r="O13" i="63"/>
  <c r="N13" i="63"/>
  <c r="M13" i="63"/>
  <c r="L13" i="63"/>
  <c r="K13" i="63"/>
  <c r="J13" i="63"/>
  <c r="I13" i="63"/>
  <c r="H13" i="63"/>
  <c r="G13" i="63"/>
  <c r="F13" i="63"/>
  <c r="E13" i="63"/>
  <c r="AD12" i="63"/>
  <c r="AC12" i="63"/>
  <c r="AB12" i="63"/>
  <c r="AA12" i="63"/>
  <c r="Z12" i="63"/>
  <c r="Y12" i="63"/>
  <c r="X12" i="63"/>
  <c r="W12" i="63"/>
  <c r="V12" i="63"/>
  <c r="U12" i="63"/>
  <c r="T12" i="63"/>
  <c r="S12" i="63"/>
  <c r="R12" i="63"/>
  <c r="Q12" i="63"/>
  <c r="P12" i="63"/>
  <c r="O12" i="63"/>
  <c r="N12" i="63"/>
  <c r="M12" i="63"/>
  <c r="L12" i="63"/>
  <c r="K12" i="63"/>
  <c r="J12" i="63"/>
  <c r="I12" i="63"/>
  <c r="H12" i="63"/>
  <c r="G12" i="63"/>
  <c r="F12" i="63"/>
  <c r="E12" i="63"/>
  <c r="AD11" i="63"/>
  <c r="AC11" i="63"/>
  <c r="AB11" i="63"/>
  <c r="AA11" i="63"/>
  <c r="Z11" i="63"/>
  <c r="Y11" i="63"/>
  <c r="X11" i="63"/>
  <c r="W11" i="63"/>
  <c r="V11" i="63"/>
  <c r="U11" i="63"/>
  <c r="T11" i="63"/>
  <c r="S11" i="63"/>
  <c r="R11" i="63"/>
  <c r="Q11" i="63"/>
  <c r="P11" i="63"/>
  <c r="O11" i="63"/>
  <c r="N11" i="63"/>
  <c r="M11" i="63"/>
  <c r="L11" i="63"/>
  <c r="K11" i="63"/>
  <c r="J11" i="63"/>
  <c r="I11" i="63"/>
  <c r="H11" i="63"/>
  <c r="G11" i="63"/>
  <c r="F11" i="63"/>
  <c r="E11" i="63"/>
  <c r="AD10" i="63"/>
  <c r="AC10" i="63"/>
  <c r="AB10" i="63"/>
  <c r="AA10" i="63"/>
  <c r="Z10" i="63"/>
  <c r="Y10" i="63"/>
  <c r="X10" i="63"/>
  <c r="W10" i="63"/>
  <c r="V10" i="63"/>
  <c r="U10" i="63"/>
  <c r="T10" i="63"/>
  <c r="S10" i="63"/>
  <c r="R10" i="63"/>
  <c r="Q10" i="63"/>
  <c r="P10" i="63"/>
  <c r="O10" i="63"/>
  <c r="N10" i="63"/>
  <c r="M10" i="63"/>
  <c r="L10" i="63"/>
  <c r="K10" i="63"/>
  <c r="J10" i="63"/>
  <c r="I10" i="63"/>
  <c r="H10" i="63"/>
  <c r="G10" i="63"/>
  <c r="F10" i="63"/>
  <c r="E10" i="63"/>
  <c r="AD9" i="63"/>
  <c r="AC9" i="63"/>
  <c r="AB9" i="63"/>
  <c r="AA9" i="63"/>
  <c r="Z9" i="63"/>
  <c r="Y9" i="63"/>
  <c r="X9" i="63"/>
  <c r="W9" i="63"/>
  <c r="V9" i="63"/>
  <c r="U9" i="63"/>
  <c r="T9" i="63"/>
  <c r="S9" i="63"/>
  <c r="R9" i="63"/>
  <c r="Q9" i="63"/>
  <c r="P9" i="63"/>
  <c r="O9" i="63"/>
  <c r="N9" i="63"/>
  <c r="M9" i="63"/>
  <c r="L9" i="63"/>
  <c r="K9" i="63"/>
  <c r="J9" i="63"/>
  <c r="I9" i="63"/>
  <c r="H9" i="63"/>
  <c r="G9" i="63"/>
  <c r="F9" i="63"/>
  <c r="E9" i="63"/>
  <c r="AD8" i="63"/>
  <c r="AC8" i="63"/>
  <c r="AB8" i="63"/>
  <c r="AA8" i="63"/>
  <c r="Z8" i="63"/>
  <c r="Y8" i="63"/>
  <c r="X8" i="63"/>
  <c r="W8" i="63"/>
  <c r="V8" i="63"/>
  <c r="U8" i="63"/>
  <c r="T8" i="63"/>
  <c r="S8" i="63"/>
  <c r="R8" i="63"/>
  <c r="Q8" i="63"/>
  <c r="P8" i="63"/>
  <c r="O8" i="63"/>
  <c r="N8" i="63"/>
  <c r="M8" i="63"/>
  <c r="L8" i="63"/>
  <c r="K8" i="63"/>
  <c r="J8" i="63"/>
  <c r="I8" i="63"/>
  <c r="H8" i="63"/>
  <c r="G8" i="63"/>
  <c r="F8" i="63"/>
  <c r="E8" i="63"/>
  <c r="AD7" i="63"/>
  <c r="AC7" i="63"/>
  <c r="AB7" i="63"/>
  <c r="AA7" i="63"/>
  <c r="Z7" i="63"/>
  <c r="Y7" i="63"/>
  <c r="X7" i="63"/>
  <c r="W7" i="63"/>
  <c r="V7" i="63"/>
  <c r="U7" i="63"/>
  <c r="T7" i="63"/>
  <c r="S7" i="63"/>
  <c r="R7" i="63"/>
  <c r="Q7" i="63"/>
  <c r="P7" i="63"/>
  <c r="O7" i="63"/>
  <c r="N7" i="63"/>
  <c r="M7" i="63"/>
  <c r="L7" i="63"/>
  <c r="K7" i="63"/>
  <c r="J7" i="63"/>
  <c r="I7" i="63"/>
  <c r="H7" i="63"/>
  <c r="G7" i="63"/>
  <c r="F7" i="63"/>
  <c r="E7" i="63"/>
  <c r="AD6" i="63"/>
  <c r="AC6" i="63"/>
  <c r="AB6" i="63"/>
  <c r="AA6" i="63"/>
  <c r="Z6" i="63"/>
  <c r="Y6" i="63"/>
  <c r="X6" i="63"/>
  <c r="W6" i="63"/>
  <c r="V6" i="63"/>
  <c r="U6" i="63"/>
  <c r="T6" i="63"/>
  <c r="S6" i="63"/>
  <c r="R6" i="63"/>
  <c r="Q6" i="63"/>
  <c r="P6" i="63"/>
  <c r="O6" i="63"/>
  <c r="N6" i="63"/>
  <c r="M6" i="63"/>
  <c r="L6" i="63"/>
  <c r="K6" i="63"/>
  <c r="J6" i="63"/>
  <c r="I6" i="63"/>
  <c r="H6" i="63"/>
  <c r="G6" i="63"/>
  <c r="F6" i="63"/>
  <c r="E6" i="63"/>
  <c r="AD5" i="63"/>
  <c r="AC5" i="63"/>
  <c r="AB5" i="63"/>
  <c r="AA5" i="63"/>
  <c r="Z5" i="63"/>
  <c r="Y5" i="63"/>
  <c r="X5" i="63"/>
  <c r="W5" i="63"/>
  <c r="V5" i="63"/>
  <c r="U5" i="63"/>
  <c r="T5" i="63"/>
  <c r="S5" i="63"/>
  <c r="R5" i="63"/>
  <c r="Q5" i="63"/>
  <c r="P5" i="63"/>
  <c r="O5" i="63"/>
  <c r="N5" i="63"/>
  <c r="M5" i="63"/>
  <c r="L5" i="63"/>
  <c r="K5" i="63"/>
  <c r="J5" i="63"/>
  <c r="I5" i="63"/>
  <c r="H5" i="63"/>
  <c r="G5" i="63"/>
  <c r="F5" i="63"/>
  <c r="E5" i="63"/>
  <c r="F55" i="63"/>
  <c r="F54" i="63"/>
  <c r="N36" i="61"/>
  <c r="P36" i="61"/>
  <c r="O36" i="61"/>
  <c r="AA31" i="62"/>
  <c r="R9" i="62"/>
  <c r="R36" i="62" s="1"/>
  <c r="R10" i="62"/>
  <c r="R11" i="62"/>
  <c r="R12" i="62"/>
  <c r="R13" i="62"/>
  <c r="R14" i="62"/>
  <c r="R15" i="62"/>
  <c r="R16" i="62"/>
  <c r="R17" i="62"/>
  <c r="R18" i="62"/>
  <c r="R19" i="62"/>
  <c r="R20" i="62"/>
  <c r="R21" i="62"/>
  <c r="R22" i="62"/>
  <c r="R23" i="62"/>
  <c r="R24" i="62"/>
  <c r="R25" i="62"/>
  <c r="R26" i="62"/>
  <c r="R27" i="62"/>
  <c r="R28" i="62"/>
  <c r="R29" i="62"/>
  <c r="R30" i="62"/>
  <c r="R31" i="62"/>
  <c r="R32" i="62"/>
  <c r="R33" i="62"/>
  <c r="R34" i="62"/>
  <c r="R35" i="62"/>
  <c r="R39" i="62"/>
  <c r="R40" i="62"/>
  <c r="R41" i="62"/>
  <c r="R42" i="62"/>
  <c r="R43" i="62"/>
  <c r="R44" i="62"/>
  <c r="R45" i="62"/>
  <c r="R46" i="62"/>
  <c r="R47" i="62"/>
  <c r="AF47" i="59"/>
  <c r="D36" i="59"/>
  <c r="H36" i="59"/>
  <c r="L36" i="59"/>
  <c r="E36" i="59"/>
  <c r="C36" i="59"/>
  <c r="B36" i="59"/>
  <c r="I36" i="59"/>
  <c r="G36" i="59"/>
  <c r="F36" i="59"/>
  <c r="M36" i="59"/>
  <c r="K36" i="59"/>
  <c r="J36" i="59"/>
  <c r="Q36" i="59"/>
  <c r="P36" i="59"/>
  <c r="O36" i="59"/>
  <c r="N36" i="59"/>
  <c r="R36" i="59"/>
  <c r="Z36" i="59"/>
  <c r="AD23" i="59"/>
  <c r="AD23" i="60"/>
  <c r="E36" i="60"/>
  <c r="D36" i="60"/>
  <c r="C36" i="60"/>
  <c r="B36" i="60"/>
  <c r="I36" i="60"/>
  <c r="H36" i="60"/>
  <c r="G36" i="60"/>
  <c r="F36" i="60"/>
  <c r="R36" i="60"/>
  <c r="AD23" i="61"/>
  <c r="D36" i="61"/>
  <c r="C36" i="61"/>
  <c r="B36" i="61"/>
  <c r="I36" i="61"/>
  <c r="H36" i="61"/>
  <c r="G36" i="61"/>
  <c r="F36" i="61"/>
  <c r="R36" i="61"/>
  <c r="Z7" i="59"/>
  <c r="Z7" i="60" s="1"/>
  <c r="R36" i="58"/>
  <c r="S36" i="58"/>
  <c r="T36" i="58"/>
  <c r="U36" i="58"/>
  <c r="V36" i="58"/>
  <c r="W36" i="58"/>
  <c r="X36" i="58"/>
  <c r="Y36" i="58"/>
  <c r="Z36" i="58"/>
  <c r="AA36" i="58"/>
  <c r="AB36" i="58"/>
  <c r="AC36" i="58"/>
  <c r="P36" i="58"/>
  <c r="Q36" i="58"/>
  <c r="O36" i="58"/>
  <c r="N36" i="58"/>
  <c r="AJ23" i="57"/>
  <c r="AI23" i="57"/>
  <c r="AJ17" i="57"/>
  <c r="AJ16" i="57"/>
  <c r="AJ13" i="57"/>
  <c r="AI13" i="57"/>
  <c r="AI25" i="57"/>
  <c r="S10" i="56"/>
  <c r="S14" i="56"/>
  <c r="S15" i="56"/>
  <c r="S18" i="56"/>
  <c r="S28" i="56"/>
  <c r="S29" i="56"/>
  <c r="S34" i="56"/>
  <c r="S39" i="56"/>
  <c r="AA19" i="54"/>
  <c r="AA12" i="52"/>
  <c r="AA15" i="52"/>
  <c r="AA16" i="52"/>
  <c r="AA19" i="52"/>
  <c r="AA29" i="52"/>
  <c r="AA35" i="52"/>
  <c r="AA41" i="52"/>
  <c r="AA12" i="51"/>
  <c r="AA15" i="51"/>
  <c r="AA16" i="51"/>
  <c r="AA19" i="51"/>
  <c r="AA29" i="51"/>
  <c r="AA35" i="51"/>
  <c r="AA41" i="51"/>
  <c r="AA12" i="50"/>
  <c r="AA15" i="50"/>
  <c r="AA16" i="50"/>
  <c r="AA19" i="50"/>
  <c r="AA20" i="50"/>
  <c r="AA29" i="50"/>
  <c r="AA35" i="50"/>
  <c r="AA41" i="50"/>
  <c r="R3" i="67" l="1"/>
  <c r="AH18" i="57"/>
  <c r="AH21" i="57"/>
  <c r="R13" i="47"/>
  <c r="R12" i="47"/>
  <c r="R11" i="47"/>
  <c r="Q14" i="47"/>
  <c r="R6" i="47"/>
  <c r="R5" i="47"/>
  <c r="R4" i="47"/>
  <c r="B19" i="15"/>
  <c r="B15" i="15"/>
  <c r="B16" i="15"/>
  <c r="B17" i="15"/>
  <c r="B18" i="15"/>
  <c r="B14" i="15"/>
  <c r="B11" i="15"/>
  <c r="B12" i="15"/>
  <c r="B10" i="15"/>
  <c r="B9" i="15"/>
  <c r="W19" i="48" l="1"/>
  <c r="V19" i="48"/>
  <c r="W18" i="48"/>
  <c r="V18" i="48"/>
  <c r="W17" i="48"/>
  <c r="V17" i="48"/>
  <c r="W15" i="48"/>
  <c r="V15" i="48"/>
  <c r="W14" i="48"/>
  <c r="V14" i="48"/>
  <c r="W13" i="48"/>
  <c r="V13" i="48"/>
  <c r="W12" i="48"/>
  <c r="V12" i="48"/>
  <c r="W11" i="48"/>
  <c r="V11" i="48"/>
  <c r="U19" i="48"/>
  <c r="T19" i="48"/>
  <c r="U18" i="48"/>
  <c r="T18" i="48"/>
  <c r="U17" i="48"/>
  <c r="T17" i="48"/>
  <c r="U15" i="48"/>
  <c r="T15" i="48"/>
  <c r="U14" i="48"/>
  <c r="T14" i="48"/>
  <c r="U13" i="48"/>
  <c r="T13" i="48"/>
  <c r="U12" i="48"/>
  <c r="T12" i="48"/>
  <c r="U11" i="48"/>
  <c r="T11" i="48"/>
  <c r="S19" i="48"/>
  <c r="R19" i="48"/>
  <c r="S18" i="48"/>
  <c r="R18" i="48"/>
  <c r="S17" i="48"/>
  <c r="R17" i="48"/>
  <c r="S15" i="48"/>
  <c r="R15" i="48"/>
  <c r="S14" i="48"/>
  <c r="R14" i="48"/>
  <c r="S13" i="48"/>
  <c r="R13" i="48"/>
  <c r="S12" i="48"/>
  <c r="R12" i="48"/>
  <c r="S11" i="48"/>
  <c r="R11" i="48"/>
  <c r="Q19" i="48"/>
  <c r="P19" i="48"/>
  <c r="Q18" i="48"/>
  <c r="P18" i="48"/>
  <c r="Q17" i="48"/>
  <c r="P17" i="48"/>
  <c r="Q15" i="48"/>
  <c r="P15" i="48"/>
  <c r="Q14" i="48"/>
  <c r="P14" i="48"/>
  <c r="Q13" i="48"/>
  <c r="P13" i="48"/>
  <c r="Q12" i="48"/>
  <c r="P12" i="48"/>
  <c r="Q11" i="48"/>
  <c r="P11" i="48"/>
  <c r="O19" i="48"/>
  <c r="N19" i="48"/>
  <c r="O18" i="48"/>
  <c r="N18" i="48"/>
  <c r="O17" i="48"/>
  <c r="N17" i="48"/>
  <c r="O15" i="48"/>
  <c r="N15" i="48"/>
  <c r="O14" i="48"/>
  <c r="N14" i="48"/>
  <c r="O13" i="48"/>
  <c r="N13" i="48"/>
  <c r="O12" i="48"/>
  <c r="N12" i="48"/>
  <c r="O11" i="48"/>
  <c r="N11" i="48"/>
  <c r="M19" i="48"/>
  <c r="L19" i="48"/>
  <c r="M18" i="48"/>
  <c r="L18" i="48"/>
  <c r="M17" i="48"/>
  <c r="L17" i="48"/>
  <c r="M15" i="48"/>
  <c r="L15" i="48"/>
  <c r="M14" i="48"/>
  <c r="L14" i="48"/>
  <c r="M13" i="48"/>
  <c r="L13" i="48"/>
  <c r="M12" i="48"/>
  <c r="L12" i="48"/>
  <c r="M11" i="48"/>
  <c r="L11" i="48"/>
  <c r="I19" i="48"/>
  <c r="H19" i="48"/>
  <c r="I18" i="48"/>
  <c r="H18" i="48"/>
  <c r="I17" i="48"/>
  <c r="H17" i="48"/>
  <c r="I15" i="48"/>
  <c r="H15" i="48"/>
  <c r="I14" i="48"/>
  <c r="H14" i="48"/>
  <c r="I13" i="48"/>
  <c r="H13" i="48"/>
  <c r="I12" i="48"/>
  <c r="H12" i="48"/>
  <c r="I11" i="48"/>
  <c r="H11" i="48"/>
  <c r="G19" i="48"/>
  <c r="F19" i="48"/>
  <c r="G18" i="48"/>
  <c r="F18" i="48"/>
  <c r="G17" i="48"/>
  <c r="F17" i="48"/>
  <c r="G15" i="48"/>
  <c r="F15" i="48"/>
  <c r="G14" i="48"/>
  <c r="F14" i="48"/>
  <c r="G13" i="48"/>
  <c r="F13" i="48"/>
  <c r="G12" i="48"/>
  <c r="F12" i="48"/>
  <c r="G11" i="48"/>
  <c r="F11" i="48"/>
  <c r="E19" i="48"/>
  <c r="D19" i="48"/>
  <c r="E18" i="48"/>
  <c r="D18" i="48"/>
  <c r="E17" i="48"/>
  <c r="D17" i="48"/>
  <c r="E15" i="48"/>
  <c r="D15" i="48"/>
  <c r="E14" i="48"/>
  <c r="D14" i="48"/>
  <c r="E13" i="48"/>
  <c r="D13" i="48"/>
  <c r="E12" i="48"/>
  <c r="D12" i="48"/>
  <c r="E11" i="48"/>
  <c r="D11" i="48"/>
  <c r="C19" i="48"/>
  <c r="B19" i="48"/>
  <c r="C18" i="48"/>
  <c r="B18" i="48"/>
  <c r="C17" i="48"/>
  <c r="B17" i="48"/>
  <c r="C15" i="48"/>
  <c r="B15" i="48"/>
  <c r="C14" i="48"/>
  <c r="B14" i="48"/>
  <c r="C13" i="48"/>
  <c r="B13" i="48"/>
  <c r="C12" i="48"/>
  <c r="B12" i="48"/>
  <c r="C11" i="48"/>
  <c r="B11" i="48"/>
  <c r="X20" i="30"/>
  <c r="Z20" i="30"/>
  <c r="AB20" i="30"/>
  <c r="AD20" i="30"/>
  <c r="V20" i="30"/>
  <c r="T20" i="30"/>
  <c r="P20" i="30"/>
  <c r="N20" i="30"/>
  <c r="L20" i="30"/>
  <c r="J20" i="30"/>
  <c r="E16" i="48" l="1"/>
  <c r="D16" i="48"/>
  <c r="J11" i="48"/>
  <c r="J59" i="46" l="1"/>
  <c r="I59" i="46"/>
  <c r="H59" i="46"/>
  <c r="G59" i="46"/>
  <c r="F59" i="46"/>
  <c r="E59" i="46"/>
  <c r="D59" i="46"/>
  <c r="C59" i="46"/>
  <c r="J58" i="46"/>
  <c r="I58" i="46"/>
  <c r="H58" i="46"/>
  <c r="G58" i="46"/>
  <c r="F58" i="46"/>
  <c r="E58" i="46"/>
  <c r="D58" i="46"/>
  <c r="C58" i="46"/>
  <c r="J57" i="46"/>
  <c r="I57" i="46"/>
  <c r="H57" i="46"/>
  <c r="G57" i="46"/>
  <c r="F57" i="46"/>
  <c r="E57" i="46"/>
  <c r="D57" i="46"/>
  <c r="C57" i="46"/>
  <c r="J56" i="46"/>
  <c r="I56" i="46"/>
  <c r="H56" i="46"/>
  <c r="G56" i="46"/>
  <c r="F56" i="46"/>
  <c r="E56" i="46"/>
  <c r="D56" i="46"/>
  <c r="C56" i="46"/>
  <c r="J49" i="46"/>
  <c r="I49" i="46"/>
  <c r="H49" i="46"/>
  <c r="G49" i="46"/>
  <c r="F49" i="46"/>
  <c r="E49" i="46"/>
  <c r="D49" i="46"/>
  <c r="C49" i="46"/>
  <c r="J48" i="46"/>
  <c r="I48" i="46"/>
  <c r="H48" i="46"/>
  <c r="G48" i="46"/>
  <c r="F48" i="46"/>
  <c r="E48" i="46"/>
  <c r="D48" i="46"/>
  <c r="C48" i="46"/>
  <c r="J47" i="46"/>
  <c r="I47" i="46"/>
  <c r="H47" i="46"/>
  <c r="G47" i="46"/>
  <c r="F47" i="46"/>
  <c r="E47" i="46"/>
  <c r="D47" i="46"/>
  <c r="C47" i="46"/>
  <c r="J46" i="46"/>
  <c r="I46" i="46"/>
  <c r="H46" i="46"/>
  <c r="G46" i="46"/>
  <c r="F46" i="46"/>
  <c r="E46" i="46"/>
  <c r="D46" i="46"/>
  <c r="C46" i="46"/>
  <c r="I40" i="46"/>
  <c r="G40" i="46"/>
  <c r="E40" i="46"/>
  <c r="C40" i="46"/>
  <c r="I39" i="46"/>
  <c r="G39" i="46"/>
  <c r="E39" i="46"/>
  <c r="C39" i="46"/>
  <c r="I38" i="46"/>
  <c r="G38" i="46"/>
  <c r="E38" i="46"/>
  <c r="C38" i="46"/>
  <c r="I36" i="46"/>
  <c r="G36" i="46"/>
  <c r="E36" i="46"/>
  <c r="C36" i="46"/>
  <c r="I35" i="46"/>
  <c r="G35" i="46"/>
  <c r="E35" i="46"/>
  <c r="C35" i="46"/>
  <c r="I34" i="46"/>
  <c r="G34" i="46"/>
  <c r="E34" i="46"/>
  <c r="C34" i="46"/>
  <c r="I32" i="46"/>
  <c r="G32" i="46"/>
  <c r="E32" i="46"/>
  <c r="C32" i="46"/>
  <c r="I31" i="46"/>
  <c r="G31" i="46"/>
  <c r="E31" i="46"/>
  <c r="C31" i="46"/>
  <c r="I29" i="46"/>
  <c r="G29" i="46"/>
  <c r="E29" i="46"/>
  <c r="C29" i="46"/>
  <c r="I28" i="46"/>
  <c r="G28" i="46"/>
  <c r="E28" i="46"/>
  <c r="C28" i="46"/>
  <c r="I27" i="46"/>
  <c r="G27" i="46"/>
  <c r="E27" i="46"/>
  <c r="C27" i="46"/>
  <c r="I26" i="46"/>
  <c r="G26" i="46"/>
  <c r="E26" i="46"/>
  <c r="C26" i="46"/>
  <c r="J19" i="46"/>
  <c r="I19" i="46"/>
  <c r="H19" i="46"/>
  <c r="G19" i="46"/>
  <c r="F19" i="46"/>
  <c r="E19" i="46"/>
  <c r="D19" i="46"/>
  <c r="C19" i="46"/>
  <c r="J18" i="46"/>
  <c r="I18" i="46"/>
  <c r="H18" i="46"/>
  <c r="G18" i="46"/>
  <c r="F18" i="46"/>
  <c r="E18" i="46"/>
  <c r="D18" i="46"/>
  <c r="C18" i="46"/>
  <c r="J17" i="46"/>
  <c r="I17" i="46"/>
  <c r="H17" i="46"/>
  <c r="G17" i="46"/>
  <c r="F17" i="46"/>
  <c r="E17" i="46"/>
  <c r="D17" i="46"/>
  <c r="C17" i="46"/>
  <c r="J16" i="46"/>
  <c r="I16" i="46"/>
  <c r="H16" i="46"/>
  <c r="G16" i="46"/>
  <c r="F16" i="46"/>
  <c r="E16" i="46"/>
  <c r="D16" i="46"/>
  <c r="C16" i="46"/>
  <c r="J15" i="46"/>
  <c r="I15" i="46"/>
  <c r="H15" i="46"/>
  <c r="G15" i="46"/>
  <c r="F15" i="46"/>
  <c r="E15" i="46"/>
  <c r="D15" i="46"/>
  <c r="C15" i="46"/>
  <c r="J14" i="46"/>
  <c r="I14" i="46"/>
  <c r="H14" i="46"/>
  <c r="G14" i="46"/>
  <c r="F14" i="46"/>
  <c r="E14" i="46"/>
  <c r="D14" i="46"/>
  <c r="C14" i="46"/>
  <c r="J13" i="46"/>
  <c r="I13" i="46"/>
  <c r="H13" i="46"/>
  <c r="G13" i="46"/>
  <c r="F13" i="46"/>
  <c r="E13" i="46"/>
  <c r="D13" i="46"/>
  <c r="C13" i="46"/>
  <c r="J12" i="46"/>
  <c r="I12" i="46"/>
  <c r="H12" i="46"/>
  <c r="G12" i="46"/>
  <c r="F12" i="46"/>
  <c r="E12" i="46"/>
  <c r="D12" i="46"/>
  <c r="C12" i="46"/>
  <c r="J11" i="46"/>
  <c r="I11" i="46"/>
  <c r="H11" i="46"/>
  <c r="G11" i="46"/>
  <c r="F11" i="46"/>
  <c r="E11" i="46"/>
  <c r="D11" i="46"/>
  <c r="C11" i="46"/>
  <c r="B29" i="107"/>
  <c r="B28" i="107"/>
  <c r="B24" i="107"/>
  <c r="B23" i="107"/>
  <c r="B25" i="107"/>
  <c r="B26" i="107"/>
  <c r="B27" i="107"/>
  <c r="B22" i="107"/>
  <c r="B21" i="107"/>
  <c r="E23" i="107"/>
  <c r="E24" i="107"/>
  <c r="E25" i="107"/>
  <c r="E26" i="107"/>
  <c r="E27" i="107"/>
  <c r="E28" i="107"/>
  <c r="E29" i="107"/>
  <c r="E22" i="107"/>
  <c r="E21" i="107"/>
  <c r="B24" i="109"/>
  <c r="B23" i="109"/>
  <c r="B22" i="109"/>
  <c r="B21" i="109"/>
  <c r="B20" i="109"/>
  <c r="B19" i="109"/>
  <c r="E20" i="109"/>
  <c r="E21" i="109"/>
  <c r="E22" i="109"/>
  <c r="E23" i="109"/>
  <c r="E24" i="109"/>
  <c r="E19" i="109"/>
  <c r="N13" i="109"/>
  <c r="M13" i="109"/>
  <c r="L13" i="109"/>
  <c r="K13" i="109"/>
  <c r="J13" i="109"/>
  <c r="I13" i="109"/>
  <c r="H13" i="109"/>
  <c r="G13" i="109"/>
  <c r="F13" i="109"/>
  <c r="E13" i="109"/>
  <c r="D13" i="109"/>
  <c r="C13" i="109"/>
  <c r="B12" i="109"/>
  <c r="C24" i="109" s="1"/>
  <c r="D24" i="109" s="1"/>
  <c r="B11" i="109"/>
  <c r="C23" i="109" s="1"/>
  <c r="D23" i="109" s="1"/>
  <c r="B10" i="109"/>
  <c r="C22" i="109" s="1"/>
  <c r="D22" i="109" s="1"/>
  <c r="B9" i="109"/>
  <c r="C21" i="109" s="1"/>
  <c r="D21" i="109" s="1"/>
  <c r="B8" i="109"/>
  <c r="C20" i="109" s="1"/>
  <c r="D20" i="109" s="1"/>
  <c r="B7" i="109"/>
  <c r="C19" i="109" s="1"/>
  <c r="D19" i="109" s="1"/>
  <c r="A3" i="109"/>
  <c r="N16" i="107"/>
  <c r="M16" i="107"/>
  <c r="L16" i="107"/>
  <c r="K16" i="107"/>
  <c r="J16" i="107"/>
  <c r="I16" i="107"/>
  <c r="H16" i="107"/>
  <c r="G16" i="107"/>
  <c r="F16" i="107"/>
  <c r="E16" i="107"/>
  <c r="D16" i="107"/>
  <c r="C16" i="107"/>
  <c r="B15" i="107"/>
  <c r="C29" i="107" s="1"/>
  <c r="D29" i="107" s="1"/>
  <c r="B14" i="107"/>
  <c r="C28" i="107" s="1"/>
  <c r="B13" i="107"/>
  <c r="C27" i="107" s="1"/>
  <c r="B12" i="107"/>
  <c r="C26" i="107" s="1"/>
  <c r="B11" i="107"/>
  <c r="C25" i="107" s="1"/>
  <c r="D25" i="107" s="1"/>
  <c r="B10" i="107"/>
  <c r="C24" i="107" s="1"/>
  <c r="B9" i="107"/>
  <c r="C23" i="107" s="1"/>
  <c r="B8" i="107"/>
  <c r="C22" i="107" s="1"/>
  <c r="B7" i="107"/>
  <c r="C21" i="107" s="1"/>
  <c r="D21" i="107" s="1"/>
  <c r="A3" i="107"/>
  <c r="AD23" i="58"/>
  <c r="H36" i="58"/>
  <c r="D36" i="58"/>
  <c r="AH14" i="57"/>
  <c r="AH27" i="57"/>
  <c r="AL8" i="57"/>
  <c r="AL9" i="57"/>
  <c r="AL11" i="57"/>
  <c r="AL12" i="57"/>
  <c r="AL13" i="57"/>
  <c r="AL15" i="57"/>
  <c r="AL16" i="57"/>
  <c r="AL17" i="57"/>
  <c r="AL19" i="57"/>
  <c r="AL20" i="57"/>
  <c r="AL23" i="57"/>
  <c r="AL24" i="57"/>
  <c r="AL25" i="57"/>
  <c r="AL26" i="57"/>
  <c r="AG14" i="57"/>
  <c r="AG18" i="57"/>
  <c r="AC26" i="57"/>
  <c r="AC24" i="57"/>
  <c r="AC23" i="57"/>
  <c r="AC19" i="57"/>
  <c r="AC21" i="57" s="1"/>
  <c r="AC15" i="57"/>
  <c r="AC18" i="57" s="1"/>
  <c r="AC13" i="57"/>
  <c r="AC11" i="57"/>
  <c r="AC9" i="57"/>
  <c r="AC8" i="57"/>
  <c r="Y26" i="57"/>
  <c r="Y24" i="57"/>
  <c r="Y23" i="57"/>
  <c r="Y22" i="57"/>
  <c r="Y19" i="57"/>
  <c r="Y21" i="57" s="1"/>
  <c r="Y17" i="57"/>
  <c r="Y16" i="57"/>
  <c r="Y15" i="57"/>
  <c r="Y13" i="57"/>
  <c r="Y12" i="57"/>
  <c r="Y11" i="57"/>
  <c r="Y9" i="57"/>
  <c r="Y8" i="57"/>
  <c r="U26" i="57"/>
  <c r="U25" i="57"/>
  <c r="U24" i="57"/>
  <c r="U23" i="57"/>
  <c r="U22" i="57"/>
  <c r="U20" i="57"/>
  <c r="U19" i="57"/>
  <c r="U17" i="57"/>
  <c r="U16" i="57"/>
  <c r="U15" i="57"/>
  <c r="U13" i="57"/>
  <c r="U12" i="57"/>
  <c r="U11" i="57"/>
  <c r="U9" i="57"/>
  <c r="U8" i="57"/>
  <c r="Q26" i="57"/>
  <c r="Q25" i="57"/>
  <c r="Q24" i="57"/>
  <c r="Q23" i="57"/>
  <c r="Q22" i="57"/>
  <c r="Q20" i="57"/>
  <c r="Q19" i="57"/>
  <c r="Q17" i="57"/>
  <c r="Q16" i="57"/>
  <c r="Q15" i="57"/>
  <c r="Q13" i="57"/>
  <c r="Q12" i="57"/>
  <c r="Q11" i="57"/>
  <c r="Q9" i="57"/>
  <c r="Q8" i="57"/>
  <c r="I26" i="57"/>
  <c r="I25" i="57"/>
  <c r="I24" i="57"/>
  <c r="I23" i="57"/>
  <c r="I22" i="57"/>
  <c r="I20" i="57"/>
  <c r="I19" i="57"/>
  <c r="I17" i="57"/>
  <c r="I16" i="57"/>
  <c r="I15" i="57"/>
  <c r="I13" i="57"/>
  <c r="I12" i="57"/>
  <c r="I11" i="57"/>
  <c r="I9" i="57"/>
  <c r="I8" i="57"/>
  <c r="E26" i="57"/>
  <c r="E25" i="57"/>
  <c r="E24" i="57"/>
  <c r="E23" i="57"/>
  <c r="E22" i="57"/>
  <c r="E20" i="57"/>
  <c r="E19" i="57"/>
  <c r="E17" i="57"/>
  <c r="E16" i="57"/>
  <c r="E15" i="57"/>
  <c r="E13" i="57"/>
  <c r="E12" i="57"/>
  <c r="E11" i="57"/>
  <c r="E9" i="57"/>
  <c r="E8" i="57"/>
  <c r="Q40" i="56"/>
  <c r="P40" i="56"/>
  <c r="O40" i="56"/>
  <c r="Q35" i="56"/>
  <c r="Q31" i="56"/>
  <c r="Q26" i="56"/>
  <c r="Q19" i="56"/>
  <c r="Q16" i="56"/>
  <c r="Q12" i="56"/>
  <c r="M40" i="56"/>
  <c r="L40" i="56"/>
  <c r="K40" i="56"/>
  <c r="M35" i="56"/>
  <c r="M31" i="56"/>
  <c r="M26" i="56"/>
  <c r="M19" i="56"/>
  <c r="M16" i="56"/>
  <c r="M12" i="56"/>
  <c r="I40" i="56"/>
  <c r="H40" i="56"/>
  <c r="G40" i="56"/>
  <c r="I35" i="56"/>
  <c r="I31" i="56"/>
  <c r="I26" i="56"/>
  <c r="I19" i="56"/>
  <c r="I16" i="56"/>
  <c r="I12" i="56"/>
  <c r="E40" i="56"/>
  <c r="D40" i="56"/>
  <c r="C40" i="56"/>
  <c r="E35" i="56"/>
  <c r="E31" i="56"/>
  <c r="E26" i="56"/>
  <c r="E19" i="56"/>
  <c r="E16" i="56"/>
  <c r="E12" i="56"/>
  <c r="C39" i="55"/>
  <c r="D39" i="55"/>
  <c r="E39" i="55"/>
  <c r="G39" i="55"/>
  <c r="H39" i="55"/>
  <c r="I39" i="55"/>
  <c r="K39" i="55"/>
  <c r="L39" i="55"/>
  <c r="M39" i="55"/>
  <c r="O39" i="55"/>
  <c r="P39" i="55"/>
  <c r="S39" i="55"/>
  <c r="T39" i="55"/>
  <c r="W39" i="55"/>
  <c r="AA39" i="55" s="1"/>
  <c r="X39" i="55"/>
  <c r="AA12" i="54"/>
  <c r="AA15" i="54"/>
  <c r="AA16" i="54"/>
  <c r="AA29" i="54"/>
  <c r="AA30" i="54"/>
  <c r="AA35" i="54"/>
  <c r="AA39" i="54"/>
  <c r="AA41" i="54"/>
  <c r="AB30" i="54"/>
  <c r="AC30" i="54"/>
  <c r="AB39" i="54"/>
  <c r="AC39" i="54"/>
  <c r="Y42" i="54"/>
  <c r="X42" i="54"/>
  <c r="W42" i="54"/>
  <c r="Y36" i="54"/>
  <c r="X36" i="54"/>
  <c r="W36" i="54"/>
  <c r="Y32" i="54"/>
  <c r="X32" i="54"/>
  <c r="W32" i="54"/>
  <c r="Y27" i="54"/>
  <c r="X27" i="54"/>
  <c r="W27" i="54"/>
  <c r="Y20" i="54"/>
  <c r="X20" i="54"/>
  <c r="W20" i="54"/>
  <c r="Y17" i="54"/>
  <c r="X17" i="54"/>
  <c r="W17" i="54"/>
  <c r="Y13" i="54"/>
  <c r="X13" i="54"/>
  <c r="W13" i="54"/>
  <c r="U42" i="54"/>
  <c r="T42" i="54"/>
  <c r="S42" i="54"/>
  <c r="U36" i="54"/>
  <c r="T36" i="54"/>
  <c r="S36" i="54"/>
  <c r="U32" i="54"/>
  <c r="T32" i="54"/>
  <c r="S32" i="54"/>
  <c r="U27" i="54"/>
  <c r="T27" i="54"/>
  <c r="S27" i="54"/>
  <c r="U20" i="54"/>
  <c r="T20" i="54"/>
  <c r="S20" i="54"/>
  <c r="U17" i="54"/>
  <c r="T17" i="54"/>
  <c r="S17" i="54"/>
  <c r="U13" i="54"/>
  <c r="T13" i="54"/>
  <c r="S13" i="54"/>
  <c r="Q42" i="54"/>
  <c r="P42" i="54"/>
  <c r="O42" i="54"/>
  <c r="Q36" i="54"/>
  <c r="P36" i="54"/>
  <c r="O36" i="54"/>
  <c r="Q32" i="54"/>
  <c r="P32" i="54"/>
  <c r="O32" i="54"/>
  <c r="Q27" i="54"/>
  <c r="P27" i="54"/>
  <c r="O27" i="54"/>
  <c r="Q20" i="54"/>
  <c r="P20" i="54"/>
  <c r="O20" i="54"/>
  <c r="Q17" i="54"/>
  <c r="P17" i="54"/>
  <c r="O17" i="54"/>
  <c r="Q13" i="54"/>
  <c r="P13" i="54"/>
  <c r="O13" i="54"/>
  <c r="M42" i="54"/>
  <c r="L42" i="54"/>
  <c r="K42" i="54"/>
  <c r="M36" i="54"/>
  <c r="L36" i="54"/>
  <c r="K36" i="54"/>
  <c r="M32" i="54"/>
  <c r="L32" i="54"/>
  <c r="K32" i="54"/>
  <c r="M27" i="54"/>
  <c r="L27" i="54"/>
  <c r="K27" i="54"/>
  <c r="M20" i="54"/>
  <c r="L20" i="54"/>
  <c r="K20" i="54"/>
  <c r="M17" i="54"/>
  <c r="L17" i="54"/>
  <c r="K17" i="54"/>
  <c r="M13" i="54"/>
  <c r="L13" i="54"/>
  <c r="K13" i="54"/>
  <c r="I42" i="54"/>
  <c r="H42" i="54"/>
  <c r="G42" i="54"/>
  <c r="I36" i="54"/>
  <c r="H36" i="54"/>
  <c r="G36" i="54"/>
  <c r="I32" i="54"/>
  <c r="H32" i="54"/>
  <c r="G32" i="54"/>
  <c r="I27" i="54"/>
  <c r="H27" i="54"/>
  <c r="G27" i="54"/>
  <c r="I20" i="54"/>
  <c r="H20" i="54"/>
  <c r="G20" i="54"/>
  <c r="I17" i="54"/>
  <c r="H17" i="54"/>
  <c r="G17" i="54"/>
  <c r="I13" i="54"/>
  <c r="H13" i="54"/>
  <c r="G13" i="54"/>
  <c r="E42" i="54"/>
  <c r="D42" i="54"/>
  <c r="C42" i="54"/>
  <c r="E36" i="54"/>
  <c r="D36" i="54"/>
  <c r="C36" i="54"/>
  <c r="E32" i="54"/>
  <c r="D32" i="54"/>
  <c r="C32" i="54"/>
  <c r="E27" i="54"/>
  <c r="D27" i="54"/>
  <c r="C27" i="54"/>
  <c r="E20" i="54"/>
  <c r="D20" i="54"/>
  <c r="C20" i="54"/>
  <c r="E17" i="54"/>
  <c r="D17" i="54"/>
  <c r="C17" i="54"/>
  <c r="E13" i="54"/>
  <c r="D13" i="54"/>
  <c r="C13" i="54"/>
  <c r="AA41" i="53"/>
  <c r="AA39" i="53"/>
  <c r="AB39" i="53"/>
  <c r="AB30" i="53"/>
  <c r="AA35" i="53"/>
  <c r="AA29" i="53"/>
  <c r="AA30" i="53"/>
  <c r="AA19" i="53"/>
  <c r="AA12" i="53"/>
  <c r="AA15" i="53"/>
  <c r="AA16" i="53"/>
  <c r="AC30" i="53"/>
  <c r="AC39" i="53"/>
  <c r="Y42" i="53"/>
  <c r="X42" i="53"/>
  <c r="W42" i="53"/>
  <c r="Y36" i="53"/>
  <c r="X36" i="53"/>
  <c r="W36" i="53"/>
  <c r="Y32" i="53"/>
  <c r="X32" i="53"/>
  <c r="W32" i="53"/>
  <c r="Y27" i="53"/>
  <c r="X27" i="53"/>
  <c r="W27" i="53"/>
  <c r="Y20" i="53"/>
  <c r="X20" i="53"/>
  <c r="W20" i="53"/>
  <c r="Y17" i="53"/>
  <c r="X17" i="53"/>
  <c r="W17" i="53"/>
  <c r="Y13" i="53"/>
  <c r="X13" i="53"/>
  <c r="W13" i="53"/>
  <c r="U42" i="53"/>
  <c r="T42" i="53"/>
  <c r="S42" i="53"/>
  <c r="U36" i="53"/>
  <c r="T36" i="53"/>
  <c r="S36" i="53"/>
  <c r="U32" i="53"/>
  <c r="T32" i="53"/>
  <c r="S32" i="53"/>
  <c r="U27" i="53"/>
  <c r="T27" i="53"/>
  <c r="S27" i="53"/>
  <c r="U20" i="53"/>
  <c r="T20" i="53"/>
  <c r="S20" i="53"/>
  <c r="U17" i="53"/>
  <c r="T17" i="53"/>
  <c r="S17" i="53"/>
  <c r="U13" i="53"/>
  <c r="T13" i="53"/>
  <c r="S13" i="53"/>
  <c r="Q42" i="53"/>
  <c r="P42" i="53"/>
  <c r="O42" i="53"/>
  <c r="Q36" i="53"/>
  <c r="P36" i="53"/>
  <c r="O36" i="53"/>
  <c r="Q32" i="53"/>
  <c r="P32" i="53"/>
  <c r="O32" i="53"/>
  <c r="Q27" i="53"/>
  <c r="P27" i="53"/>
  <c r="O27" i="53"/>
  <c r="Q20" i="53"/>
  <c r="P20" i="53"/>
  <c r="O20" i="53"/>
  <c r="Q17" i="53"/>
  <c r="P17" i="53"/>
  <c r="O17" i="53"/>
  <c r="Q13" i="53"/>
  <c r="P13" i="53"/>
  <c r="O13" i="53"/>
  <c r="M42" i="53"/>
  <c r="L42" i="53"/>
  <c r="K42" i="53"/>
  <c r="M36" i="53"/>
  <c r="L36" i="53"/>
  <c r="K36" i="53"/>
  <c r="M32" i="53"/>
  <c r="L32" i="53"/>
  <c r="K32" i="53"/>
  <c r="M27" i="53"/>
  <c r="L27" i="53"/>
  <c r="K27" i="53"/>
  <c r="M20" i="53"/>
  <c r="L20" i="53"/>
  <c r="K20" i="53"/>
  <c r="M17" i="53"/>
  <c r="L17" i="53"/>
  <c r="K17" i="53"/>
  <c r="M13" i="53"/>
  <c r="L13" i="53"/>
  <c r="K13" i="53"/>
  <c r="I42" i="53"/>
  <c r="H42" i="53"/>
  <c r="G42" i="53"/>
  <c r="I36" i="53"/>
  <c r="H36" i="53"/>
  <c r="G36" i="53"/>
  <c r="I32" i="53"/>
  <c r="H32" i="53"/>
  <c r="G32" i="53"/>
  <c r="I27" i="53"/>
  <c r="H27" i="53"/>
  <c r="G27" i="53"/>
  <c r="I20" i="53"/>
  <c r="H20" i="53"/>
  <c r="G20" i="53"/>
  <c r="I17" i="53"/>
  <c r="H17" i="53"/>
  <c r="G17" i="53"/>
  <c r="I13" i="53"/>
  <c r="H13" i="53"/>
  <c r="G13" i="53"/>
  <c r="E42" i="53"/>
  <c r="D42" i="53"/>
  <c r="C42" i="53"/>
  <c r="E36" i="53"/>
  <c r="D36" i="53"/>
  <c r="C36" i="53"/>
  <c r="E32" i="53"/>
  <c r="D32" i="53"/>
  <c r="C32" i="53"/>
  <c r="E27" i="53"/>
  <c r="D27" i="53"/>
  <c r="C27" i="53"/>
  <c r="E20" i="53"/>
  <c r="D20" i="53"/>
  <c r="C20" i="53"/>
  <c r="E17" i="53"/>
  <c r="D17" i="53"/>
  <c r="C17" i="53"/>
  <c r="E13" i="53"/>
  <c r="D13" i="53"/>
  <c r="C13" i="53"/>
  <c r="M42" i="52"/>
  <c r="M36" i="52"/>
  <c r="L36" i="52"/>
  <c r="K36" i="52"/>
  <c r="M32" i="52"/>
  <c r="M27" i="52"/>
  <c r="L27" i="52"/>
  <c r="K27" i="52"/>
  <c r="M20" i="52"/>
  <c r="L20" i="52"/>
  <c r="K20" i="52"/>
  <c r="M17" i="52"/>
  <c r="L17" i="52"/>
  <c r="K17" i="52"/>
  <c r="M13" i="52"/>
  <c r="L13" i="52"/>
  <c r="K13" i="52"/>
  <c r="E42" i="52"/>
  <c r="E36" i="52"/>
  <c r="D36" i="52"/>
  <c r="C36" i="52"/>
  <c r="E32" i="52"/>
  <c r="E27" i="52"/>
  <c r="D27" i="52"/>
  <c r="C27" i="52"/>
  <c r="E20" i="52"/>
  <c r="D20" i="52"/>
  <c r="C20" i="52"/>
  <c r="E17" i="52"/>
  <c r="D17" i="52"/>
  <c r="C17" i="52"/>
  <c r="E13" i="52"/>
  <c r="D13" i="52"/>
  <c r="C13" i="52"/>
  <c r="AC30" i="51"/>
  <c r="AC39" i="51"/>
  <c r="Y42" i="51"/>
  <c r="X42" i="51"/>
  <c r="W42" i="51"/>
  <c r="Y36" i="51"/>
  <c r="X36" i="51"/>
  <c r="W36" i="51"/>
  <c r="Y32" i="51"/>
  <c r="X32" i="51"/>
  <c r="W32" i="51"/>
  <c r="Y27" i="51"/>
  <c r="X27" i="51"/>
  <c r="W27" i="51"/>
  <c r="Y20" i="51"/>
  <c r="X20" i="51"/>
  <c r="W20" i="51"/>
  <c r="Y17" i="51"/>
  <c r="X17" i="51"/>
  <c r="W17" i="51"/>
  <c r="Y13" i="51"/>
  <c r="X13" i="51"/>
  <c r="W13" i="51"/>
  <c r="U42" i="51"/>
  <c r="T42" i="51"/>
  <c r="S42" i="51"/>
  <c r="U36" i="51"/>
  <c r="T36" i="51"/>
  <c r="S36" i="51"/>
  <c r="U32" i="51"/>
  <c r="T32" i="51"/>
  <c r="S32" i="51"/>
  <c r="U27" i="51"/>
  <c r="T27" i="51"/>
  <c r="S27" i="51"/>
  <c r="U20" i="51"/>
  <c r="T20" i="51"/>
  <c r="S20" i="51"/>
  <c r="U17" i="51"/>
  <c r="T17" i="51"/>
  <c r="S17" i="51"/>
  <c r="U13" i="51"/>
  <c r="T13" i="51"/>
  <c r="S13" i="51"/>
  <c r="Q42" i="51"/>
  <c r="P42" i="51"/>
  <c r="O42" i="51"/>
  <c r="Q36" i="51"/>
  <c r="P36" i="51"/>
  <c r="O36" i="51"/>
  <c r="Q32" i="51"/>
  <c r="P32" i="51"/>
  <c r="O32" i="51"/>
  <c r="Q27" i="51"/>
  <c r="P27" i="51"/>
  <c r="O27" i="51"/>
  <c r="Q20" i="51"/>
  <c r="P20" i="51"/>
  <c r="O20" i="51"/>
  <c r="Q17" i="51"/>
  <c r="P17" i="51"/>
  <c r="O17" i="51"/>
  <c r="P13" i="51"/>
  <c r="O13" i="51"/>
  <c r="Q9" i="51"/>
  <c r="Q13" i="51" s="1"/>
  <c r="M42" i="51"/>
  <c r="L42" i="51"/>
  <c r="K42" i="51"/>
  <c r="M36" i="51"/>
  <c r="L36" i="51"/>
  <c r="K36" i="51"/>
  <c r="M32" i="51"/>
  <c r="L32" i="51"/>
  <c r="K32" i="51"/>
  <c r="M27" i="51"/>
  <c r="L27" i="51"/>
  <c r="K27" i="51"/>
  <c r="M20" i="51"/>
  <c r="L20" i="51"/>
  <c r="K20" i="51"/>
  <c r="M17" i="51"/>
  <c r="L17" i="51"/>
  <c r="K17" i="51"/>
  <c r="M13" i="51"/>
  <c r="L13" i="51"/>
  <c r="L22" i="51" s="1"/>
  <c r="K13" i="51"/>
  <c r="I42" i="51"/>
  <c r="H42" i="51"/>
  <c r="G42" i="51"/>
  <c r="I36" i="51"/>
  <c r="H36" i="51"/>
  <c r="G36" i="51"/>
  <c r="I32" i="51"/>
  <c r="H32" i="51"/>
  <c r="G32" i="51"/>
  <c r="I27" i="51"/>
  <c r="H27" i="51"/>
  <c r="G27" i="51"/>
  <c r="I20" i="51"/>
  <c r="H20" i="51"/>
  <c r="G20" i="51"/>
  <c r="I17" i="51"/>
  <c r="H17" i="51"/>
  <c r="G17" i="51"/>
  <c r="I13" i="51"/>
  <c r="I22" i="51" s="1"/>
  <c r="H13" i="51"/>
  <c r="G13" i="51"/>
  <c r="E42" i="51"/>
  <c r="D42" i="51"/>
  <c r="C42" i="51"/>
  <c r="E36" i="51"/>
  <c r="D36" i="51"/>
  <c r="C36" i="51"/>
  <c r="E32" i="51"/>
  <c r="D32" i="51"/>
  <c r="C32" i="51"/>
  <c r="E27" i="51"/>
  <c r="D27" i="51"/>
  <c r="C27" i="51"/>
  <c r="E20" i="51"/>
  <c r="D20" i="51"/>
  <c r="C20" i="51"/>
  <c r="E17" i="51"/>
  <c r="D17" i="51"/>
  <c r="C17" i="51"/>
  <c r="D13" i="51"/>
  <c r="C13" i="51"/>
  <c r="E9" i="51"/>
  <c r="E13" i="51" s="1"/>
  <c r="E22" i="51" s="1"/>
  <c r="Y42" i="50"/>
  <c r="Y36" i="50"/>
  <c r="X36" i="50"/>
  <c r="W36" i="50"/>
  <c r="Y32" i="50"/>
  <c r="Y27" i="50"/>
  <c r="Y20" i="50"/>
  <c r="Y17" i="50"/>
  <c r="X17" i="50"/>
  <c r="X22" i="50" s="1"/>
  <c r="W17" i="50"/>
  <c r="Y13" i="50"/>
  <c r="U42" i="50"/>
  <c r="U36" i="50"/>
  <c r="T36" i="50"/>
  <c r="S36" i="50"/>
  <c r="U32" i="50"/>
  <c r="U27" i="50"/>
  <c r="U20" i="50"/>
  <c r="U17" i="50"/>
  <c r="U13" i="50"/>
  <c r="Q42" i="50"/>
  <c r="Q36" i="50"/>
  <c r="P36" i="50"/>
  <c r="O36" i="50"/>
  <c r="Q32" i="50"/>
  <c r="Q27" i="50"/>
  <c r="Q20" i="50"/>
  <c r="Q17" i="50"/>
  <c r="Q13" i="50"/>
  <c r="M42" i="50"/>
  <c r="M36" i="50"/>
  <c r="L36" i="50"/>
  <c r="K36" i="50"/>
  <c r="M32" i="50"/>
  <c r="M27" i="50"/>
  <c r="M20" i="50"/>
  <c r="M17" i="50"/>
  <c r="M13" i="50"/>
  <c r="G13" i="50"/>
  <c r="Q15" i="67"/>
  <c r="Q3" i="67" s="1"/>
  <c r="Y22" i="50" l="1"/>
  <c r="H22" i="51"/>
  <c r="U22" i="51"/>
  <c r="E22" i="52"/>
  <c r="L22" i="52"/>
  <c r="C22" i="53"/>
  <c r="M22" i="53"/>
  <c r="P22" i="53"/>
  <c r="S22" i="53"/>
  <c r="D22" i="54"/>
  <c r="G22" i="54"/>
  <c r="Q22" i="54"/>
  <c r="W22" i="54"/>
  <c r="F21" i="107"/>
  <c r="F27" i="107"/>
  <c r="F23" i="107"/>
  <c r="M22" i="50"/>
  <c r="Q22" i="51"/>
  <c r="D26" i="107"/>
  <c r="D27" i="107"/>
  <c r="AB39" i="55"/>
  <c r="M21" i="56"/>
  <c r="F23" i="109"/>
  <c r="F21" i="109"/>
  <c r="F19" i="109"/>
  <c r="F29" i="107"/>
  <c r="F25" i="107"/>
  <c r="E30" i="107"/>
  <c r="F22" i="107"/>
  <c r="C25" i="109"/>
  <c r="Q22" i="50"/>
  <c r="G22" i="51"/>
  <c r="S22" i="51"/>
  <c r="C22" i="52"/>
  <c r="E22" i="53"/>
  <c r="K22" i="53"/>
  <c r="U22" i="53"/>
  <c r="I22" i="54"/>
  <c r="L22" i="54"/>
  <c r="O22" i="54"/>
  <c r="Y22" i="54"/>
  <c r="E21" i="56"/>
  <c r="D23" i="107"/>
  <c r="U22" i="50"/>
  <c r="K22" i="51"/>
  <c r="T22" i="51"/>
  <c r="W22" i="51"/>
  <c r="X22" i="51"/>
  <c r="D22" i="52"/>
  <c r="K22" i="52"/>
  <c r="I22" i="53"/>
  <c r="L22" i="53"/>
  <c r="O22" i="53"/>
  <c r="Y22" i="53"/>
  <c r="C22" i="54"/>
  <c r="M22" i="54"/>
  <c r="P22" i="54"/>
  <c r="S22" i="54"/>
  <c r="T22" i="54"/>
  <c r="I21" i="56"/>
  <c r="E25" i="109"/>
  <c r="F22" i="109"/>
  <c r="F28" i="107"/>
  <c r="F24" i="107"/>
  <c r="D24" i="107"/>
  <c r="D28" i="107"/>
  <c r="C22" i="51"/>
  <c r="D22" i="51"/>
  <c r="M22" i="51"/>
  <c r="O22" i="51"/>
  <c r="P22" i="51"/>
  <c r="Y22" i="51"/>
  <c r="M22" i="52"/>
  <c r="D22" i="53"/>
  <c r="G22" i="53"/>
  <c r="H22" i="53"/>
  <c r="Q22" i="53"/>
  <c r="T22" i="53"/>
  <c r="W22" i="53"/>
  <c r="X22" i="53"/>
  <c r="E22" i="54"/>
  <c r="H22" i="54"/>
  <c r="K22" i="54"/>
  <c r="U22" i="54"/>
  <c r="X22" i="54"/>
  <c r="Q21" i="56"/>
  <c r="F24" i="109"/>
  <c r="F20" i="109"/>
  <c r="B25" i="109"/>
  <c r="F26" i="107"/>
  <c r="B30" i="107"/>
  <c r="AH28" i="57"/>
  <c r="E10" i="57"/>
  <c r="E14" i="57" s="1"/>
  <c r="AK11" i="57"/>
  <c r="AK13" i="57"/>
  <c r="AK16" i="57"/>
  <c r="E21" i="57"/>
  <c r="AK22" i="57"/>
  <c r="AK24" i="57"/>
  <c r="AK26" i="57"/>
  <c r="I18" i="57"/>
  <c r="Q10" i="57"/>
  <c r="Q14" i="57" s="1"/>
  <c r="Q21" i="57"/>
  <c r="U18" i="57"/>
  <c r="Y10" i="57"/>
  <c r="Y14" i="57" s="1"/>
  <c r="D22" i="107"/>
  <c r="B13" i="109"/>
  <c r="B16" i="107"/>
  <c r="C30" i="107" s="1"/>
  <c r="AK9" i="57"/>
  <c r="AK12" i="57"/>
  <c r="AK15" i="57"/>
  <c r="AK17" i="57"/>
  <c r="AK20" i="57"/>
  <c r="AK23" i="57"/>
  <c r="AK25" i="57"/>
  <c r="AK8" i="57"/>
  <c r="AK19" i="57"/>
  <c r="E18" i="57"/>
  <c r="I10" i="57"/>
  <c r="I14" i="57" s="1"/>
  <c r="I21" i="57"/>
  <c r="Q18" i="57"/>
  <c r="U10" i="57"/>
  <c r="U14" i="57" s="1"/>
  <c r="U21" i="57"/>
  <c r="Y18" i="57"/>
  <c r="AC10" i="57"/>
  <c r="AC14" i="57" s="1"/>
  <c r="D10" i="92"/>
  <c r="E10" i="92"/>
  <c r="F10" i="92"/>
  <c r="G10" i="92"/>
  <c r="D11" i="92"/>
  <c r="E11" i="92"/>
  <c r="F11" i="92"/>
  <c r="G11" i="92"/>
  <c r="D12" i="92"/>
  <c r="E12" i="92"/>
  <c r="F12" i="92"/>
  <c r="G12" i="92"/>
  <c r="D13" i="92"/>
  <c r="E13" i="92"/>
  <c r="F13" i="92"/>
  <c r="G13" i="92"/>
  <c r="D14" i="92"/>
  <c r="E14" i="92"/>
  <c r="F14" i="92"/>
  <c r="G14" i="92"/>
  <c r="D15" i="92"/>
  <c r="E15" i="92"/>
  <c r="F15" i="92"/>
  <c r="G15" i="92"/>
  <c r="D16" i="92"/>
  <c r="E16" i="92"/>
  <c r="F16" i="92"/>
  <c r="G16" i="92"/>
  <c r="D17" i="92"/>
  <c r="E17" i="92"/>
  <c r="F17" i="92"/>
  <c r="G17" i="92"/>
  <c r="D18" i="92"/>
  <c r="E18" i="92"/>
  <c r="F18" i="92"/>
  <c r="G18" i="92"/>
  <c r="D19" i="92"/>
  <c r="E19" i="92"/>
  <c r="F19" i="92"/>
  <c r="G19" i="92"/>
  <c r="D20" i="92"/>
  <c r="E20" i="92"/>
  <c r="F20" i="92"/>
  <c r="G20" i="92"/>
  <c r="D21" i="92"/>
  <c r="E21" i="92"/>
  <c r="F21" i="92"/>
  <c r="G21" i="92"/>
  <c r="D22" i="92"/>
  <c r="E22" i="92"/>
  <c r="F22" i="92"/>
  <c r="G22" i="92"/>
  <c r="D23" i="92"/>
  <c r="E23" i="92"/>
  <c r="F23" i="92"/>
  <c r="G23" i="92"/>
  <c r="D24" i="92"/>
  <c r="E24" i="92"/>
  <c r="F24" i="92"/>
  <c r="G24" i="92"/>
  <c r="D25" i="92"/>
  <c r="E25" i="92"/>
  <c r="F25" i="92"/>
  <c r="G25" i="92"/>
  <c r="D26" i="92"/>
  <c r="E26" i="92"/>
  <c r="F26" i="92"/>
  <c r="G26" i="92"/>
  <c r="D27" i="92"/>
  <c r="E27" i="92"/>
  <c r="F27" i="92"/>
  <c r="G27" i="92"/>
  <c r="O14" i="81"/>
  <c r="O15" i="81"/>
  <c r="P15" i="81" s="1"/>
  <c r="K14" i="81"/>
  <c r="K15" i="81"/>
  <c r="D25" i="109" l="1"/>
  <c r="F25" i="109"/>
  <c r="D30" i="107"/>
  <c r="F30" i="107"/>
  <c r="P14" i="81"/>
  <c r="R26" i="44"/>
  <c r="R15" i="44"/>
  <c r="O26" i="44"/>
  <c r="O15" i="44"/>
  <c r="O20" i="44" s="1"/>
  <c r="L26" i="44"/>
  <c r="L15" i="44"/>
  <c r="L20" i="44" s="1"/>
  <c r="I26" i="44"/>
  <c r="I15" i="44"/>
  <c r="I20" i="44" s="1"/>
  <c r="F26" i="44"/>
  <c r="F15" i="44"/>
  <c r="F20" i="44" s="1"/>
  <c r="C26" i="44"/>
  <c r="C15" i="44"/>
  <c r="C20" i="44" s="1"/>
  <c r="I34" i="106"/>
  <c r="I39" i="106"/>
  <c r="E30" i="106"/>
  <c r="E35" i="106"/>
  <c r="E29" i="106"/>
  <c r="D11" i="22"/>
  <c r="C31" i="106" s="1"/>
  <c r="D12" i="22"/>
  <c r="D29" i="106" s="1"/>
  <c r="D13" i="22"/>
  <c r="E32" i="106" s="1"/>
  <c r="D14" i="22"/>
  <c r="F30" i="106" s="1"/>
  <c r="D15" i="22"/>
  <c r="G30" i="106" s="1"/>
  <c r="D16" i="22"/>
  <c r="H30" i="106" s="1"/>
  <c r="D17" i="22"/>
  <c r="I32" i="106" s="1"/>
  <c r="D18" i="22"/>
  <c r="J30" i="106" s="1"/>
  <c r="D19" i="22"/>
  <c r="K30" i="106" s="1"/>
  <c r="C34" i="106"/>
  <c r="C29" i="106"/>
  <c r="AE18" i="38"/>
  <c r="AC18" i="38"/>
  <c r="AA18" i="38"/>
  <c r="Y18" i="38"/>
  <c r="W18" i="38"/>
  <c r="U18" i="38"/>
  <c r="R18" i="38"/>
  <c r="S18" i="38" s="1"/>
  <c r="Q18" i="38"/>
  <c r="O18" i="38"/>
  <c r="M18" i="38"/>
  <c r="K18" i="38"/>
  <c r="H18" i="38"/>
  <c r="I18" i="38" s="1"/>
  <c r="F18" i="38"/>
  <c r="G18" i="38" s="1"/>
  <c r="AE17" i="38"/>
  <c r="AC17" i="38"/>
  <c r="AA17" i="38"/>
  <c r="Y17" i="38"/>
  <c r="W17" i="38"/>
  <c r="U17" i="38"/>
  <c r="R17" i="38"/>
  <c r="S17" i="38" s="1"/>
  <c r="Q17" i="38"/>
  <c r="O17" i="38"/>
  <c r="M17" i="38"/>
  <c r="K17" i="38"/>
  <c r="H17" i="38"/>
  <c r="I17" i="38" s="1"/>
  <c r="F17" i="38"/>
  <c r="G17" i="38" s="1"/>
  <c r="E17" i="38"/>
  <c r="C17" i="38"/>
  <c r="AE16" i="38"/>
  <c r="AC16" i="38"/>
  <c r="AA16" i="38"/>
  <c r="Y16" i="38"/>
  <c r="W16" i="38"/>
  <c r="U16" i="38"/>
  <c r="R16" i="38"/>
  <c r="S16" i="38" s="1"/>
  <c r="Q16" i="38"/>
  <c r="O16" i="38"/>
  <c r="M16" i="38"/>
  <c r="K16" i="38"/>
  <c r="H16" i="38"/>
  <c r="I16" i="38" s="1"/>
  <c r="F16" i="38"/>
  <c r="G16" i="38" s="1"/>
  <c r="E16" i="38"/>
  <c r="C16" i="38"/>
  <c r="AE15" i="38"/>
  <c r="AC15" i="38"/>
  <c r="AA15" i="38"/>
  <c r="Y15" i="38"/>
  <c r="W15" i="38"/>
  <c r="U15" i="38"/>
  <c r="R15" i="38"/>
  <c r="S15" i="38" s="1"/>
  <c r="Q15" i="38"/>
  <c r="O15" i="38"/>
  <c r="M15" i="38"/>
  <c r="K15" i="38"/>
  <c r="H15" i="38"/>
  <c r="I15" i="38" s="1"/>
  <c r="F15" i="38"/>
  <c r="E15" i="38"/>
  <c r="C15" i="38"/>
  <c r="AE14" i="38"/>
  <c r="AC14" i="38"/>
  <c r="AA14" i="38"/>
  <c r="Y14" i="38"/>
  <c r="W14" i="38"/>
  <c r="U14" i="38"/>
  <c r="R14" i="38"/>
  <c r="S14" i="38" s="1"/>
  <c r="Q14" i="38"/>
  <c r="O14" i="38"/>
  <c r="M14" i="38"/>
  <c r="K14" i="38"/>
  <c r="H14" i="38"/>
  <c r="I14" i="38" s="1"/>
  <c r="F14" i="38"/>
  <c r="G14" i="38" s="1"/>
  <c r="E14" i="38"/>
  <c r="C14" i="38"/>
  <c r="AE13" i="38"/>
  <c r="AC13" i="38"/>
  <c r="AA13" i="38"/>
  <c r="Y13" i="38"/>
  <c r="W13" i="38"/>
  <c r="U13" i="38"/>
  <c r="R13" i="38"/>
  <c r="S13" i="38" s="1"/>
  <c r="Q13" i="38"/>
  <c r="O13" i="38"/>
  <c r="M13" i="38"/>
  <c r="K13" i="38"/>
  <c r="H13" i="38"/>
  <c r="I13" i="38" s="1"/>
  <c r="F13" i="38"/>
  <c r="G13" i="38" s="1"/>
  <c r="E13" i="38"/>
  <c r="C13" i="38"/>
  <c r="AE12" i="38"/>
  <c r="AC12" i="38"/>
  <c r="AA12" i="38"/>
  <c r="Y12" i="38"/>
  <c r="W12" i="38"/>
  <c r="U12" i="38"/>
  <c r="R12" i="38"/>
  <c r="S12" i="38" s="1"/>
  <c r="Q12" i="38"/>
  <c r="O12" i="38"/>
  <c r="M12" i="38"/>
  <c r="K12" i="38"/>
  <c r="H12" i="38"/>
  <c r="I12" i="38" s="1"/>
  <c r="F12" i="38"/>
  <c r="G12" i="38" s="1"/>
  <c r="E12" i="38"/>
  <c r="C12" i="38"/>
  <c r="AE11" i="38"/>
  <c r="AC11" i="38"/>
  <c r="AA11" i="38"/>
  <c r="Y11" i="38"/>
  <c r="W11" i="38"/>
  <c r="U11" i="38"/>
  <c r="R11" i="38"/>
  <c r="S11" i="38" s="1"/>
  <c r="Q11" i="38"/>
  <c r="O11" i="38"/>
  <c r="M11" i="38"/>
  <c r="K11" i="38"/>
  <c r="H11" i="38"/>
  <c r="I11" i="38" s="1"/>
  <c r="F11" i="38"/>
  <c r="E11" i="38"/>
  <c r="C11" i="38"/>
  <c r="AE19" i="37"/>
  <c r="AC19" i="37"/>
  <c r="AA19" i="37"/>
  <c r="Y19" i="37"/>
  <c r="W19" i="37"/>
  <c r="U19" i="37"/>
  <c r="R19" i="37"/>
  <c r="S19" i="37" s="1"/>
  <c r="Q19" i="37"/>
  <c r="O19" i="37"/>
  <c r="M19" i="37"/>
  <c r="K19" i="37"/>
  <c r="H19" i="37"/>
  <c r="I19" i="37" s="1"/>
  <c r="F19" i="37"/>
  <c r="G19" i="37" s="1"/>
  <c r="AE18" i="37"/>
  <c r="AC18" i="37"/>
  <c r="AA18" i="37"/>
  <c r="Y18" i="37"/>
  <c r="W18" i="37"/>
  <c r="U18" i="37"/>
  <c r="R18" i="37"/>
  <c r="S18" i="37" s="1"/>
  <c r="Q18" i="37"/>
  <c r="O18" i="37"/>
  <c r="M18" i="37"/>
  <c r="K18" i="37"/>
  <c r="H18" i="37"/>
  <c r="I18" i="37" s="1"/>
  <c r="F18" i="37"/>
  <c r="G18" i="37" s="1"/>
  <c r="AE17" i="37"/>
  <c r="AC17" i="37"/>
  <c r="AA17" i="37"/>
  <c r="Y17" i="37"/>
  <c r="W17" i="37"/>
  <c r="U17" i="37"/>
  <c r="R17" i="37"/>
  <c r="S17" i="37" s="1"/>
  <c r="Q17" i="37"/>
  <c r="O17" i="37"/>
  <c r="M17" i="37"/>
  <c r="K17" i="37"/>
  <c r="H17" i="37"/>
  <c r="I17" i="37" s="1"/>
  <c r="F17" i="37"/>
  <c r="G17" i="37" s="1"/>
  <c r="AE16" i="37"/>
  <c r="AC16" i="37"/>
  <c r="AA16" i="37"/>
  <c r="Y16" i="37"/>
  <c r="W16" i="37"/>
  <c r="U16" i="37"/>
  <c r="R16" i="37"/>
  <c r="S16" i="37" s="1"/>
  <c r="Q16" i="37"/>
  <c r="O16" i="37"/>
  <c r="M16" i="37"/>
  <c r="K16" i="37"/>
  <c r="H16" i="37"/>
  <c r="I16" i="37" s="1"/>
  <c r="F16" i="37"/>
  <c r="G16" i="37" s="1"/>
  <c r="C16" i="37"/>
  <c r="AE15" i="37"/>
  <c r="AC15" i="37"/>
  <c r="AA15" i="37"/>
  <c r="Y15" i="37"/>
  <c r="W15" i="37"/>
  <c r="U15" i="37"/>
  <c r="R15" i="37"/>
  <c r="S15" i="37" s="1"/>
  <c r="Q15" i="37"/>
  <c r="O15" i="37"/>
  <c r="M15" i="37"/>
  <c r="K15" i="37"/>
  <c r="H15" i="37"/>
  <c r="I15" i="37" s="1"/>
  <c r="F15" i="37"/>
  <c r="G15" i="37" s="1"/>
  <c r="E15" i="37"/>
  <c r="C15" i="37"/>
  <c r="AE14" i="37"/>
  <c r="AC14" i="37"/>
  <c r="AA14" i="37"/>
  <c r="Y14" i="37"/>
  <c r="W14" i="37"/>
  <c r="U14" i="37"/>
  <c r="R14" i="37"/>
  <c r="S14" i="37" s="1"/>
  <c r="Q14" i="37"/>
  <c r="O14" i="37"/>
  <c r="M14" i="37"/>
  <c r="K14" i="37"/>
  <c r="H14" i="37"/>
  <c r="I14" i="37" s="1"/>
  <c r="F14" i="37"/>
  <c r="G14" i="37" s="1"/>
  <c r="E14" i="37"/>
  <c r="C14" i="37"/>
  <c r="AE13" i="37"/>
  <c r="AC13" i="37"/>
  <c r="AA13" i="37"/>
  <c r="Y13" i="37"/>
  <c r="W13" i="37"/>
  <c r="U13" i="37"/>
  <c r="R13" i="37"/>
  <c r="S13" i="37" s="1"/>
  <c r="Q13" i="37"/>
  <c r="O13" i="37"/>
  <c r="M13" i="37"/>
  <c r="K13" i="37"/>
  <c r="H13" i="37"/>
  <c r="I13" i="37" s="1"/>
  <c r="F13" i="37"/>
  <c r="G13" i="37" s="1"/>
  <c r="E13" i="37"/>
  <c r="C13" i="37"/>
  <c r="AE12" i="37"/>
  <c r="AC12" i="37"/>
  <c r="AA12" i="37"/>
  <c r="Y12" i="37"/>
  <c r="W12" i="37"/>
  <c r="U12" i="37"/>
  <c r="R12" i="37"/>
  <c r="S12" i="37" s="1"/>
  <c r="Q12" i="37"/>
  <c r="O12" i="37"/>
  <c r="M12" i="37"/>
  <c r="K12" i="37"/>
  <c r="H12" i="37"/>
  <c r="I12" i="37" s="1"/>
  <c r="F12" i="37"/>
  <c r="G12" i="37" s="1"/>
  <c r="E12" i="37"/>
  <c r="C12" i="37"/>
  <c r="AE11" i="37"/>
  <c r="AC11" i="37"/>
  <c r="AA11" i="37"/>
  <c r="Y11" i="37"/>
  <c r="W11" i="37"/>
  <c r="U11" i="37"/>
  <c r="R11" i="37"/>
  <c r="S11" i="37" s="1"/>
  <c r="Q11" i="37"/>
  <c r="O11" i="37"/>
  <c r="M11" i="37"/>
  <c r="K11" i="37"/>
  <c r="H11" i="37"/>
  <c r="F11" i="37"/>
  <c r="G11" i="37" s="1"/>
  <c r="E11" i="37"/>
  <c r="C11" i="37"/>
  <c r="B15" i="36"/>
  <c r="B16" i="36"/>
  <c r="D15" i="36"/>
  <c r="D16" i="36"/>
  <c r="B14" i="36"/>
  <c r="D14" i="36"/>
  <c r="AE13" i="35"/>
  <c r="AC13" i="35"/>
  <c r="AA13" i="35"/>
  <c r="Y13" i="35"/>
  <c r="W13" i="35"/>
  <c r="U13" i="35"/>
  <c r="O13" i="35"/>
  <c r="K13" i="35"/>
  <c r="Q12" i="35"/>
  <c r="Q13" i="35"/>
  <c r="Q14" i="35"/>
  <c r="Q15" i="35"/>
  <c r="Q16" i="35"/>
  <c r="Q17" i="35"/>
  <c r="Q18" i="35"/>
  <c r="Q19" i="35"/>
  <c r="Q11" i="35"/>
  <c r="M12" i="35"/>
  <c r="M13" i="35"/>
  <c r="M14" i="35"/>
  <c r="M15" i="35"/>
  <c r="M16" i="35"/>
  <c r="M17" i="35"/>
  <c r="M18" i="35"/>
  <c r="M19" i="35"/>
  <c r="M11" i="35"/>
  <c r="AE19" i="35"/>
  <c r="AC19" i="35"/>
  <c r="AA19" i="35"/>
  <c r="Y19" i="35"/>
  <c r="W19" i="35"/>
  <c r="U19" i="35"/>
  <c r="R19" i="35"/>
  <c r="S19" i="35" s="1"/>
  <c r="O19" i="35"/>
  <c r="K19" i="35"/>
  <c r="H19" i="35"/>
  <c r="I19" i="35" s="1"/>
  <c r="F19" i="35"/>
  <c r="G19" i="35" s="1"/>
  <c r="AE18" i="35"/>
  <c r="AC18" i="35"/>
  <c r="AA18" i="35"/>
  <c r="Y18" i="35"/>
  <c r="W18" i="35"/>
  <c r="U18" i="35"/>
  <c r="R18" i="35"/>
  <c r="S18" i="35" s="1"/>
  <c r="O18" i="35"/>
  <c r="K18" i="35"/>
  <c r="H18" i="35"/>
  <c r="I18" i="35" s="1"/>
  <c r="F18" i="35"/>
  <c r="G18" i="35" s="1"/>
  <c r="AE17" i="35"/>
  <c r="AC17" i="35"/>
  <c r="AA17" i="35"/>
  <c r="Y17" i="35"/>
  <c r="W17" i="35"/>
  <c r="U17" i="35"/>
  <c r="R17" i="35"/>
  <c r="S17" i="35" s="1"/>
  <c r="O17" i="35"/>
  <c r="K17" i="35"/>
  <c r="H17" i="35"/>
  <c r="I17" i="35" s="1"/>
  <c r="F17" i="35"/>
  <c r="G17" i="35" s="1"/>
  <c r="AE16" i="35"/>
  <c r="AC16" i="35"/>
  <c r="AA16" i="35"/>
  <c r="Y16" i="35"/>
  <c r="W16" i="35"/>
  <c r="U16" i="35"/>
  <c r="R16" i="35"/>
  <c r="S16" i="35" s="1"/>
  <c r="O16" i="35"/>
  <c r="K16" i="35"/>
  <c r="H16" i="35"/>
  <c r="I16" i="35" s="1"/>
  <c r="F16" i="35"/>
  <c r="G16" i="35" s="1"/>
  <c r="E16" i="35"/>
  <c r="C16" i="35"/>
  <c r="AE15" i="35"/>
  <c r="AC15" i="35"/>
  <c r="AA15" i="35"/>
  <c r="Y15" i="35"/>
  <c r="W15" i="35"/>
  <c r="U15" i="35"/>
  <c r="R15" i="35"/>
  <c r="S15" i="35" s="1"/>
  <c r="O15" i="35"/>
  <c r="K15" i="35"/>
  <c r="H15" i="35"/>
  <c r="I15" i="35" s="1"/>
  <c r="F15" i="35"/>
  <c r="G15" i="35" s="1"/>
  <c r="E15" i="35"/>
  <c r="C15" i="35"/>
  <c r="AE14" i="35"/>
  <c r="AC14" i="35"/>
  <c r="AA14" i="35"/>
  <c r="Y14" i="35"/>
  <c r="W14" i="35"/>
  <c r="U14" i="35"/>
  <c r="R14" i="35"/>
  <c r="S14" i="35" s="1"/>
  <c r="O14" i="35"/>
  <c r="K14" i="35"/>
  <c r="H14" i="35"/>
  <c r="I14" i="35" s="1"/>
  <c r="F14" i="35"/>
  <c r="G14" i="35" s="1"/>
  <c r="E14" i="35"/>
  <c r="C14" i="35"/>
  <c r="R13" i="35"/>
  <c r="S13" i="35" s="1"/>
  <c r="H13" i="35"/>
  <c r="I13" i="35" s="1"/>
  <c r="F13" i="35"/>
  <c r="G13" i="35" s="1"/>
  <c r="E13" i="35"/>
  <c r="C13" i="35"/>
  <c r="AE12" i="35"/>
  <c r="AC12" i="35"/>
  <c r="AA12" i="35"/>
  <c r="Y12" i="35"/>
  <c r="W12" i="35"/>
  <c r="U12" i="35"/>
  <c r="R12" i="35"/>
  <c r="S12" i="35" s="1"/>
  <c r="O12" i="35"/>
  <c r="K12" i="35"/>
  <c r="H12" i="35"/>
  <c r="I12" i="35" s="1"/>
  <c r="F12" i="35"/>
  <c r="G12" i="35" s="1"/>
  <c r="E12" i="35"/>
  <c r="C12" i="35"/>
  <c r="AE11" i="35"/>
  <c r="AC11" i="35"/>
  <c r="AA11" i="35"/>
  <c r="Y11" i="35"/>
  <c r="W11" i="35"/>
  <c r="U11" i="35"/>
  <c r="R11" i="35"/>
  <c r="S11" i="35" s="1"/>
  <c r="O11" i="35"/>
  <c r="K11" i="35"/>
  <c r="H11" i="35"/>
  <c r="F11" i="35"/>
  <c r="G11" i="35" s="1"/>
  <c r="E11" i="35"/>
  <c r="C11" i="35"/>
  <c r="AE19" i="34"/>
  <c r="AC19" i="34"/>
  <c r="AA19" i="34"/>
  <c r="Y19" i="34"/>
  <c r="W19" i="34"/>
  <c r="U19" i="34"/>
  <c r="R19" i="34"/>
  <c r="S19" i="34" s="1"/>
  <c r="Q19" i="34"/>
  <c r="O19" i="34"/>
  <c r="M19" i="34"/>
  <c r="K19" i="34"/>
  <c r="H19" i="34"/>
  <c r="I19" i="34" s="1"/>
  <c r="F19" i="34"/>
  <c r="G19" i="34" s="1"/>
  <c r="AE18" i="34"/>
  <c r="AC18" i="34"/>
  <c r="AA18" i="34"/>
  <c r="Y18" i="34"/>
  <c r="W18" i="34"/>
  <c r="U18" i="34"/>
  <c r="R18" i="34"/>
  <c r="S18" i="34" s="1"/>
  <c r="Q18" i="34"/>
  <c r="O18" i="34"/>
  <c r="M18" i="34"/>
  <c r="K18" i="34"/>
  <c r="H18" i="34"/>
  <c r="I18" i="34" s="1"/>
  <c r="F18" i="34"/>
  <c r="G18" i="34" s="1"/>
  <c r="AE17" i="34"/>
  <c r="AC17" i="34"/>
  <c r="AA17" i="34"/>
  <c r="Y17" i="34"/>
  <c r="W17" i="34"/>
  <c r="U17" i="34"/>
  <c r="R17" i="34"/>
  <c r="S17" i="34" s="1"/>
  <c r="Q17" i="34"/>
  <c r="O17" i="34"/>
  <c r="M17" i="34"/>
  <c r="K17" i="34"/>
  <c r="H17" i="34"/>
  <c r="I17" i="34" s="1"/>
  <c r="F17" i="34"/>
  <c r="G17" i="34" s="1"/>
  <c r="AE16" i="34"/>
  <c r="AC16" i="34"/>
  <c r="AA16" i="34"/>
  <c r="Y16" i="34"/>
  <c r="W16" i="34"/>
  <c r="U16" i="34"/>
  <c r="R16" i="34"/>
  <c r="S16" i="34" s="1"/>
  <c r="Q16" i="34"/>
  <c r="O16" i="34"/>
  <c r="M16" i="34"/>
  <c r="K16" i="34"/>
  <c r="H16" i="34"/>
  <c r="I16" i="34" s="1"/>
  <c r="F16" i="34"/>
  <c r="G16" i="34" s="1"/>
  <c r="E16" i="34"/>
  <c r="C16" i="34"/>
  <c r="AE15" i="34"/>
  <c r="AC15" i="34"/>
  <c r="AA15" i="34"/>
  <c r="Y15" i="34"/>
  <c r="W15" i="34"/>
  <c r="U15" i="34"/>
  <c r="R15" i="34"/>
  <c r="S15" i="34" s="1"/>
  <c r="Q15" i="34"/>
  <c r="O15" i="34"/>
  <c r="M15" i="34"/>
  <c r="K15" i="34"/>
  <c r="H15" i="34"/>
  <c r="I15" i="34" s="1"/>
  <c r="F15" i="34"/>
  <c r="G15" i="34" s="1"/>
  <c r="E15" i="34"/>
  <c r="C15" i="34"/>
  <c r="AE14" i="34"/>
  <c r="AC14" i="34"/>
  <c r="AA14" i="34"/>
  <c r="Y14" i="34"/>
  <c r="W14" i="34"/>
  <c r="U14" i="34"/>
  <c r="R14" i="34"/>
  <c r="S14" i="34" s="1"/>
  <c r="Q14" i="34"/>
  <c r="O14" i="34"/>
  <c r="M14" i="34"/>
  <c r="K14" i="34"/>
  <c r="H14" i="34"/>
  <c r="I14" i="34" s="1"/>
  <c r="F14" i="34"/>
  <c r="G14" i="34" s="1"/>
  <c r="E14" i="34"/>
  <c r="C14" i="34"/>
  <c r="AE13" i="34"/>
  <c r="AC13" i="34"/>
  <c r="AA13" i="34"/>
  <c r="Y13" i="34"/>
  <c r="W13" i="34"/>
  <c r="U13" i="34"/>
  <c r="R13" i="34"/>
  <c r="S13" i="34" s="1"/>
  <c r="Q13" i="34"/>
  <c r="O13" i="34"/>
  <c r="M13" i="34"/>
  <c r="K13" i="34"/>
  <c r="H13" i="34"/>
  <c r="I13" i="34" s="1"/>
  <c r="F13" i="34"/>
  <c r="G13" i="34" s="1"/>
  <c r="E13" i="34"/>
  <c r="C13" i="34"/>
  <c r="AE12" i="34"/>
  <c r="AC12" i="34"/>
  <c r="AA12" i="34"/>
  <c r="Y12" i="34"/>
  <c r="W12" i="34"/>
  <c r="U12" i="34"/>
  <c r="R12" i="34"/>
  <c r="S12" i="34" s="1"/>
  <c r="Q12" i="34"/>
  <c r="O12" i="34"/>
  <c r="M12" i="34"/>
  <c r="K12" i="34"/>
  <c r="H12" i="34"/>
  <c r="I12" i="34" s="1"/>
  <c r="F12" i="34"/>
  <c r="G12" i="34" s="1"/>
  <c r="E12" i="34"/>
  <c r="C12" i="34"/>
  <c r="AE11" i="34"/>
  <c r="AC11" i="34"/>
  <c r="AA11" i="34"/>
  <c r="Y11" i="34"/>
  <c r="W11" i="34"/>
  <c r="U11" i="34"/>
  <c r="R11" i="34"/>
  <c r="S11" i="34" s="1"/>
  <c r="Q11" i="34"/>
  <c r="O11" i="34"/>
  <c r="M11" i="34"/>
  <c r="K11" i="34"/>
  <c r="H11" i="34"/>
  <c r="F11" i="34"/>
  <c r="G11" i="34" s="1"/>
  <c r="E11" i="34"/>
  <c r="C11" i="34"/>
  <c r="H12" i="33"/>
  <c r="H13" i="33"/>
  <c r="H14" i="33"/>
  <c r="H15" i="33"/>
  <c r="H16" i="33"/>
  <c r="H17" i="33"/>
  <c r="I17" i="33" s="1"/>
  <c r="H18" i="33"/>
  <c r="I18" i="33" s="1"/>
  <c r="H19" i="33"/>
  <c r="H20" i="33"/>
  <c r="H11" i="33"/>
  <c r="F12" i="33"/>
  <c r="G12" i="33" s="1"/>
  <c r="F13" i="33"/>
  <c r="F14" i="33"/>
  <c r="G14" i="33" s="1"/>
  <c r="F15" i="33"/>
  <c r="F16" i="33"/>
  <c r="G16" i="33" s="1"/>
  <c r="F17" i="33"/>
  <c r="G17" i="33" s="1"/>
  <c r="F18" i="33"/>
  <c r="G18" i="33" s="1"/>
  <c r="F19" i="33"/>
  <c r="F20" i="33"/>
  <c r="F11" i="33"/>
  <c r="AE19" i="33"/>
  <c r="AE18" i="33"/>
  <c r="AE17" i="33"/>
  <c r="AE16" i="33"/>
  <c r="AE15" i="33"/>
  <c r="AE14" i="33"/>
  <c r="AE13" i="33"/>
  <c r="AE12" i="33"/>
  <c r="AE11" i="33"/>
  <c r="AC19" i="33"/>
  <c r="AC18" i="33"/>
  <c r="AC17" i="33"/>
  <c r="AC16" i="33"/>
  <c r="AC15" i="33"/>
  <c r="AC14" i="33"/>
  <c r="AC13" i="33"/>
  <c r="AC12" i="33"/>
  <c r="AC11" i="33"/>
  <c r="AA19" i="33"/>
  <c r="AA18" i="33"/>
  <c r="AA17" i="33"/>
  <c r="AA16" i="33"/>
  <c r="AA15" i="33"/>
  <c r="AA14" i="33"/>
  <c r="AA13" i="33"/>
  <c r="AA12" i="33"/>
  <c r="AA11" i="33"/>
  <c r="Y19" i="33"/>
  <c r="Y18" i="33"/>
  <c r="Y17" i="33"/>
  <c r="Y16" i="33"/>
  <c r="Y15" i="33"/>
  <c r="Y14" i="33"/>
  <c r="Y13" i="33"/>
  <c r="Y12" i="33"/>
  <c r="Y11" i="33"/>
  <c r="W19" i="33"/>
  <c r="W18" i="33"/>
  <c r="W17" i="33"/>
  <c r="W16" i="33"/>
  <c r="W15" i="33"/>
  <c r="W14" i="33"/>
  <c r="W13" i="33"/>
  <c r="W12" i="33"/>
  <c r="W11" i="33"/>
  <c r="U19" i="33"/>
  <c r="U18" i="33"/>
  <c r="U17" i="33"/>
  <c r="U16" i="33"/>
  <c r="U15" i="33"/>
  <c r="U14" i="33"/>
  <c r="U13" i="33"/>
  <c r="U12" i="33"/>
  <c r="U11" i="33"/>
  <c r="S19" i="33"/>
  <c r="S18" i="33"/>
  <c r="S17" i="33"/>
  <c r="S16" i="33"/>
  <c r="S15" i="33"/>
  <c r="S14" i="33"/>
  <c r="S13" i="33"/>
  <c r="S12" i="33"/>
  <c r="S11" i="33"/>
  <c r="Q19" i="33"/>
  <c r="Q18" i="33"/>
  <c r="Q17" i="33"/>
  <c r="Q16" i="33"/>
  <c r="Q15" i="33"/>
  <c r="Q14" i="33"/>
  <c r="Q13" i="33"/>
  <c r="Q12" i="33"/>
  <c r="Q11" i="33"/>
  <c r="O19" i="33"/>
  <c r="O18" i="33"/>
  <c r="O17" i="33"/>
  <c r="O16" i="33"/>
  <c r="O15" i="33"/>
  <c r="O14" i="33"/>
  <c r="O13" i="33"/>
  <c r="O12" i="33"/>
  <c r="O11" i="33"/>
  <c r="M19" i="33"/>
  <c r="M18" i="33"/>
  <c r="M17" i="33"/>
  <c r="M16" i="33"/>
  <c r="M15" i="33"/>
  <c r="M14" i="33"/>
  <c r="M13" i="33"/>
  <c r="M12" i="33"/>
  <c r="M11" i="33"/>
  <c r="K19" i="33"/>
  <c r="K18" i="33"/>
  <c r="K17" i="33"/>
  <c r="K16" i="33"/>
  <c r="K15" i="33"/>
  <c r="K14" i="33"/>
  <c r="K13" i="33"/>
  <c r="K12" i="33"/>
  <c r="K11" i="33"/>
  <c r="I19" i="33"/>
  <c r="I16" i="33"/>
  <c r="I15" i="33"/>
  <c r="I14" i="33"/>
  <c r="I13" i="33"/>
  <c r="I12" i="33"/>
  <c r="G19" i="33"/>
  <c r="G15" i="33"/>
  <c r="G13" i="33"/>
  <c r="G11" i="33"/>
  <c r="E16" i="33"/>
  <c r="E15" i="33"/>
  <c r="E14" i="33"/>
  <c r="E13" i="33"/>
  <c r="E12" i="33"/>
  <c r="E11" i="33"/>
  <c r="C12" i="33"/>
  <c r="C13" i="33"/>
  <c r="C14" i="33"/>
  <c r="C15" i="33"/>
  <c r="C16" i="33"/>
  <c r="C11" i="33"/>
  <c r="K12" i="32"/>
  <c r="L12" i="32"/>
  <c r="M12" i="32" s="1"/>
  <c r="N12" i="32"/>
  <c r="O12" i="32" s="1"/>
  <c r="P12" i="32"/>
  <c r="Q12" i="32"/>
  <c r="T12" i="32"/>
  <c r="U12" i="32" s="1"/>
  <c r="V12" i="32"/>
  <c r="W12" i="32" s="1"/>
  <c r="X12" i="32"/>
  <c r="Y12" i="32" s="1"/>
  <c r="Z12" i="32"/>
  <c r="AA12" i="32" s="1"/>
  <c r="AB12" i="32"/>
  <c r="AC12" i="32" s="1"/>
  <c r="AD12" i="32"/>
  <c r="AE12" i="32" s="1"/>
  <c r="K13" i="32"/>
  <c r="L13" i="32"/>
  <c r="M13" i="32" s="1"/>
  <c r="N13" i="32"/>
  <c r="O13" i="32" s="1"/>
  <c r="P13" i="32"/>
  <c r="Q13" i="32" s="1"/>
  <c r="T13" i="32"/>
  <c r="U13" i="32" s="1"/>
  <c r="V13" i="32"/>
  <c r="W13" i="32"/>
  <c r="X13" i="32"/>
  <c r="Y13" i="32" s="1"/>
  <c r="Z13" i="32"/>
  <c r="AA13" i="32" s="1"/>
  <c r="AB13" i="32"/>
  <c r="AC13" i="32" s="1"/>
  <c r="AD13" i="32"/>
  <c r="AE13" i="32" s="1"/>
  <c r="K14" i="32"/>
  <c r="L14" i="32"/>
  <c r="M14" i="32"/>
  <c r="N14" i="32"/>
  <c r="O14" i="32" s="1"/>
  <c r="P14" i="32"/>
  <c r="Q14" i="32"/>
  <c r="T14" i="32"/>
  <c r="U14" i="32" s="1"/>
  <c r="V14" i="32"/>
  <c r="W14" i="32" s="1"/>
  <c r="X14" i="32"/>
  <c r="Y14" i="32" s="1"/>
  <c r="Z14" i="32"/>
  <c r="AA14" i="32"/>
  <c r="AB14" i="32"/>
  <c r="AC14" i="32" s="1"/>
  <c r="AD14" i="32"/>
  <c r="AE14" i="32"/>
  <c r="K15" i="32"/>
  <c r="L15" i="32"/>
  <c r="M15" i="32" s="1"/>
  <c r="N15" i="32"/>
  <c r="O15" i="32" s="1"/>
  <c r="P15" i="32"/>
  <c r="Q15" i="32" s="1"/>
  <c r="T15" i="32"/>
  <c r="U15" i="32" s="1"/>
  <c r="V15" i="32"/>
  <c r="W15" i="32"/>
  <c r="X15" i="32"/>
  <c r="Y15" i="32" s="1"/>
  <c r="Z15" i="32"/>
  <c r="AA15" i="32" s="1"/>
  <c r="AB15" i="32"/>
  <c r="AC15" i="32" s="1"/>
  <c r="AD15" i="32"/>
  <c r="AE15" i="32" s="1"/>
  <c r="AD11" i="32"/>
  <c r="AE11" i="32" s="1"/>
  <c r="AB11" i="32"/>
  <c r="AC11" i="32" s="1"/>
  <c r="Z11" i="32"/>
  <c r="AA11" i="32" s="1"/>
  <c r="X11" i="32"/>
  <c r="Y11" i="32" s="1"/>
  <c r="V11" i="32"/>
  <c r="W11" i="32" s="1"/>
  <c r="T11" i="32"/>
  <c r="U11" i="32" s="1"/>
  <c r="P11" i="32"/>
  <c r="Q11" i="32" s="1"/>
  <c r="N11" i="32"/>
  <c r="O11" i="32" s="1"/>
  <c r="L11" i="32"/>
  <c r="M11" i="32" s="1"/>
  <c r="J11" i="32"/>
  <c r="K11" i="32" s="1"/>
  <c r="K29" i="106" l="1"/>
  <c r="G11" i="38"/>
  <c r="G15" i="38"/>
  <c r="C28" i="106"/>
  <c r="C36" i="106"/>
  <c r="C30" i="106"/>
  <c r="D32" i="106"/>
  <c r="E37" i="106"/>
  <c r="E31" i="106"/>
  <c r="G37" i="106"/>
  <c r="I29" i="106"/>
  <c r="I35" i="106"/>
  <c r="I30" i="106"/>
  <c r="K35" i="106"/>
  <c r="G35" i="106"/>
  <c r="K33" i="106"/>
  <c r="C38" i="106"/>
  <c r="C33" i="106"/>
  <c r="D28" i="106"/>
  <c r="E39" i="106"/>
  <c r="E34" i="106"/>
  <c r="G29" i="106"/>
  <c r="G33" i="106"/>
  <c r="I38" i="106"/>
  <c r="I33" i="106"/>
  <c r="K39" i="106"/>
  <c r="K31" i="106"/>
  <c r="C37" i="106"/>
  <c r="C32" i="106"/>
  <c r="D36" i="106"/>
  <c r="E38" i="106"/>
  <c r="E33" i="106"/>
  <c r="G39" i="106"/>
  <c r="G31" i="106"/>
  <c r="I37" i="106"/>
  <c r="I31" i="106"/>
  <c r="K37" i="106"/>
  <c r="H11" i="32"/>
  <c r="R20" i="44"/>
  <c r="F29" i="106"/>
  <c r="F37" i="106"/>
  <c r="F33" i="106"/>
  <c r="H29" i="106"/>
  <c r="H37" i="106"/>
  <c r="H33" i="106"/>
  <c r="J29" i="106"/>
  <c r="J37" i="106"/>
  <c r="J33" i="106"/>
  <c r="R11" i="32"/>
  <c r="R15" i="32"/>
  <c r="R14" i="32"/>
  <c r="R13" i="32"/>
  <c r="R12" i="32"/>
  <c r="C39" i="106"/>
  <c r="C35" i="106"/>
  <c r="D39" i="106"/>
  <c r="D35" i="106"/>
  <c r="D31" i="106"/>
  <c r="E28" i="106"/>
  <c r="E36" i="106"/>
  <c r="F28" i="106"/>
  <c r="F36" i="106"/>
  <c r="F32" i="106"/>
  <c r="G28" i="106"/>
  <c r="G36" i="106"/>
  <c r="G32" i="106"/>
  <c r="H28" i="106"/>
  <c r="H36" i="106"/>
  <c r="H32" i="106"/>
  <c r="I28" i="106"/>
  <c r="I36" i="106"/>
  <c r="J28" i="106"/>
  <c r="J36" i="106"/>
  <c r="J32" i="106"/>
  <c r="K28" i="106"/>
  <c r="K36" i="106"/>
  <c r="K32" i="106"/>
  <c r="D38" i="106"/>
  <c r="D34" i="106"/>
  <c r="D30" i="106"/>
  <c r="F39" i="106"/>
  <c r="F35" i="106"/>
  <c r="F31" i="106"/>
  <c r="H39" i="106"/>
  <c r="H35" i="106"/>
  <c r="H31" i="106"/>
  <c r="J39" i="106"/>
  <c r="J35" i="106"/>
  <c r="J31" i="106"/>
  <c r="D37" i="106"/>
  <c r="D33" i="106"/>
  <c r="F38" i="106"/>
  <c r="F34" i="106"/>
  <c r="G38" i="106"/>
  <c r="G34" i="106"/>
  <c r="H38" i="106"/>
  <c r="H34" i="106"/>
  <c r="J38" i="106"/>
  <c r="J34" i="106"/>
  <c r="K38" i="106"/>
  <c r="K34" i="106"/>
  <c r="H15" i="32"/>
  <c r="I15" i="32" s="1"/>
  <c r="H14" i="32"/>
  <c r="I14" i="32" s="1"/>
  <c r="H13" i="32"/>
  <c r="I13" i="32" s="1"/>
  <c r="H12" i="32"/>
  <c r="I12" i="32" s="1"/>
  <c r="S13" i="32" l="1"/>
  <c r="F13" i="32"/>
  <c r="G13" i="32" s="1"/>
  <c r="S11" i="32"/>
  <c r="F11" i="32"/>
  <c r="G11" i="32" s="1"/>
  <c r="S15" i="32"/>
  <c r="F15" i="32"/>
  <c r="G15" i="32" s="1"/>
  <c r="S12" i="32"/>
  <c r="F12" i="32"/>
  <c r="G12" i="32" s="1"/>
  <c r="S14" i="32"/>
  <c r="F14" i="32"/>
  <c r="G14" i="32" s="1"/>
  <c r="E16" i="32"/>
  <c r="E15" i="32"/>
  <c r="E14" i="32"/>
  <c r="C15" i="32"/>
  <c r="C16" i="32"/>
  <c r="C14" i="32"/>
  <c r="AE15" i="31"/>
  <c r="AE14" i="31"/>
  <c r="AE13" i="31"/>
  <c r="AE12" i="31"/>
  <c r="AE11" i="31"/>
  <c r="AC15" i="31"/>
  <c r="AC14" i="31"/>
  <c r="AC13" i="31"/>
  <c r="AC12" i="31"/>
  <c r="AC11" i="31"/>
  <c r="AA15" i="31"/>
  <c r="AA14" i="31"/>
  <c r="AA13" i="31"/>
  <c r="AA12" i="31"/>
  <c r="AA11" i="31"/>
  <c r="Y15" i="31"/>
  <c r="Y14" i="31"/>
  <c r="Y13" i="31"/>
  <c r="Y12" i="31"/>
  <c r="Y11" i="31"/>
  <c r="W15" i="31"/>
  <c r="W14" i="31"/>
  <c r="W13" i="31"/>
  <c r="W12" i="31"/>
  <c r="W11" i="31"/>
  <c r="U15" i="31"/>
  <c r="U14" i="31"/>
  <c r="U13" i="31"/>
  <c r="U12" i="31"/>
  <c r="U11" i="31"/>
  <c r="S15" i="31"/>
  <c r="S14" i="31"/>
  <c r="S13" i="31"/>
  <c r="S12" i="31"/>
  <c r="S11" i="31"/>
  <c r="Q15" i="31"/>
  <c r="Q14" i="31"/>
  <c r="Q13" i="31"/>
  <c r="Q12" i="31"/>
  <c r="Q11" i="31"/>
  <c r="O15" i="31"/>
  <c r="O14" i="31"/>
  <c r="O13" i="31"/>
  <c r="O12" i="31"/>
  <c r="O11" i="31"/>
  <c r="M15" i="31"/>
  <c r="M14" i="31"/>
  <c r="M13" i="31"/>
  <c r="M12" i="31"/>
  <c r="M11" i="31"/>
  <c r="K15" i="31"/>
  <c r="K14" i="31"/>
  <c r="K13" i="31"/>
  <c r="K12" i="31"/>
  <c r="K11" i="31"/>
  <c r="I12" i="31"/>
  <c r="I13" i="31"/>
  <c r="I14" i="31"/>
  <c r="I15" i="31"/>
  <c r="G13" i="31"/>
  <c r="G14" i="31"/>
  <c r="G15" i="31"/>
  <c r="G12" i="31"/>
  <c r="G11" i="31"/>
  <c r="E15" i="31"/>
  <c r="E16" i="31"/>
  <c r="E14" i="31"/>
  <c r="C15" i="31"/>
  <c r="C16" i="31"/>
  <c r="C14" i="31"/>
  <c r="Y11" i="30"/>
  <c r="Y12" i="30"/>
  <c r="Y13" i="30"/>
  <c r="Y14" i="30"/>
  <c r="Y15" i="30"/>
  <c r="Y16" i="30"/>
  <c r="Y17" i="30"/>
  <c r="Y18" i="30"/>
  <c r="Y19" i="30"/>
  <c r="AE11" i="30"/>
  <c r="AE12" i="30"/>
  <c r="AE13" i="30"/>
  <c r="AE14" i="30"/>
  <c r="AE15" i="30"/>
  <c r="AE16" i="30"/>
  <c r="AE17" i="30"/>
  <c r="AE18" i="30"/>
  <c r="AE19" i="30"/>
  <c r="AC11" i="30"/>
  <c r="AC12" i="30"/>
  <c r="AC13" i="30"/>
  <c r="AC14" i="30"/>
  <c r="AC15" i="30"/>
  <c r="AC16" i="30"/>
  <c r="AC17" i="30"/>
  <c r="AC18" i="30"/>
  <c r="AC19" i="30"/>
  <c r="AA11" i="30"/>
  <c r="AA12" i="30"/>
  <c r="AA13" i="30"/>
  <c r="AA14" i="30"/>
  <c r="AA15" i="30"/>
  <c r="AA16" i="30"/>
  <c r="AA17" i="30"/>
  <c r="AA18" i="30"/>
  <c r="AA19" i="30"/>
  <c r="W11" i="30"/>
  <c r="W12" i="30"/>
  <c r="W13" i="30"/>
  <c r="W14" i="30"/>
  <c r="W15" i="30"/>
  <c r="W16" i="30"/>
  <c r="W17" i="30"/>
  <c r="W18" i="30"/>
  <c r="W19" i="30"/>
  <c r="U11" i="30"/>
  <c r="U12" i="30"/>
  <c r="U13" i="30"/>
  <c r="U14" i="30"/>
  <c r="U15" i="30"/>
  <c r="U16" i="30"/>
  <c r="U17" i="30"/>
  <c r="U18" i="30"/>
  <c r="U19" i="30"/>
  <c r="S11" i="30"/>
  <c r="S12" i="30"/>
  <c r="S13" i="30"/>
  <c r="S14" i="30"/>
  <c r="S15" i="30"/>
  <c r="S16" i="30"/>
  <c r="S17" i="30"/>
  <c r="S18" i="30"/>
  <c r="S19" i="30"/>
  <c r="Q11" i="30"/>
  <c r="Q12" i="30"/>
  <c r="Q13" i="30"/>
  <c r="Q14" i="30"/>
  <c r="Q15" i="30"/>
  <c r="Q16" i="30"/>
  <c r="Q17" i="30"/>
  <c r="Q18" i="30"/>
  <c r="Q19" i="30"/>
  <c r="O11" i="30"/>
  <c r="O12" i="30"/>
  <c r="O13" i="30"/>
  <c r="O14" i="30"/>
  <c r="O15" i="30"/>
  <c r="O16" i="30"/>
  <c r="O17" i="30"/>
  <c r="O18" i="30"/>
  <c r="O19" i="30"/>
  <c r="M11" i="30"/>
  <c r="M12" i="30"/>
  <c r="M13" i="30"/>
  <c r="M14" i="30"/>
  <c r="M15" i="30"/>
  <c r="M16" i="30"/>
  <c r="M17" i="30"/>
  <c r="M18" i="30"/>
  <c r="M19" i="30"/>
  <c r="K11" i="30"/>
  <c r="K12" i="30"/>
  <c r="K13" i="30"/>
  <c r="K14" i="30"/>
  <c r="K15" i="30"/>
  <c r="K16" i="30"/>
  <c r="K17" i="30"/>
  <c r="K18" i="30"/>
  <c r="K19" i="30"/>
  <c r="I14" i="30"/>
  <c r="I15" i="30"/>
  <c r="I16" i="30"/>
  <c r="I17" i="30"/>
  <c r="I18" i="30"/>
  <c r="I19" i="30"/>
  <c r="I13" i="30"/>
  <c r="I12" i="30"/>
  <c r="H11" i="30"/>
  <c r="G13" i="30"/>
  <c r="G14" i="30"/>
  <c r="G15" i="30"/>
  <c r="G16" i="30"/>
  <c r="G17" i="30"/>
  <c r="G18" i="30"/>
  <c r="G19" i="30"/>
  <c r="G12" i="30"/>
  <c r="G11" i="30"/>
  <c r="E15" i="30"/>
  <c r="E16" i="30"/>
  <c r="E17" i="30"/>
  <c r="E14" i="30"/>
  <c r="E13" i="30"/>
  <c r="E12" i="30"/>
  <c r="E11" i="30"/>
  <c r="C12" i="30"/>
  <c r="C13" i="30"/>
  <c r="C14" i="30"/>
  <c r="C15" i="30"/>
  <c r="C16" i="30"/>
  <c r="C17" i="30"/>
  <c r="C11" i="30"/>
  <c r="I11" i="33" l="1"/>
  <c r="I11" i="37"/>
  <c r="I11" i="35"/>
  <c r="I11" i="34"/>
  <c r="I11" i="32"/>
  <c r="I11" i="31"/>
  <c r="I11" i="30"/>
  <c r="C21" i="106"/>
  <c r="C40" i="106" s="1"/>
  <c r="D21" i="106"/>
  <c r="D40" i="106" s="1"/>
  <c r="E21" i="106"/>
  <c r="E40" i="106" s="1"/>
  <c r="F21" i="106"/>
  <c r="F40" i="106" s="1"/>
  <c r="G21" i="106"/>
  <c r="G40" i="106" s="1"/>
  <c r="H21" i="106"/>
  <c r="H40" i="106" s="1"/>
  <c r="I21" i="106"/>
  <c r="I40" i="106" s="1"/>
  <c r="J21" i="106"/>
  <c r="J40" i="106" s="1"/>
  <c r="K21" i="106"/>
  <c r="K40" i="106" s="1"/>
  <c r="AE20" i="33"/>
  <c r="AC20" i="33"/>
  <c r="AA20" i="33"/>
  <c r="Y20" i="33"/>
  <c r="W20" i="33"/>
  <c r="U20" i="33"/>
  <c r="O20" i="33"/>
  <c r="K20" i="33"/>
  <c r="Q20" i="33" l="1"/>
  <c r="Q20" i="35"/>
  <c r="M20" i="33"/>
  <c r="M20" i="35"/>
  <c r="H19" i="14" l="1"/>
  <c r="H18" i="14"/>
  <c r="H17" i="14"/>
  <c r="K16" i="14" s="1"/>
  <c r="H16" i="14"/>
  <c r="K15" i="14" s="1"/>
  <c r="H15" i="14"/>
  <c r="K14" i="14" s="1"/>
  <c r="H14" i="14"/>
  <c r="K13" i="14" s="1"/>
  <c r="H13" i="14"/>
  <c r="K12" i="14" s="1"/>
  <c r="H12" i="14"/>
  <c r="K11" i="14" s="1"/>
  <c r="H11" i="14"/>
  <c r="H10" i="14"/>
  <c r="K10" i="14" s="1"/>
  <c r="H9" i="14"/>
  <c r="K9" i="14" s="1"/>
  <c r="H8" i="14"/>
  <c r="K8" i="14" s="1"/>
  <c r="H7" i="14"/>
  <c r="K7" i="14" s="1"/>
  <c r="G19" i="14"/>
  <c r="F19" i="14"/>
  <c r="E19" i="14"/>
  <c r="D19" i="14"/>
  <c r="C19" i="14"/>
  <c r="B19" i="14"/>
  <c r="G18" i="14"/>
  <c r="F18" i="14"/>
  <c r="E18" i="14"/>
  <c r="D18" i="14"/>
  <c r="C18" i="14"/>
  <c r="B18" i="14"/>
  <c r="G17" i="14"/>
  <c r="F17" i="14"/>
  <c r="E17" i="14"/>
  <c r="D17" i="14"/>
  <c r="C17" i="14"/>
  <c r="B17" i="14"/>
  <c r="G16" i="14"/>
  <c r="F16" i="14"/>
  <c r="E16" i="14"/>
  <c r="D16" i="14"/>
  <c r="C16" i="14"/>
  <c r="B16" i="14"/>
  <c r="G15" i="14"/>
  <c r="F15" i="14"/>
  <c r="E15" i="14"/>
  <c r="D15" i="14"/>
  <c r="C15" i="14"/>
  <c r="B15" i="14"/>
  <c r="G14" i="14"/>
  <c r="F14" i="14"/>
  <c r="E14" i="14"/>
  <c r="D14" i="14"/>
  <c r="C14" i="14"/>
  <c r="B14" i="14"/>
  <c r="G13" i="14"/>
  <c r="F13" i="14"/>
  <c r="E13" i="14"/>
  <c r="D13" i="14"/>
  <c r="C13" i="14"/>
  <c r="B13" i="14"/>
  <c r="G12" i="14"/>
  <c r="F12" i="14"/>
  <c r="E12" i="14"/>
  <c r="D12" i="14"/>
  <c r="C12" i="14"/>
  <c r="B12" i="14"/>
  <c r="G11" i="14"/>
  <c r="F11" i="14"/>
  <c r="E11" i="14"/>
  <c r="D11" i="14"/>
  <c r="C11" i="14"/>
  <c r="B11" i="14"/>
  <c r="G10" i="14"/>
  <c r="F10" i="14"/>
  <c r="E10" i="14"/>
  <c r="D10" i="14"/>
  <c r="C10" i="14"/>
  <c r="B10" i="14"/>
  <c r="G9" i="14"/>
  <c r="F9" i="14"/>
  <c r="E9" i="14"/>
  <c r="D9" i="14"/>
  <c r="C9" i="14"/>
  <c r="B9" i="14"/>
  <c r="G8" i="14"/>
  <c r="F8" i="14"/>
  <c r="E8" i="14"/>
  <c r="D8" i="14"/>
  <c r="C8" i="14"/>
  <c r="B8" i="14"/>
  <c r="G7" i="14"/>
  <c r="F7" i="14"/>
  <c r="E7" i="14"/>
  <c r="D7" i="14"/>
  <c r="C7" i="14"/>
  <c r="B7" i="14"/>
  <c r="H74" i="12"/>
  <c r="J77" i="12"/>
  <c r="J78" i="12"/>
  <c r="J79" i="12"/>
  <c r="J80" i="12"/>
  <c r="J81" i="12"/>
  <c r="J82" i="12"/>
  <c r="J83" i="12"/>
  <c r="J76" i="12"/>
  <c r="J75" i="12"/>
  <c r="J74" i="12"/>
  <c r="I75" i="12"/>
  <c r="I76" i="12"/>
  <c r="I77" i="12"/>
  <c r="I78" i="12"/>
  <c r="I79" i="12"/>
  <c r="I80" i="12"/>
  <c r="I81" i="12"/>
  <c r="I82" i="12"/>
  <c r="I83" i="12"/>
  <c r="I74" i="12"/>
  <c r="H77" i="12"/>
  <c r="H78" i="12"/>
  <c r="H79" i="12"/>
  <c r="H80" i="12"/>
  <c r="H81" i="12"/>
  <c r="H82" i="12"/>
  <c r="H83" i="12"/>
  <c r="H75" i="12"/>
  <c r="H76" i="12"/>
  <c r="F75" i="12"/>
  <c r="F76" i="12"/>
  <c r="F77" i="12"/>
  <c r="F78" i="12"/>
  <c r="F79" i="12"/>
  <c r="F80" i="12"/>
  <c r="F81" i="12"/>
  <c r="F82" i="12"/>
  <c r="F83" i="12"/>
  <c r="F74" i="12"/>
  <c r="E75" i="12"/>
  <c r="E76" i="12"/>
  <c r="E77" i="12"/>
  <c r="E78" i="12"/>
  <c r="E79" i="12"/>
  <c r="E80" i="12"/>
  <c r="E81" i="12"/>
  <c r="E82" i="12"/>
  <c r="E83" i="12"/>
  <c r="E74" i="12"/>
  <c r="J69" i="12"/>
  <c r="J68" i="12"/>
  <c r="I68" i="12"/>
  <c r="I69" i="12"/>
  <c r="I70" i="12"/>
  <c r="I71" i="12"/>
  <c r="H71" i="12"/>
  <c r="H70" i="12"/>
  <c r="H69" i="12"/>
  <c r="H68" i="12"/>
  <c r="G68" i="12"/>
  <c r="G69" i="12"/>
  <c r="G70" i="12"/>
  <c r="G71" i="12"/>
  <c r="F71" i="12"/>
  <c r="F70" i="12"/>
  <c r="F69" i="12"/>
  <c r="F68" i="12"/>
  <c r="E69" i="12"/>
  <c r="E70" i="12"/>
  <c r="E71" i="12"/>
  <c r="E68" i="12"/>
  <c r="D68" i="12"/>
  <c r="D69" i="12"/>
  <c r="D70" i="12"/>
  <c r="D71" i="12"/>
  <c r="I63" i="12"/>
  <c r="I64" i="12"/>
  <c r="I65" i="12"/>
  <c r="I62" i="12"/>
  <c r="H62" i="12"/>
  <c r="H63" i="12"/>
  <c r="H64" i="12"/>
  <c r="H65" i="12"/>
  <c r="G63" i="12"/>
  <c r="G64" i="12"/>
  <c r="G65" i="12"/>
  <c r="G62" i="12"/>
  <c r="F63" i="12"/>
  <c r="F64" i="12"/>
  <c r="F65" i="12"/>
  <c r="F62" i="12"/>
  <c r="E62" i="12"/>
  <c r="E63" i="12"/>
  <c r="E64" i="12"/>
  <c r="E65" i="12"/>
  <c r="J57" i="12"/>
  <c r="J58" i="12"/>
  <c r="J59" i="12"/>
  <c r="I58" i="12"/>
  <c r="I57" i="12"/>
  <c r="I59" i="12"/>
  <c r="H57" i="12"/>
  <c r="H58" i="12"/>
  <c r="H59" i="12"/>
  <c r="G57" i="12"/>
  <c r="G58" i="12"/>
  <c r="G59" i="12"/>
  <c r="F57" i="12"/>
  <c r="F58" i="12"/>
  <c r="F59" i="12"/>
  <c r="E57" i="12"/>
  <c r="E58" i="12"/>
  <c r="E59" i="12"/>
  <c r="D57" i="12"/>
  <c r="D59" i="12"/>
  <c r="J44" i="12"/>
  <c r="J47" i="12"/>
  <c r="J48" i="12"/>
  <c r="J49" i="12"/>
  <c r="J50" i="12"/>
  <c r="J51" i="12"/>
  <c r="J52" i="12"/>
  <c r="J53" i="12"/>
  <c r="J54" i="12"/>
  <c r="J45" i="12"/>
  <c r="J46" i="12"/>
  <c r="I44" i="12"/>
  <c r="I45" i="12"/>
  <c r="I46" i="12"/>
  <c r="I47" i="12"/>
  <c r="I48" i="12"/>
  <c r="I49" i="12"/>
  <c r="I50" i="12"/>
  <c r="I51" i="12"/>
  <c r="I52" i="12"/>
  <c r="I53" i="12"/>
  <c r="I54" i="12"/>
  <c r="H45" i="12"/>
  <c r="H46" i="12"/>
  <c r="H44" i="12"/>
  <c r="H47" i="12"/>
  <c r="H48" i="12"/>
  <c r="H49" i="12"/>
  <c r="H50" i="12"/>
  <c r="H51" i="12"/>
  <c r="H52" i="12"/>
  <c r="H53" i="12"/>
  <c r="H54" i="12"/>
  <c r="G44" i="12"/>
  <c r="G45" i="12"/>
  <c r="G46" i="12"/>
  <c r="G47" i="12"/>
  <c r="G48" i="12"/>
  <c r="G49" i="12"/>
  <c r="G50" i="12"/>
  <c r="G51" i="12"/>
  <c r="G52" i="12"/>
  <c r="G53" i="12"/>
  <c r="G54" i="12"/>
  <c r="F44" i="12"/>
  <c r="F45" i="12"/>
  <c r="F46" i="12"/>
  <c r="F47" i="12"/>
  <c r="F48" i="12"/>
  <c r="F49" i="12"/>
  <c r="F50" i="12"/>
  <c r="F51" i="12"/>
  <c r="F52" i="12"/>
  <c r="F53" i="12"/>
  <c r="F54" i="12"/>
  <c r="E44" i="12"/>
  <c r="E45" i="12"/>
  <c r="E46" i="12"/>
  <c r="E47" i="12"/>
  <c r="E48" i="12"/>
  <c r="E49" i="12"/>
  <c r="E50" i="12"/>
  <c r="E51" i="12"/>
  <c r="E52" i="12"/>
  <c r="E53" i="12"/>
  <c r="E54" i="12"/>
  <c r="D45" i="12"/>
  <c r="D46" i="12"/>
  <c r="D47" i="12"/>
  <c r="D44" i="12"/>
  <c r="D48" i="12"/>
  <c r="D49" i="12"/>
  <c r="D50" i="12"/>
  <c r="D51" i="12"/>
  <c r="D52" i="12"/>
  <c r="D53" i="12"/>
  <c r="D54" i="12"/>
  <c r="J40" i="12"/>
  <c r="J41" i="12"/>
  <c r="J39" i="12"/>
  <c r="J38" i="12"/>
  <c r="I38" i="12"/>
  <c r="I39" i="12"/>
  <c r="I40" i="12"/>
  <c r="I41" i="12"/>
  <c r="H38" i="12"/>
  <c r="H39" i="12"/>
  <c r="H40" i="12"/>
  <c r="H41" i="12"/>
  <c r="G39" i="12"/>
  <c r="G40" i="12"/>
  <c r="G41" i="12"/>
  <c r="G38" i="12"/>
  <c r="F38" i="12"/>
  <c r="F39" i="12"/>
  <c r="F40" i="12"/>
  <c r="F41" i="12"/>
  <c r="E41" i="12"/>
  <c r="E39" i="12"/>
  <c r="E38" i="12"/>
  <c r="E40" i="12"/>
  <c r="D39" i="12"/>
  <c r="D40" i="12"/>
  <c r="D41" i="12"/>
  <c r="D38" i="12"/>
  <c r="J26" i="12"/>
  <c r="J27" i="12"/>
  <c r="I27" i="12"/>
  <c r="I26" i="12"/>
  <c r="H26" i="12"/>
  <c r="H27" i="12"/>
  <c r="G27" i="12"/>
  <c r="G26" i="12"/>
  <c r="F27" i="12"/>
  <c r="F26" i="12"/>
  <c r="E26" i="12"/>
  <c r="E27" i="12"/>
  <c r="D26" i="12"/>
  <c r="D27" i="12"/>
  <c r="J19" i="12"/>
  <c r="J20" i="12"/>
  <c r="J21" i="12"/>
  <c r="J22" i="12"/>
  <c r="J23" i="12"/>
  <c r="J18" i="12"/>
  <c r="I19" i="12"/>
  <c r="I20" i="12"/>
  <c r="I21" i="12"/>
  <c r="I22" i="12"/>
  <c r="I23" i="12"/>
  <c r="I18" i="12"/>
  <c r="H18" i="12"/>
  <c r="H21" i="12"/>
  <c r="H22" i="12"/>
  <c r="H23" i="12"/>
  <c r="H20" i="12"/>
  <c r="H19" i="12"/>
  <c r="G18" i="12"/>
  <c r="G22" i="12"/>
  <c r="G23" i="12"/>
  <c r="G20" i="12"/>
  <c r="G21" i="12"/>
  <c r="G19" i="12"/>
  <c r="F19" i="12"/>
  <c r="F20" i="12"/>
  <c r="F21" i="12"/>
  <c r="F22" i="12"/>
  <c r="F23" i="12"/>
  <c r="F18" i="12"/>
  <c r="E19" i="12"/>
  <c r="E20" i="12"/>
  <c r="E21" i="12"/>
  <c r="E22" i="12"/>
  <c r="E23" i="12"/>
  <c r="E18" i="12"/>
  <c r="D18" i="12"/>
  <c r="D20" i="12"/>
  <c r="D21" i="12"/>
  <c r="D22" i="12"/>
  <c r="D23" i="12"/>
  <c r="D19" i="12"/>
  <c r="J10" i="12"/>
  <c r="J11" i="12"/>
  <c r="J12" i="12"/>
  <c r="J13" i="12"/>
  <c r="J14" i="12"/>
  <c r="J15" i="12"/>
  <c r="I10" i="12"/>
  <c r="I11" i="12"/>
  <c r="I12" i="12"/>
  <c r="I13" i="12"/>
  <c r="I14" i="12"/>
  <c r="I15" i="12"/>
  <c r="H10" i="12"/>
  <c r="H11" i="12"/>
  <c r="H12" i="12"/>
  <c r="H13" i="12"/>
  <c r="H14" i="12"/>
  <c r="H15" i="12"/>
  <c r="G13" i="12"/>
  <c r="G14" i="12"/>
  <c r="G15" i="12"/>
  <c r="G11" i="12"/>
  <c r="G12" i="12"/>
  <c r="G10" i="12"/>
  <c r="F10" i="12"/>
  <c r="F12" i="12"/>
  <c r="F13" i="12"/>
  <c r="F14" i="12"/>
  <c r="F15" i="12"/>
  <c r="F11" i="12"/>
  <c r="E11" i="12"/>
  <c r="E10" i="12"/>
  <c r="E12" i="12"/>
  <c r="E14" i="12"/>
  <c r="T51" i="40" l="1"/>
  <c r="T49" i="40"/>
  <c r="T48" i="40"/>
  <c r="AB12" i="54"/>
  <c r="AB19" i="54"/>
  <c r="AB15" i="54"/>
  <c r="AB16" i="54"/>
  <c r="AB29" i="54"/>
  <c r="AB35" i="54"/>
  <c r="AB41" i="54"/>
  <c r="AB41" i="53"/>
  <c r="AB35" i="53"/>
  <c r="AB29" i="53"/>
  <c r="AB12" i="53"/>
  <c r="AB15" i="53"/>
  <c r="AB16" i="53"/>
  <c r="AB19" i="53"/>
  <c r="Y43" i="54"/>
  <c r="X43" i="54"/>
  <c r="W43" i="54"/>
  <c r="U43" i="54"/>
  <c r="T43" i="54"/>
  <c r="S43" i="54"/>
  <c r="Q43" i="54"/>
  <c r="P43" i="54"/>
  <c r="O43" i="54"/>
  <c r="M43" i="54"/>
  <c r="L43" i="54"/>
  <c r="K43" i="54"/>
  <c r="I43" i="54"/>
  <c r="H43" i="54"/>
  <c r="G43" i="54"/>
  <c r="E43" i="54"/>
  <c r="D43" i="54"/>
  <c r="C43" i="54"/>
  <c r="Y43" i="53"/>
  <c r="X43" i="53"/>
  <c r="W43" i="53"/>
  <c r="U43" i="53"/>
  <c r="T43" i="53"/>
  <c r="S43" i="53"/>
  <c r="Q43" i="53"/>
  <c r="P43" i="53"/>
  <c r="O43" i="53"/>
  <c r="M43" i="53"/>
  <c r="L43" i="53"/>
  <c r="K43" i="53"/>
  <c r="I43" i="53"/>
  <c r="H43" i="53"/>
  <c r="G43" i="53"/>
  <c r="E43" i="53"/>
  <c r="D43" i="53"/>
  <c r="C43" i="53"/>
  <c r="Z42" i="54"/>
  <c r="V42" i="54"/>
  <c r="R42" i="54"/>
  <c r="N42" i="54"/>
  <c r="J42" i="54"/>
  <c r="F42" i="54"/>
  <c r="Z42" i="53"/>
  <c r="V42" i="53"/>
  <c r="R42" i="53"/>
  <c r="N42" i="53"/>
  <c r="J42" i="53"/>
  <c r="F42" i="53"/>
  <c r="Z36" i="54"/>
  <c r="V36" i="54"/>
  <c r="R36" i="54"/>
  <c r="N36" i="54"/>
  <c r="J36" i="54"/>
  <c r="F36" i="54"/>
  <c r="Z36" i="53"/>
  <c r="V36" i="53"/>
  <c r="R36" i="53"/>
  <c r="N36" i="53"/>
  <c r="J36" i="53"/>
  <c r="F36" i="53"/>
  <c r="Z32" i="54"/>
  <c r="V32" i="54"/>
  <c r="R32" i="54"/>
  <c r="N32" i="54"/>
  <c r="J32" i="54"/>
  <c r="F32" i="54"/>
  <c r="Z32" i="53"/>
  <c r="V32" i="53"/>
  <c r="R32" i="53"/>
  <c r="N32" i="53"/>
  <c r="J32" i="53"/>
  <c r="F32" i="53"/>
  <c r="Z27" i="54"/>
  <c r="V27" i="54"/>
  <c r="R27" i="54"/>
  <c r="R43" i="54" s="1"/>
  <c r="N27" i="54"/>
  <c r="N43" i="54" s="1"/>
  <c r="J27" i="54"/>
  <c r="J43" i="54" s="1"/>
  <c r="F27" i="54"/>
  <c r="Z27" i="53"/>
  <c r="Z43" i="53" s="1"/>
  <c r="V27" i="53"/>
  <c r="R27" i="53"/>
  <c r="N27" i="53"/>
  <c r="J27" i="53"/>
  <c r="F27" i="53"/>
  <c r="Z27" i="52"/>
  <c r="Y27" i="52"/>
  <c r="X27" i="52"/>
  <c r="W27" i="52"/>
  <c r="V27" i="52"/>
  <c r="U27" i="52"/>
  <c r="T27" i="52"/>
  <c r="S27" i="52"/>
  <c r="R27" i="52"/>
  <c r="Q27" i="52"/>
  <c r="P27" i="52"/>
  <c r="O27" i="52"/>
  <c r="N27" i="52"/>
  <c r="J27" i="52"/>
  <c r="I27" i="52"/>
  <c r="H27" i="52"/>
  <c r="G27" i="52"/>
  <c r="F27" i="52"/>
  <c r="Z20" i="54"/>
  <c r="V20" i="54"/>
  <c r="R20" i="54"/>
  <c r="N20" i="54"/>
  <c r="J20" i="54"/>
  <c r="F20" i="54"/>
  <c r="Z20" i="53"/>
  <c r="V20" i="53"/>
  <c r="R20" i="53"/>
  <c r="N20" i="53"/>
  <c r="J20" i="53"/>
  <c r="F20" i="53"/>
  <c r="Z17" i="54"/>
  <c r="V17" i="54"/>
  <c r="R17" i="54"/>
  <c r="N17" i="54"/>
  <c r="J17" i="54"/>
  <c r="F17" i="54"/>
  <c r="Z17" i="53"/>
  <c r="V17" i="53"/>
  <c r="R17" i="53"/>
  <c r="N17" i="53"/>
  <c r="J17" i="53"/>
  <c r="F17" i="53"/>
  <c r="Z13" i="54"/>
  <c r="Z22" i="54" s="1"/>
  <c r="V13" i="54"/>
  <c r="V22" i="54" s="1"/>
  <c r="R13" i="54"/>
  <c r="N13" i="54"/>
  <c r="J13" i="54"/>
  <c r="F13" i="54"/>
  <c r="F22" i="54" s="1"/>
  <c r="Z13" i="53"/>
  <c r="V13" i="53"/>
  <c r="R13" i="53"/>
  <c r="N13" i="53"/>
  <c r="J13" i="53"/>
  <c r="F13" i="53"/>
  <c r="G20" i="52"/>
  <c r="G22" i="52" s="1"/>
  <c r="H20" i="52"/>
  <c r="I20" i="52"/>
  <c r="J20" i="52"/>
  <c r="N20" i="52"/>
  <c r="O20" i="52"/>
  <c r="P20" i="52"/>
  <c r="Q20" i="52"/>
  <c r="R20" i="52"/>
  <c r="S20" i="52"/>
  <c r="T20" i="52"/>
  <c r="U20" i="52"/>
  <c r="V20" i="52"/>
  <c r="W20" i="52"/>
  <c r="X20" i="52"/>
  <c r="Y20" i="52"/>
  <c r="Z20" i="52"/>
  <c r="G17" i="52"/>
  <c r="H17" i="52"/>
  <c r="I17" i="52"/>
  <c r="J17" i="52"/>
  <c r="N17" i="52"/>
  <c r="O17" i="52"/>
  <c r="P17" i="52"/>
  <c r="Q17" i="52"/>
  <c r="R17" i="52"/>
  <c r="S17" i="52"/>
  <c r="T17" i="52"/>
  <c r="U17" i="52"/>
  <c r="V17" i="52"/>
  <c r="W17" i="52"/>
  <c r="X17" i="52"/>
  <c r="Y17" i="52"/>
  <c r="Z17" i="52"/>
  <c r="G13" i="52"/>
  <c r="H13" i="52"/>
  <c r="I13" i="52"/>
  <c r="J13" i="52"/>
  <c r="N13" i="52"/>
  <c r="O13" i="52"/>
  <c r="O22" i="52" s="1"/>
  <c r="P13" i="52"/>
  <c r="P22" i="52" s="1"/>
  <c r="Q13" i="52"/>
  <c r="R13" i="52"/>
  <c r="S13" i="52"/>
  <c r="S22" i="52" s="1"/>
  <c r="T13" i="52"/>
  <c r="U13" i="52"/>
  <c r="V13" i="52"/>
  <c r="W13" i="52"/>
  <c r="W22" i="52" s="1"/>
  <c r="X13" i="52"/>
  <c r="X22" i="52" s="1"/>
  <c r="Y13" i="52"/>
  <c r="Z13" i="52"/>
  <c r="H22" i="52"/>
  <c r="T22" i="52"/>
  <c r="K43" i="52"/>
  <c r="L43" i="52"/>
  <c r="L44" i="52" s="1"/>
  <c r="M43" i="52"/>
  <c r="M44" i="52" s="1"/>
  <c r="D43" i="52"/>
  <c r="E43" i="52"/>
  <c r="E44" i="52" s="1"/>
  <c r="AB12" i="52"/>
  <c r="AB19" i="52"/>
  <c r="AB15" i="52"/>
  <c r="AB16" i="52"/>
  <c r="AB29" i="52"/>
  <c r="AB35" i="52"/>
  <c r="AB41" i="52"/>
  <c r="AB29" i="51"/>
  <c r="AB41" i="51"/>
  <c r="AB12" i="51"/>
  <c r="AB19" i="51"/>
  <c r="L43" i="51"/>
  <c r="D43" i="51"/>
  <c r="G43" i="51"/>
  <c r="H43" i="51"/>
  <c r="I43" i="51"/>
  <c r="K43" i="51"/>
  <c r="M43" i="51"/>
  <c r="O43" i="51"/>
  <c r="P43" i="51"/>
  <c r="Q43" i="51"/>
  <c r="S43" i="51"/>
  <c r="T43" i="51"/>
  <c r="U43" i="51"/>
  <c r="W43" i="51"/>
  <c r="X43" i="51"/>
  <c r="Y43" i="51"/>
  <c r="C43" i="51"/>
  <c r="C44" i="51" s="1"/>
  <c r="E43" i="51"/>
  <c r="J42" i="51"/>
  <c r="R42" i="51"/>
  <c r="V42" i="51"/>
  <c r="Z42" i="51"/>
  <c r="J32" i="51"/>
  <c r="N32" i="51"/>
  <c r="R32" i="51"/>
  <c r="V32" i="51"/>
  <c r="Z32" i="51"/>
  <c r="J27" i="51"/>
  <c r="N27" i="51"/>
  <c r="R27" i="51"/>
  <c r="V27" i="51"/>
  <c r="Z27" i="51"/>
  <c r="J13" i="51"/>
  <c r="N13" i="51"/>
  <c r="R13" i="51"/>
  <c r="V13" i="51"/>
  <c r="Z13" i="51"/>
  <c r="J20" i="51"/>
  <c r="N20" i="51"/>
  <c r="R20" i="51"/>
  <c r="V20" i="51"/>
  <c r="Z20" i="51"/>
  <c r="J17" i="51"/>
  <c r="N17" i="51"/>
  <c r="R17" i="51"/>
  <c r="V17" i="51"/>
  <c r="Z17" i="51"/>
  <c r="AB15" i="51"/>
  <c r="AB16" i="51"/>
  <c r="AB35" i="51"/>
  <c r="AC30" i="50"/>
  <c r="AC39" i="50"/>
  <c r="Z36" i="52"/>
  <c r="Y36" i="52"/>
  <c r="X36" i="52"/>
  <c r="W36" i="52"/>
  <c r="V36" i="52"/>
  <c r="U36" i="52"/>
  <c r="T36" i="52"/>
  <c r="S36" i="52"/>
  <c r="R36" i="52"/>
  <c r="Q36" i="52"/>
  <c r="P36" i="52"/>
  <c r="O36" i="52"/>
  <c r="N36" i="52"/>
  <c r="J36" i="52"/>
  <c r="I36" i="52"/>
  <c r="H36" i="52"/>
  <c r="H43" i="52" s="1"/>
  <c r="G36" i="52"/>
  <c r="G43" i="52" s="1"/>
  <c r="F36" i="52"/>
  <c r="Z36" i="51"/>
  <c r="V36" i="51"/>
  <c r="R36" i="51"/>
  <c r="N36" i="51"/>
  <c r="J36" i="51"/>
  <c r="F36" i="51"/>
  <c r="Z36" i="50"/>
  <c r="V36" i="50"/>
  <c r="R36" i="50"/>
  <c r="N36" i="50"/>
  <c r="J36" i="50"/>
  <c r="F36" i="50"/>
  <c r="D44" i="52"/>
  <c r="C43" i="52"/>
  <c r="C44" i="52" s="1"/>
  <c r="K44" i="52"/>
  <c r="Y43" i="50"/>
  <c r="X43" i="50"/>
  <c r="W43" i="50"/>
  <c r="U43" i="50"/>
  <c r="T43" i="50"/>
  <c r="S43" i="50"/>
  <c r="Q43" i="50"/>
  <c r="P43" i="50"/>
  <c r="O43" i="50"/>
  <c r="M43" i="50"/>
  <c r="L43" i="50"/>
  <c r="K43" i="50"/>
  <c r="I43" i="50"/>
  <c r="H43" i="50"/>
  <c r="G43" i="50"/>
  <c r="E43" i="50"/>
  <c r="D43" i="50"/>
  <c r="C43" i="50"/>
  <c r="Y30" i="55"/>
  <c r="Y39" i="55"/>
  <c r="Z39" i="55"/>
  <c r="Q39" i="55"/>
  <c r="U39" i="55"/>
  <c r="U30" i="55"/>
  <c r="Q30" i="55"/>
  <c r="M30" i="55"/>
  <c r="I30" i="55"/>
  <c r="E30" i="55"/>
  <c r="AA30" i="55"/>
  <c r="AB30" i="55"/>
  <c r="I33" i="55"/>
  <c r="J41" i="55"/>
  <c r="J40" i="55"/>
  <c r="J39" i="55"/>
  <c r="J38" i="55"/>
  <c r="J37" i="55"/>
  <c r="J35" i="55"/>
  <c r="J34" i="55"/>
  <c r="J33" i="55"/>
  <c r="J31" i="55"/>
  <c r="J30" i="55"/>
  <c r="J29" i="55"/>
  <c r="J28" i="55"/>
  <c r="J26" i="55"/>
  <c r="J25" i="55"/>
  <c r="J24" i="55"/>
  <c r="J23" i="55"/>
  <c r="J21" i="55"/>
  <c r="J19" i="55"/>
  <c r="J18" i="55"/>
  <c r="J16" i="55"/>
  <c r="J15" i="55"/>
  <c r="J14" i="55"/>
  <c r="J12" i="55"/>
  <c r="J11" i="55"/>
  <c r="J10" i="55"/>
  <c r="J9" i="55"/>
  <c r="V39" i="55"/>
  <c r="R39" i="55"/>
  <c r="N39" i="55"/>
  <c r="F39" i="55"/>
  <c r="AD39" i="54"/>
  <c r="AD39" i="53"/>
  <c r="AD39" i="51"/>
  <c r="AD39" i="50"/>
  <c r="Z30" i="55"/>
  <c r="V30" i="55"/>
  <c r="R30" i="55"/>
  <c r="N30" i="55"/>
  <c r="F30" i="55"/>
  <c r="AD30" i="54"/>
  <c r="AD30" i="53"/>
  <c r="AD30" i="50"/>
  <c r="AD30" i="51"/>
  <c r="V14" i="82"/>
  <c r="O14" i="82"/>
  <c r="W14" i="82" s="1"/>
  <c r="K14" i="82"/>
  <c r="Q43" i="52" l="1"/>
  <c r="U43" i="52"/>
  <c r="Y43" i="52"/>
  <c r="Y44" i="52" s="1"/>
  <c r="I22" i="52"/>
  <c r="I44" i="52" s="1"/>
  <c r="Y22" i="52"/>
  <c r="U22" i="52"/>
  <c r="Q22" i="52"/>
  <c r="Q44" i="52" s="1"/>
  <c r="G44" i="52"/>
  <c r="I43" i="52"/>
  <c r="P43" i="52"/>
  <c r="P44" i="52" s="1"/>
  <c r="T43" i="52"/>
  <c r="T44" i="52" s="1"/>
  <c r="X43" i="52"/>
  <c r="X44" i="52" s="1"/>
  <c r="Z43" i="51"/>
  <c r="H44" i="52"/>
  <c r="Z22" i="51"/>
  <c r="J22" i="52"/>
  <c r="Z22" i="52"/>
  <c r="V22" i="52"/>
  <c r="R22" i="52"/>
  <c r="O43" i="52"/>
  <c r="O44" i="52" s="1"/>
  <c r="S43" i="52"/>
  <c r="S44" i="52" s="1"/>
  <c r="W43" i="52"/>
  <c r="W44" i="52" s="1"/>
  <c r="Z43" i="54"/>
  <c r="N43" i="53"/>
  <c r="V43" i="54"/>
  <c r="V22" i="53"/>
  <c r="R22" i="54"/>
  <c r="F43" i="54"/>
  <c r="N22" i="54"/>
  <c r="F22" i="53"/>
  <c r="J22" i="51"/>
  <c r="U44" i="52"/>
  <c r="N43" i="51"/>
  <c r="N22" i="52"/>
  <c r="V43" i="53"/>
  <c r="Z22" i="53"/>
  <c r="R43" i="53"/>
  <c r="J43" i="53"/>
  <c r="F43" i="53"/>
  <c r="R22" i="53"/>
  <c r="J22" i="53"/>
  <c r="V43" i="51"/>
  <c r="R43" i="51"/>
  <c r="V22" i="51"/>
  <c r="R22" i="51"/>
  <c r="J43" i="51"/>
  <c r="N22" i="51"/>
  <c r="AC30" i="55"/>
  <c r="X14" i="82"/>
  <c r="P14" i="82"/>
  <c r="Y14" i="82"/>
  <c r="N22" i="53"/>
  <c r="J20" i="55"/>
  <c r="J13" i="55"/>
  <c r="J17" i="55"/>
  <c r="J36" i="55"/>
  <c r="J42" i="55"/>
  <c r="AC39" i="55"/>
  <c r="AD39" i="55"/>
  <c r="J22" i="54"/>
  <c r="J32" i="55"/>
  <c r="AD30" i="55"/>
  <c r="J27" i="55"/>
  <c r="C18" i="80"/>
  <c r="D18" i="80"/>
  <c r="E18" i="80"/>
  <c r="F18" i="80"/>
  <c r="G18" i="80"/>
  <c r="H18" i="80"/>
  <c r="I18" i="80"/>
  <c r="J18" i="80"/>
  <c r="L18" i="80"/>
  <c r="M18" i="80"/>
  <c r="N18" i="80"/>
  <c r="Q18" i="80"/>
  <c r="R18" i="80"/>
  <c r="S18" i="80"/>
  <c r="T18" i="80"/>
  <c r="U18" i="80"/>
  <c r="V18" i="81"/>
  <c r="O18" i="81"/>
  <c r="X18" i="81" s="1"/>
  <c r="K18" i="81"/>
  <c r="Y14" i="81"/>
  <c r="X14" i="81"/>
  <c r="W14" i="81"/>
  <c r="V14" i="81"/>
  <c r="J20" i="36"/>
  <c r="M55" i="95"/>
  <c r="V18" i="80" l="1"/>
  <c r="O18" i="80"/>
  <c r="Y18" i="80" s="1"/>
  <c r="K18" i="80"/>
  <c r="J43" i="55"/>
  <c r="J22" i="55"/>
  <c r="P18" i="81"/>
  <c r="W18" i="81"/>
  <c r="Y18" i="81"/>
  <c r="V32" i="85"/>
  <c r="V33" i="85"/>
  <c r="X33" i="85"/>
  <c r="K33" i="85"/>
  <c r="P33" i="85" s="1"/>
  <c r="H28" i="44"/>
  <c r="H24" i="44"/>
  <c r="E41" i="62"/>
  <c r="E42" i="62"/>
  <c r="E43" i="62"/>
  <c r="E44" i="62"/>
  <c r="E45" i="62"/>
  <c r="E46" i="62"/>
  <c r="E47" i="62"/>
  <c r="E40" i="62"/>
  <c r="E39" i="62"/>
  <c r="C38" i="71"/>
  <c r="O34" i="85"/>
  <c r="D12" i="84"/>
  <c r="E12" i="84"/>
  <c r="F12" i="84"/>
  <c r="G12" i="84"/>
  <c r="H12" i="84"/>
  <c r="I12" i="84"/>
  <c r="J12" i="84"/>
  <c r="L12" i="84"/>
  <c r="M12" i="84"/>
  <c r="N12" i="84"/>
  <c r="Q12" i="84"/>
  <c r="R12" i="84"/>
  <c r="S12" i="84"/>
  <c r="T12" i="84"/>
  <c r="U12" i="84"/>
  <c r="C12" i="84"/>
  <c r="V14" i="84"/>
  <c r="O14" i="84"/>
  <c r="X14" i="84" s="1"/>
  <c r="K14" i="84"/>
  <c r="K12" i="84" s="1"/>
  <c r="P18" i="80" l="1"/>
  <c r="X18" i="80"/>
  <c r="W18" i="80"/>
  <c r="Y33" i="85"/>
  <c r="W33" i="85"/>
  <c r="O12" i="84"/>
  <c r="P14" i="84"/>
  <c r="P12" i="84" s="1"/>
  <c r="W14" i="84"/>
  <c r="Y14" i="84"/>
  <c r="V20" i="81"/>
  <c r="AE19" i="38" l="1"/>
  <c r="AC19" i="38"/>
  <c r="AA19" i="38"/>
  <c r="Y19" i="38"/>
  <c r="W19" i="38"/>
  <c r="U19" i="38"/>
  <c r="R19" i="38"/>
  <c r="S19" i="38" s="1"/>
  <c r="Q19" i="38"/>
  <c r="O19" i="38"/>
  <c r="M19" i="38"/>
  <c r="K19" i="38"/>
  <c r="H19" i="38"/>
  <c r="I19" i="38" s="1"/>
  <c r="F19" i="38"/>
  <c r="G19" i="38" s="1"/>
  <c r="J62" i="12" l="1"/>
  <c r="J63" i="12"/>
  <c r="J64" i="12"/>
  <c r="J65" i="12"/>
  <c r="D62" i="12"/>
  <c r="J30" i="12" l="1"/>
  <c r="I31" i="12"/>
  <c r="I32" i="12"/>
  <c r="I30" i="12"/>
  <c r="H31" i="12"/>
  <c r="H32" i="12"/>
  <c r="G31" i="12"/>
  <c r="G30" i="12"/>
  <c r="F30" i="12"/>
  <c r="E30" i="12"/>
  <c r="E31" i="12"/>
  <c r="E32" i="12"/>
  <c r="D30" i="12"/>
  <c r="E15" i="12"/>
  <c r="E13" i="12"/>
  <c r="D10" i="12"/>
  <c r="G63" i="72" l="1"/>
  <c r="G65" i="72"/>
  <c r="G74" i="72"/>
  <c r="G78" i="72"/>
  <c r="K16" i="81"/>
  <c r="K19" i="81"/>
  <c r="K20" i="81"/>
  <c r="K21" i="81"/>
  <c r="K22" i="81"/>
  <c r="K23" i="81"/>
  <c r="K24" i="81"/>
  <c r="K25" i="81"/>
  <c r="P15" i="67"/>
  <c r="P3" i="67" s="1"/>
  <c r="O15" i="67"/>
  <c r="O3" i="67" s="1"/>
  <c r="N15" i="67"/>
  <c r="N3" i="67" s="1"/>
  <c r="C7" i="64" l="1"/>
  <c r="E7" i="64"/>
  <c r="F7" i="64"/>
  <c r="G7" i="64"/>
  <c r="E21" i="64"/>
  <c r="F21" i="64"/>
  <c r="G21" i="64"/>
  <c r="E28" i="64"/>
  <c r="F28" i="64"/>
  <c r="G28" i="64"/>
  <c r="E30" i="64"/>
  <c r="F30" i="64"/>
  <c r="G30" i="64"/>
  <c r="E31" i="64"/>
  <c r="F31" i="64"/>
  <c r="G31" i="64"/>
  <c r="E34" i="64"/>
  <c r="F34" i="64"/>
  <c r="G34" i="64"/>
  <c r="E36" i="64"/>
  <c r="F36" i="64"/>
  <c r="G36" i="64"/>
  <c r="E47" i="64"/>
  <c r="F47" i="64"/>
  <c r="G47" i="64"/>
  <c r="C5" i="64"/>
  <c r="C37" i="64"/>
  <c r="C36" i="64"/>
  <c r="C30" i="64"/>
  <c r="C20" i="64"/>
  <c r="C19" i="64"/>
  <c r="C10" i="64"/>
  <c r="C9" i="64"/>
  <c r="C8" i="64"/>
  <c r="C48" i="64"/>
  <c r="C47" i="64"/>
  <c r="C46" i="64"/>
  <c r="C44" i="64"/>
  <c r="C42" i="64"/>
  <c r="C41" i="64"/>
  <c r="C38" i="64"/>
  <c r="C35" i="64"/>
  <c r="C34" i="64"/>
  <c r="C33" i="64"/>
  <c r="C32" i="64"/>
  <c r="C31" i="64"/>
  <c r="C29" i="64"/>
  <c r="C28" i="64"/>
  <c r="C27" i="64"/>
  <c r="C24" i="64"/>
  <c r="C22" i="64"/>
  <c r="C21" i="64"/>
  <c r="C18" i="64"/>
  <c r="C17" i="64"/>
  <c r="C16" i="64"/>
  <c r="C15" i="64"/>
  <c r="C14" i="64"/>
  <c r="C13" i="64"/>
  <c r="C12" i="64"/>
  <c r="C11" i="64"/>
  <c r="C50" i="64"/>
  <c r="T36" i="59"/>
  <c r="AE47" i="60"/>
  <c r="AF47" i="60"/>
  <c r="AF23" i="60"/>
  <c r="AE23" i="60"/>
  <c r="T36" i="60"/>
  <c r="AB31" i="62"/>
  <c r="AE23" i="59"/>
  <c r="AF23" i="59"/>
  <c r="B57" i="63" l="1"/>
  <c r="B55" i="63"/>
  <c r="B60" i="63"/>
  <c r="B58" i="63"/>
  <c r="B56" i="63"/>
  <c r="B61" i="63"/>
  <c r="B59" i="63"/>
  <c r="B63" i="63"/>
  <c r="C50" i="63"/>
  <c r="C49" i="63"/>
  <c r="B64" i="63"/>
  <c r="B62" i="63"/>
  <c r="D50" i="63"/>
  <c r="D49" i="63"/>
  <c r="G49" i="64"/>
  <c r="E49" i="64"/>
  <c r="F48" i="64"/>
  <c r="G46" i="64"/>
  <c r="E46" i="64"/>
  <c r="F45" i="64"/>
  <c r="G38" i="64"/>
  <c r="E38" i="64"/>
  <c r="F37" i="64"/>
  <c r="G32" i="64"/>
  <c r="F26" i="64"/>
  <c r="G25" i="64"/>
  <c r="E25" i="64"/>
  <c r="F24" i="64"/>
  <c r="G23" i="64"/>
  <c r="E23" i="64"/>
  <c r="F22" i="64"/>
  <c r="F20" i="64"/>
  <c r="G19" i="64"/>
  <c r="E19" i="64"/>
  <c r="G50" i="64"/>
  <c r="E50" i="64"/>
  <c r="F49" i="64"/>
  <c r="G48" i="64"/>
  <c r="E48" i="64"/>
  <c r="F46" i="64"/>
  <c r="G44" i="64"/>
  <c r="E44" i="64"/>
  <c r="E43" i="64"/>
  <c r="F42" i="64"/>
  <c r="F41" i="64"/>
  <c r="F40" i="64"/>
  <c r="G39" i="64"/>
  <c r="E39" i="64"/>
  <c r="F38" i="64"/>
  <c r="G37" i="64"/>
  <c r="E37" i="64"/>
  <c r="F35" i="64"/>
  <c r="G33" i="64"/>
  <c r="E33" i="64"/>
  <c r="F32" i="64"/>
  <c r="G29" i="64"/>
  <c r="E29" i="64"/>
  <c r="G27" i="64"/>
  <c r="E27" i="64"/>
  <c r="G26" i="64"/>
  <c r="E26" i="64"/>
  <c r="F25" i="64"/>
  <c r="G24" i="64"/>
  <c r="E24" i="64"/>
  <c r="F23" i="64"/>
  <c r="G22" i="64"/>
  <c r="E22" i="64"/>
  <c r="G20" i="64"/>
  <c r="E20" i="64"/>
  <c r="F19" i="64"/>
  <c r="G18" i="64"/>
  <c r="E18" i="64"/>
  <c r="F17" i="64"/>
  <c r="G16" i="64"/>
  <c r="E16" i="64"/>
  <c r="F15" i="64"/>
  <c r="G14" i="64"/>
  <c r="E14" i="64"/>
  <c r="F13" i="64"/>
  <c r="G12" i="64"/>
  <c r="E12" i="64"/>
  <c r="F11" i="64"/>
  <c r="G10" i="64"/>
  <c r="E10" i="64"/>
  <c r="F9" i="64"/>
  <c r="G8" i="64"/>
  <c r="E8" i="64"/>
  <c r="G6" i="64"/>
  <c r="E6" i="64"/>
  <c r="F5" i="64"/>
  <c r="G45" i="64"/>
  <c r="E45" i="64"/>
  <c r="F44" i="64"/>
  <c r="G43" i="64"/>
  <c r="F43" i="64"/>
  <c r="G42" i="64"/>
  <c r="E42" i="64"/>
  <c r="G41" i="64"/>
  <c r="E41" i="64"/>
  <c r="G40" i="64"/>
  <c r="E40" i="64"/>
  <c r="F39" i="64"/>
  <c r="G35" i="64"/>
  <c r="E35" i="64"/>
  <c r="F33" i="64"/>
  <c r="E32" i="64"/>
  <c r="F29" i="64"/>
  <c r="F18" i="64"/>
  <c r="G17" i="64"/>
  <c r="E17" i="64"/>
  <c r="F16" i="64"/>
  <c r="G15" i="64"/>
  <c r="E15" i="64"/>
  <c r="F14" i="64"/>
  <c r="G13" i="64"/>
  <c r="E13" i="64"/>
  <c r="F12" i="64"/>
  <c r="G11" i="64"/>
  <c r="E11" i="64"/>
  <c r="F10" i="64"/>
  <c r="G9" i="64"/>
  <c r="E9" i="64"/>
  <c r="F8" i="64"/>
  <c r="F6" i="64"/>
  <c r="G5" i="64"/>
  <c r="E5" i="64"/>
  <c r="C25" i="64"/>
  <c r="C23" i="64"/>
  <c r="C49" i="64"/>
  <c r="C45" i="64"/>
  <c r="F50" i="64"/>
  <c r="C6" i="64"/>
  <c r="C26" i="64"/>
  <c r="C39" i="64"/>
  <c r="C40" i="64"/>
  <c r="F27" i="64"/>
  <c r="B50" i="63"/>
  <c r="B50" i="64" s="1"/>
  <c r="B49" i="63"/>
  <c r="B49" i="64" s="1"/>
  <c r="AE39" i="61"/>
  <c r="AE40" i="61"/>
  <c r="AE41" i="61"/>
  <c r="AE42" i="61"/>
  <c r="AE43" i="61"/>
  <c r="AE44" i="61"/>
  <c r="AE45" i="61"/>
  <c r="AE46" i="61"/>
  <c r="AE47" i="61"/>
  <c r="AF47" i="61"/>
  <c r="AF23" i="61"/>
  <c r="T36" i="61"/>
  <c r="AE23" i="61"/>
  <c r="T39" i="62"/>
  <c r="T40" i="62"/>
  <c r="T41" i="62"/>
  <c r="T42" i="62"/>
  <c r="T43" i="62"/>
  <c r="T44" i="62"/>
  <c r="T45" i="62"/>
  <c r="T46" i="62"/>
  <c r="T47" i="62"/>
  <c r="T9" i="62"/>
  <c r="T10" i="62"/>
  <c r="T11" i="62"/>
  <c r="T12" i="62"/>
  <c r="T13" i="62"/>
  <c r="T14" i="62"/>
  <c r="T15" i="62"/>
  <c r="T16" i="62"/>
  <c r="T17" i="62"/>
  <c r="T18" i="62"/>
  <c r="T19" i="62"/>
  <c r="T20" i="62"/>
  <c r="T21" i="62"/>
  <c r="T22" i="62"/>
  <c r="T23" i="62"/>
  <c r="T24" i="62"/>
  <c r="T25" i="62"/>
  <c r="T26" i="62"/>
  <c r="T27" i="62"/>
  <c r="T28" i="62"/>
  <c r="T29" i="62"/>
  <c r="T30" i="62"/>
  <c r="T31" i="62"/>
  <c r="T32" i="62"/>
  <c r="T33" i="62"/>
  <c r="T34" i="62"/>
  <c r="T35" i="62"/>
  <c r="AE31" i="58"/>
  <c r="AE29" i="58"/>
  <c r="AF23" i="58"/>
  <c r="AE23" i="58"/>
  <c r="T36" i="62" l="1"/>
  <c r="C43" i="64"/>
  <c r="AJ25" i="57"/>
  <c r="AF27" i="57" l="1"/>
  <c r="AF28" i="57" s="1"/>
  <c r="T10" i="56"/>
  <c r="T39" i="56"/>
  <c r="T34" i="56"/>
  <c r="T28" i="56"/>
  <c r="T29" i="56"/>
  <c r="T18" i="56"/>
  <c r="T15" i="56"/>
  <c r="T14" i="56"/>
  <c r="J40" i="56"/>
  <c r="N40" i="56"/>
  <c r="R40" i="56"/>
  <c r="Z17" i="50" l="1"/>
  <c r="AB15" i="50" l="1"/>
  <c r="AB16" i="50"/>
  <c r="AB19" i="50"/>
  <c r="AB20" i="50"/>
  <c r="AB35" i="50"/>
  <c r="AB41" i="50"/>
  <c r="AB29" i="50" l="1"/>
  <c r="AB12" i="50"/>
  <c r="E12" i="45" l="1"/>
  <c r="R12" i="45" s="1"/>
  <c r="E13" i="45"/>
  <c r="R13" i="45" s="1"/>
  <c r="E14" i="45"/>
  <c r="R14" i="45" s="1"/>
  <c r="E16" i="45"/>
  <c r="J16" i="45" s="1"/>
  <c r="E17" i="45"/>
  <c r="E18" i="45"/>
  <c r="R18" i="45" s="1"/>
  <c r="E19" i="45"/>
  <c r="N19" i="45" s="1"/>
  <c r="E22" i="45"/>
  <c r="V22" i="45" s="1"/>
  <c r="E23" i="45"/>
  <c r="J23" i="45" s="1"/>
  <c r="E24" i="45"/>
  <c r="V24" i="45" s="1"/>
  <c r="E25" i="45"/>
  <c r="J25" i="45" s="1"/>
  <c r="E27" i="45"/>
  <c r="R27" i="45" s="1"/>
  <c r="E28" i="45"/>
  <c r="J28" i="45" s="1"/>
  <c r="E29" i="45"/>
  <c r="R29" i="45" s="1"/>
  <c r="E30" i="45"/>
  <c r="E31" i="45"/>
  <c r="R31" i="45" s="1"/>
  <c r="E32" i="45"/>
  <c r="V32" i="45" s="1"/>
  <c r="E33" i="45"/>
  <c r="N33" i="45" s="1"/>
  <c r="F23" i="68"/>
  <c r="V20" i="56"/>
  <c r="A3" i="98"/>
  <c r="A32" i="98" s="1"/>
  <c r="C10" i="98"/>
  <c r="H10" i="98"/>
  <c r="P10" i="98"/>
  <c r="G10" i="93" s="1"/>
  <c r="C11" i="98"/>
  <c r="P11" i="98" s="1"/>
  <c r="G11" i="93" s="1"/>
  <c r="H11" i="98"/>
  <c r="C12" i="98"/>
  <c r="H12" i="98"/>
  <c r="C13" i="98"/>
  <c r="H13" i="98"/>
  <c r="C14" i="98"/>
  <c r="H14" i="98"/>
  <c r="C15" i="98"/>
  <c r="H15" i="98"/>
  <c r="C16" i="98"/>
  <c r="H16" i="98"/>
  <c r="C17" i="98"/>
  <c r="H17" i="98"/>
  <c r="C18" i="98"/>
  <c r="H18" i="98"/>
  <c r="P18" i="98" s="1"/>
  <c r="G18" i="93" s="1"/>
  <c r="C19" i="98"/>
  <c r="H19" i="98"/>
  <c r="C20" i="98"/>
  <c r="H20" i="98"/>
  <c r="C21" i="98"/>
  <c r="H21" i="98"/>
  <c r="P21" i="98" s="1"/>
  <c r="G21" i="93" s="1"/>
  <c r="C22" i="98"/>
  <c r="H22" i="98"/>
  <c r="C23" i="98"/>
  <c r="H23" i="98"/>
  <c r="P23" i="98" s="1"/>
  <c r="G23" i="93" s="1"/>
  <c r="C24" i="98"/>
  <c r="H24" i="98"/>
  <c r="P24" i="98" s="1"/>
  <c r="G24" i="93" s="1"/>
  <c r="C25" i="98"/>
  <c r="H25" i="98"/>
  <c r="C26" i="98"/>
  <c r="H26" i="98"/>
  <c r="C27" i="98"/>
  <c r="H27" i="98"/>
  <c r="D28" i="98"/>
  <c r="E28" i="98"/>
  <c r="F28" i="98"/>
  <c r="G28" i="98"/>
  <c r="I28" i="98"/>
  <c r="J28" i="98"/>
  <c r="K28" i="98"/>
  <c r="L28" i="98"/>
  <c r="M28" i="98"/>
  <c r="N28" i="98"/>
  <c r="O28" i="98"/>
  <c r="M39" i="98"/>
  <c r="M40" i="98"/>
  <c r="M41" i="98"/>
  <c r="M42" i="98"/>
  <c r="M43" i="98"/>
  <c r="M44" i="98"/>
  <c r="M45" i="98"/>
  <c r="M46" i="98"/>
  <c r="M47" i="98"/>
  <c r="M48" i="98"/>
  <c r="M49" i="98"/>
  <c r="M50" i="98"/>
  <c r="M51" i="98"/>
  <c r="M52" i="98"/>
  <c r="M53" i="98"/>
  <c r="M54" i="98"/>
  <c r="M55" i="98"/>
  <c r="M56" i="98"/>
  <c r="C57" i="98"/>
  <c r="D57" i="98"/>
  <c r="E57" i="98"/>
  <c r="F57" i="98"/>
  <c r="G57" i="98"/>
  <c r="H57" i="98"/>
  <c r="I57" i="98"/>
  <c r="J57" i="98"/>
  <c r="K57" i="98"/>
  <c r="L57" i="98"/>
  <c r="A3" i="97"/>
  <c r="C10" i="97"/>
  <c r="H10" i="97"/>
  <c r="C11" i="97"/>
  <c r="H11" i="97"/>
  <c r="C12" i="97"/>
  <c r="H12" i="97"/>
  <c r="C13" i="97"/>
  <c r="H13" i="97"/>
  <c r="C14" i="97"/>
  <c r="H14" i="97"/>
  <c r="C15" i="97"/>
  <c r="H15" i="97"/>
  <c r="C16" i="97"/>
  <c r="H16" i="97"/>
  <c r="C17" i="97"/>
  <c r="H17" i="97"/>
  <c r="C18" i="97"/>
  <c r="H18" i="97"/>
  <c r="C19" i="97"/>
  <c r="H19" i="97"/>
  <c r="C20" i="97"/>
  <c r="H20" i="97"/>
  <c r="C21" i="97"/>
  <c r="H21" i="97"/>
  <c r="C22" i="97"/>
  <c r="H22" i="97"/>
  <c r="C23" i="97"/>
  <c r="H23" i="97"/>
  <c r="C24" i="97"/>
  <c r="H24" i="97"/>
  <c r="C25" i="97"/>
  <c r="H25" i="97"/>
  <c r="C26" i="97"/>
  <c r="H26" i="97"/>
  <c r="C27" i="97"/>
  <c r="C28" i="97" s="1"/>
  <c r="H27" i="97"/>
  <c r="D28" i="97"/>
  <c r="E28" i="97"/>
  <c r="F28" i="97"/>
  <c r="G28" i="97"/>
  <c r="O28" i="97"/>
  <c r="A35" i="97"/>
  <c r="M42" i="97"/>
  <c r="M43" i="97"/>
  <c r="M44" i="97"/>
  <c r="M45" i="97"/>
  <c r="M46" i="97"/>
  <c r="M47" i="97"/>
  <c r="M48" i="97"/>
  <c r="M49" i="97"/>
  <c r="M50" i="97"/>
  <c r="M51" i="97"/>
  <c r="M52" i="97"/>
  <c r="M53" i="97"/>
  <c r="M54" i="97"/>
  <c r="M55" i="97"/>
  <c r="M56" i="97"/>
  <c r="M57" i="97"/>
  <c r="M58" i="97"/>
  <c r="M59" i="97"/>
  <c r="C60" i="97"/>
  <c r="D60" i="97"/>
  <c r="E60" i="97"/>
  <c r="F60" i="97"/>
  <c r="G60" i="97"/>
  <c r="H60" i="97"/>
  <c r="I60" i="97"/>
  <c r="J60" i="97"/>
  <c r="K60" i="97"/>
  <c r="L60" i="97"/>
  <c r="A3" i="96"/>
  <c r="C10" i="96"/>
  <c r="H10" i="96"/>
  <c r="C11" i="96"/>
  <c r="H11" i="96"/>
  <c r="C12" i="96"/>
  <c r="H12" i="96"/>
  <c r="C13" i="96"/>
  <c r="H13" i="96"/>
  <c r="C14" i="96"/>
  <c r="H14" i="96"/>
  <c r="C15" i="96"/>
  <c r="H15" i="96"/>
  <c r="C16" i="96"/>
  <c r="H16" i="96"/>
  <c r="C17" i="96"/>
  <c r="H17" i="96"/>
  <c r="C18" i="96"/>
  <c r="H18" i="96"/>
  <c r="C19" i="96"/>
  <c r="H19" i="96"/>
  <c r="C20" i="96"/>
  <c r="H20" i="96"/>
  <c r="C21" i="96"/>
  <c r="H21" i="96"/>
  <c r="C22" i="96"/>
  <c r="H22" i="96"/>
  <c r="C23" i="96"/>
  <c r="H23" i="96"/>
  <c r="C24" i="96"/>
  <c r="H24" i="96"/>
  <c r="C25" i="96"/>
  <c r="H25" i="96"/>
  <c r="C26" i="96"/>
  <c r="H26" i="96"/>
  <c r="C27" i="96"/>
  <c r="H27" i="96"/>
  <c r="D28" i="96"/>
  <c r="E28" i="96"/>
  <c r="F28" i="96"/>
  <c r="G28" i="96"/>
  <c r="I28" i="96"/>
  <c r="J28" i="96"/>
  <c r="K28" i="96"/>
  <c r="L28" i="96"/>
  <c r="M28" i="96"/>
  <c r="N28" i="96"/>
  <c r="O28" i="96"/>
  <c r="A35" i="96"/>
  <c r="M42" i="96"/>
  <c r="M43" i="96"/>
  <c r="M44" i="96"/>
  <c r="M45" i="96"/>
  <c r="M46" i="96"/>
  <c r="M47" i="96"/>
  <c r="M48" i="96"/>
  <c r="M49" i="96"/>
  <c r="M50" i="96"/>
  <c r="M51" i="96"/>
  <c r="M52" i="96"/>
  <c r="M53" i="96"/>
  <c r="M54" i="96"/>
  <c r="M55" i="96"/>
  <c r="M56" i="96"/>
  <c r="M57" i="96"/>
  <c r="M57" i="92" s="1"/>
  <c r="M58" i="96"/>
  <c r="M59" i="96"/>
  <c r="C60" i="96"/>
  <c r="D60" i="96"/>
  <c r="E60" i="96"/>
  <c r="F60" i="96"/>
  <c r="G60" i="96"/>
  <c r="H60" i="96"/>
  <c r="I60" i="96"/>
  <c r="J60" i="96"/>
  <c r="K60" i="96"/>
  <c r="L60" i="96"/>
  <c r="A3" i="95"/>
  <c r="A34" i="95" s="1"/>
  <c r="C10" i="95"/>
  <c r="H10" i="95"/>
  <c r="C11" i="95"/>
  <c r="H11" i="95"/>
  <c r="C12" i="95"/>
  <c r="H12" i="95"/>
  <c r="C13" i="95"/>
  <c r="H13" i="95"/>
  <c r="C14" i="95"/>
  <c r="H14" i="95"/>
  <c r="C15" i="95"/>
  <c r="H15" i="95"/>
  <c r="C16" i="95"/>
  <c r="H16" i="95"/>
  <c r="C17" i="95"/>
  <c r="H17" i="95"/>
  <c r="C18" i="95"/>
  <c r="H18" i="95"/>
  <c r="C19" i="95"/>
  <c r="H19" i="95"/>
  <c r="C20" i="95"/>
  <c r="H20" i="95"/>
  <c r="C21" i="95"/>
  <c r="H21" i="95"/>
  <c r="C22" i="95"/>
  <c r="H22" i="95"/>
  <c r="C23" i="95"/>
  <c r="H23" i="95"/>
  <c r="C24" i="95"/>
  <c r="H24" i="95"/>
  <c r="C25" i="95"/>
  <c r="H25" i="95"/>
  <c r="C26" i="95"/>
  <c r="H26" i="95"/>
  <c r="C27" i="95"/>
  <c r="H27" i="95"/>
  <c r="D28" i="95"/>
  <c r="E28" i="95"/>
  <c r="F28" i="95"/>
  <c r="G28" i="95"/>
  <c r="I28" i="95"/>
  <c r="J28" i="95"/>
  <c r="K28" i="95"/>
  <c r="L28" i="95"/>
  <c r="M28" i="95"/>
  <c r="N28" i="95"/>
  <c r="O28" i="95"/>
  <c r="M41" i="95"/>
  <c r="M42" i="95"/>
  <c r="M43" i="95"/>
  <c r="M44" i="95"/>
  <c r="M45" i="95"/>
  <c r="M46" i="95"/>
  <c r="M47" i="95"/>
  <c r="M48" i="95"/>
  <c r="M49" i="95"/>
  <c r="M50" i="95"/>
  <c r="M51" i="95"/>
  <c r="M52" i="95"/>
  <c r="M53" i="95"/>
  <c r="M54" i="95"/>
  <c r="M56" i="95"/>
  <c r="M57" i="95"/>
  <c r="M58" i="92" s="1"/>
  <c r="M58" i="95"/>
  <c r="C59" i="95"/>
  <c r="D59" i="95"/>
  <c r="E59" i="95"/>
  <c r="F59" i="95"/>
  <c r="G59" i="95"/>
  <c r="H59" i="95"/>
  <c r="I59" i="95"/>
  <c r="J59" i="95"/>
  <c r="K59" i="95"/>
  <c r="L59" i="95"/>
  <c r="A3" i="94"/>
  <c r="A34" i="94" s="1"/>
  <c r="C10" i="94"/>
  <c r="H10" i="94"/>
  <c r="C11" i="94"/>
  <c r="H11" i="94"/>
  <c r="C12" i="94"/>
  <c r="H12" i="94"/>
  <c r="C13" i="94"/>
  <c r="H13" i="94"/>
  <c r="C14" i="94"/>
  <c r="H14" i="94"/>
  <c r="C15" i="94"/>
  <c r="H15" i="94"/>
  <c r="C16" i="94"/>
  <c r="H16" i="94"/>
  <c r="C17" i="94"/>
  <c r="H17" i="94"/>
  <c r="C18" i="94"/>
  <c r="H18" i="94"/>
  <c r="C19" i="94"/>
  <c r="H19" i="94"/>
  <c r="C20" i="94"/>
  <c r="H20" i="94"/>
  <c r="C21" i="94"/>
  <c r="H21" i="94"/>
  <c r="C22" i="94"/>
  <c r="H22" i="94"/>
  <c r="C23" i="94"/>
  <c r="H23" i="94"/>
  <c r="C24" i="94"/>
  <c r="H24" i="94"/>
  <c r="C25" i="94"/>
  <c r="H25" i="94"/>
  <c r="C26" i="94"/>
  <c r="H26" i="94"/>
  <c r="C27" i="94"/>
  <c r="H27" i="94"/>
  <c r="D28" i="94"/>
  <c r="E28" i="94"/>
  <c r="F28" i="94"/>
  <c r="G28" i="94"/>
  <c r="I28" i="94"/>
  <c r="J28" i="94"/>
  <c r="K28" i="94"/>
  <c r="L28" i="94"/>
  <c r="M28" i="94"/>
  <c r="N28" i="94"/>
  <c r="O28" i="94"/>
  <c r="M41" i="94"/>
  <c r="M42" i="94"/>
  <c r="M43" i="94"/>
  <c r="M44" i="94"/>
  <c r="M49" i="92"/>
  <c r="C59" i="94"/>
  <c r="D59" i="94"/>
  <c r="E59" i="94"/>
  <c r="F59" i="94"/>
  <c r="G59" i="94"/>
  <c r="H59" i="94"/>
  <c r="I59" i="94"/>
  <c r="J59" i="94"/>
  <c r="K59" i="94"/>
  <c r="L59" i="94"/>
  <c r="A3" i="93"/>
  <c r="I10" i="92"/>
  <c r="J10" i="92"/>
  <c r="K10" i="92"/>
  <c r="L10" i="92"/>
  <c r="M10" i="92"/>
  <c r="N10" i="92"/>
  <c r="O10" i="92"/>
  <c r="I11" i="92"/>
  <c r="J11" i="92"/>
  <c r="K11" i="92"/>
  <c r="L11" i="92"/>
  <c r="M11" i="92"/>
  <c r="N11" i="92"/>
  <c r="O11" i="92"/>
  <c r="I12" i="92"/>
  <c r="J12" i="92"/>
  <c r="K12" i="92"/>
  <c r="L12" i="92"/>
  <c r="M12" i="92"/>
  <c r="N12" i="92"/>
  <c r="O12" i="92"/>
  <c r="I13" i="92"/>
  <c r="J13" i="92"/>
  <c r="K13" i="92"/>
  <c r="L13" i="92"/>
  <c r="M13" i="92"/>
  <c r="N13" i="92"/>
  <c r="O13" i="92"/>
  <c r="I14" i="92"/>
  <c r="J14" i="92"/>
  <c r="K14" i="92"/>
  <c r="L14" i="92"/>
  <c r="M14" i="92"/>
  <c r="N14" i="92"/>
  <c r="O14" i="92"/>
  <c r="I15" i="92"/>
  <c r="J15" i="92"/>
  <c r="K15" i="92"/>
  <c r="L15" i="92"/>
  <c r="M15" i="92"/>
  <c r="N15" i="92"/>
  <c r="O15" i="92"/>
  <c r="I16" i="92"/>
  <c r="J16" i="92"/>
  <c r="K16" i="92"/>
  <c r="L16" i="92"/>
  <c r="M16" i="92"/>
  <c r="N16" i="92"/>
  <c r="O16" i="92"/>
  <c r="I17" i="92"/>
  <c r="J17" i="92"/>
  <c r="K17" i="92"/>
  <c r="L17" i="92"/>
  <c r="M17" i="92"/>
  <c r="N17" i="92"/>
  <c r="O17" i="92"/>
  <c r="I18" i="92"/>
  <c r="J18" i="92"/>
  <c r="K18" i="92"/>
  <c r="L18" i="92"/>
  <c r="M18" i="92"/>
  <c r="N18" i="92"/>
  <c r="O18" i="92"/>
  <c r="I19" i="92"/>
  <c r="J19" i="92"/>
  <c r="K19" i="92"/>
  <c r="L19" i="92"/>
  <c r="M19" i="92"/>
  <c r="N19" i="92"/>
  <c r="O19" i="92"/>
  <c r="I20" i="92"/>
  <c r="J20" i="92"/>
  <c r="K20" i="92"/>
  <c r="L20" i="92"/>
  <c r="M20" i="92"/>
  <c r="N20" i="92"/>
  <c r="O20" i="92"/>
  <c r="I21" i="92"/>
  <c r="J21" i="92"/>
  <c r="K21" i="92"/>
  <c r="L21" i="92"/>
  <c r="M21" i="92"/>
  <c r="N21" i="92"/>
  <c r="O21" i="92"/>
  <c r="I22" i="92"/>
  <c r="J22" i="92"/>
  <c r="K22" i="92"/>
  <c r="L22" i="92"/>
  <c r="M22" i="92"/>
  <c r="N22" i="92"/>
  <c r="O22" i="92"/>
  <c r="I23" i="92"/>
  <c r="J23" i="92"/>
  <c r="K23" i="92"/>
  <c r="L23" i="92"/>
  <c r="M23" i="92"/>
  <c r="N23" i="92"/>
  <c r="O23" i="92"/>
  <c r="I24" i="92"/>
  <c r="J24" i="92"/>
  <c r="K24" i="92"/>
  <c r="L24" i="92"/>
  <c r="M24" i="92"/>
  <c r="N24" i="92"/>
  <c r="O24" i="92"/>
  <c r="I25" i="92"/>
  <c r="J25" i="92"/>
  <c r="K25" i="92"/>
  <c r="L25" i="92"/>
  <c r="M25" i="92"/>
  <c r="N25" i="92"/>
  <c r="O25" i="92"/>
  <c r="I26" i="92"/>
  <c r="J26" i="92"/>
  <c r="K26" i="92"/>
  <c r="L26" i="92"/>
  <c r="M26" i="92"/>
  <c r="N26" i="92"/>
  <c r="O26" i="92"/>
  <c r="I27" i="92"/>
  <c r="J27" i="92"/>
  <c r="K27" i="92"/>
  <c r="L27" i="92"/>
  <c r="M27" i="92"/>
  <c r="N27" i="92"/>
  <c r="O27" i="92"/>
  <c r="A35" i="92"/>
  <c r="C42" i="92"/>
  <c r="D42" i="92"/>
  <c r="E42" i="92"/>
  <c r="F42" i="92"/>
  <c r="G42" i="92"/>
  <c r="H42" i="92"/>
  <c r="I42" i="92"/>
  <c r="J42" i="92"/>
  <c r="K42" i="92"/>
  <c r="L42" i="92"/>
  <c r="C43" i="92"/>
  <c r="D43" i="92"/>
  <c r="E43" i="92"/>
  <c r="F43" i="92"/>
  <c r="G43" i="92"/>
  <c r="H43" i="92"/>
  <c r="I43" i="92"/>
  <c r="J43" i="92"/>
  <c r="K43" i="92"/>
  <c r="L43" i="92"/>
  <c r="C44" i="92"/>
  <c r="D44" i="92"/>
  <c r="E44" i="92"/>
  <c r="F44" i="92"/>
  <c r="G44" i="92"/>
  <c r="H44" i="92"/>
  <c r="I44" i="92"/>
  <c r="J44" i="92"/>
  <c r="K44" i="92"/>
  <c r="L44" i="92"/>
  <c r="C45" i="92"/>
  <c r="D45" i="92"/>
  <c r="E45" i="92"/>
  <c r="F45" i="92"/>
  <c r="G45" i="92"/>
  <c r="H45" i="92"/>
  <c r="I45" i="92"/>
  <c r="J45" i="92"/>
  <c r="K45" i="92"/>
  <c r="L45" i="92"/>
  <c r="C46" i="92"/>
  <c r="D46" i="92"/>
  <c r="E46" i="92"/>
  <c r="F46" i="92"/>
  <c r="G46" i="92"/>
  <c r="H46" i="92"/>
  <c r="I46" i="92"/>
  <c r="J46" i="92"/>
  <c r="K46" i="92"/>
  <c r="L46" i="92"/>
  <c r="C47" i="92"/>
  <c r="D47" i="92"/>
  <c r="E47" i="92"/>
  <c r="F47" i="92"/>
  <c r="G47" i="92"/>
  <c r="H47" i="92"/>
  <c r="I47" i="92"/>
  <c r="J47" i="92"/>
  <c r="K47" i="92"/>
  <c r="L47" i="92"/>
  <c r="C48" i="92"/>
  <c r="D48" i="92"/>
  <c r="E48" i="92"/>
  <c r="F48" i="92"/>
  <c r="G48" i="92"/>
  <c r="H48" i="92"/>
  <c r="I48" i="92"/>
  <c r="J48" i="92"/>
  <c r="K48" i="92"/>
  <c r="L48" i="92"/>
  <c r="C49" i="92"/>
  <c r="D49" i="92"/>
  <c r="E49" i="92"/>
  <c r="F49" i="92"/>
  <c r="G49" i="92"/>
  <c r="H49" i="92"/>
  <c r="I49" i="92"/>
  <c r="J49" i="92"/>
  <c r="K49" i="92"/>
  <c r="L49" i="92"/>
  <c r="C50" i="92"/>
  <c r="D50" i="92"/>
  <c r="E50" i="92"/>
  <c r="F50" i="92"/>
  <c r="G50" i="92"/>
  <c r="H50" i="92"/>
  <c r="I50" i="92"/>
  <c r="J50" i="92"/>
  <c r="K50" i="92"/>
  <c r="L50" i="92"/>
  <c r="C51" i="92"/>
  <c r="D51" i="92"/>
  <c r="E51" i="92"/>
  <c r="F51" i="92"/>
  <c r="G51" i="92"/>
  <c r="H51" i="92"/>
  <c r="I51" i="92"/>
  <c r="J51" i="92"/>
  <c r="K51" i="92"/>
  <c r="L51" i="92"/>
  <c r="C52" i="92"/>
  <c r="D52" i="92"/>
  <c r="E52" i="92"/>
  <c r="F52" i="92"/>
  <c r="G52" i="92"/>
  <c r="H52" i="92"/>
  <c r="I52" i="92"/>
  <c r="J52" i="92"/>
  <c r="K52" i="92"/>
  <c r="L52" i="92"/>
  <c r="C53" i="92"/>
  <c r="D53" i="92"/>
  <c r="E53" i="92"/>
  <c r="F53" i="92"/>
  <c r="G53" i="92"/>
  <c r="H53" i="92"/>
  <c r="I53" i="92"/>
  <c r="J53" i="92"/>
  <c r="K53" i="92"/>
  <c r="L53" i="92"/>
  <c r="C54" i="92"/>
  <c r="D54" i="92"/>
  <c r="E54" i="92"/>
  <c r="F54" i="92"/>
  <c r="G54" i="92"/>
  <c r="H54" i="92"/>
  <c r="I54" i="92"/>
  <c r="J54" i="92"/>
  <c r="K54" i="92"/>
  <c r="L54" i="92"/>
  <c r="M54" i="92"/>
  <c r="C55" i="92"/>
  <c r="D55" i="92"/>
  <c r="E55" i="92"/>
  <c r="F55" i="92"/>
  <c r="G55" i="92"/>
  <c r="H55" i="92"/>
  <c r="I55" i="92"/>
  <c r="J55" i="92"/>
  <c r="K55" i="92"/>
  <c r="L55" i="92"/>
  <c r="C56" i="92"/>
  <c r="D56" i="92"/>
  <c r="E56" i="92"/>
  <c r="F56" i="92"/>
  <c r="G56" i="92"/>
  <c r="H56" i="92"/>
  <c r="I56" i="92"/>
  <c r="J56" i="92"/>
  <c r="K56" i="92"/>
  <c r="L56" i="92"/>
  <c r="C57" i="92"/>
  <c r="D57" i="92"/>
  <c r="E57" i="92"/>
  <c r="F57" i="92"/>
  <c r="G57" i="92"/>
  <c r="H57" i="92"/>
  <c r="I57" i="92"/>
  <c r="J57" i="92"/>
  <c r="K57" i="92"/>
  <c r="L57" i="92"/>
  <c r="C58" i="92"/>
  <c r="D58" i="92"/>
  <c r="E58" i="92"/>
  <c r="F58" i="92"/>
  <c r="G58" i="92"/>
  <c r="H58" i="92"/>
  <c r="I58" i="92"/>
  <c r="J58" i="92"/>
  <c r="K58" i="92"/>
  <c r="L58" i="92"/>
  <c r="C59" i="92"/>
  <c r="D59" i="92"/>
  <c r="E59" i="92"/>
  <c r="F59" i="92"/>
  <c r="G59" i="92"/>
  <c r="H59" i="92"/>
  <c r="I59" i="92"/>
  <c r="J59" i="92"/>
  <c r="K59" i="92"/>
  <c r="L59" i="92"/>
  <c r="B18" i="91"/>
  <c r="B18" i="90"/>
  <c r="B18" i="89"/>
  <c r="B18" i="88"/>
  <c r="A4" i="87"/>
  <c r="A4" i="88" s="1"/>
  <c r="A4" i="89" s="1"/>
  <c r="A4" i="90" s="1"/>
  <c r="A4" i="91" s="1"/>
  <c r="B18" i="87"/>
  <c r="C9" i="86"/>
  <c r="D9" i="86"/>
  <c r="E9" i="86"/>
  <c r="C10" i="86"/>
  <c r="D10" i="86"/>
  <c r="E10" i="86"/>
  <c r="C11" i="86"/>
  <c r="D11" i="86"/>
  <c r="E11" i="86"/>
  <c r="C12" i="86"/>
  <c r="D12" i="86"/>
  <c r="E12" i="86"/>
  <c r="C13" i="86"/>
  <c r="D13" i="86"/>
  <c r="E13" i="86"/>
  <c r="C14" i="86"/>
  <c r="D14" i="86"/>
  <c r="E14" i="86"/>
  <c r="C15" i="86"/>
  <c r="D15" i="86"/>
  <c r="E15" i="86"/>
  <c r="C16" i="86"/>
  <c r="D16" i="86"/>
  <c r="E16" i="86"/>
  <c r="C17" i="86"/>
  <c r="D17" i="86"/>
  <c r="E17" i="86"/>
  <c r="C18" i="86"/>
  <c r="C26" i="85"/>
  <c r="C12" i="85" s="1"/>
  <c r="D26" i="85"/>
  <c r="D12" i="85" s="1"/>
  <c r="E26" i="85"/>
  <c r="E12" i="85" s="1"/>
  <c r="F26" i="85"/>
  <c r="F12" i="85" s="1"/>
  <c r="G26" i="85"/>
  <c r="G12" i="85" s="1"/>
  <c r="H26" i="85"/>
  <c r="H12" i="85" s="1"/>
  <c r="I26" i="85"/>
  <c r="I12" i="85" s="1"/>
  <c r="J26" i="85"/>
  <c r="J12" i="85" s="1"/>
  <c r="L26" i="85"/>
  <c r="L12" i="85" s="1"/>
  <c r="M26" i="85"/>
  <c r="M12" i="85" s="1"/>
  <c r="N26" i="85"/>
  <c r="N12" i="85" s="1"/>
  <c r="Q26" i="85"/>
  <c r="Q12" i="85" s="1"/>
  <c r="R26" i="85"/>
  <c r="R12" i="85" s="1"/>
  <c r="D18" i="91" s="1"/>
  <c r="S26" i="85"/>
  <c r="S12" i="85" s="1"/>
  <c r="T26" i="85"/>
  <c r="T12" i="85" s="1"/>
  <c r="U26" i="85"/>
  <c r="U12" i="85" s="1"/>
  <c r="K27" i="85"/>
  <c r="P27" i="85" s="1"/>
  <c r="V27" i="85"/>
  <c r="W27" i="85"/>
  <c r="X27" i="85"/>
  <c r="Y27" i="85"/>
  <c r="K28" i="85"/>
  <c r="P28" i="85" s="1"/>
  <c r="V28" i="85"/>
  <c r="W28" i="85"/>
  <c r="X28" i="85"/>
  <c r="Y28" i="85"/>
  <c r="K29" i="85"/>
  <c r="P29" i="85" s="1"/>
  <c r="V29" i="85"/>
  <c r="W29" i="85"/>
  <c r="X29" i="85"/>
  <c r="Y29" i="85"/>
  <c r="K30" i="85"/>
  <c r="P30" i="85" s="1"/>
  <c r="K31" i="85"/>
  <c r="P31" i="85" s="1"/>
  <c r="K32" i="85"/>
  <c r="P32" i="85" s="1"/>
  <c r="W32" i="85"/>
  <c r="X32" i="85"/>
  <c r="Y32" i="85"/>
  <c r="K34" i="85"/>
  <c r="P34" i="85" s="1"/>
  <c r="E18" i="90"/>
  <c r="D18" i="90"/>
  <c r="V12" i="84"/>
  <c r="F18" i="90" s="1"/>
  <c r="D18" i="89"/>
  <c r="V12" i="83"/>
  <c r="F18" i="89" s="1"/>
  <c r="K16" i="83"/>
  <c r="O16" i="83"/>
  <c r="V16" i="83"/>
  <c r="X16" i="83"/>
  <c r="K17" i="83"/>
  <c r="O17" i="83"/>
  <c r="V17" i="83"/>
  <c r="X17" i="83"/>
  <c r="K25" i="83"/>
  <c r="O25" i="83"/>
  <c r="C12" i="82"/>
  <c r="D12" i="82"/>
  <c r="E12" i="82"/>
  <c r="F12" i="82"/>
  <c r="G12" i="82"/>
  <c r="H12" i="82"/>
  <c r="I12" i="82"/>
  <c r="J12" i="82"/>
  <c r="L12" i="82"/>
  <c r="M12" i="82"/>
  <c r="N12" i="82"/>
  <c r="Q12" i="82"/>
  <c r="R12" i="82"/>
  <c r="D18" i="88" s="1"/>
  <c r="S12" i="82"/>
  <c r="T12" i="82"/>
  <c r="U12" i="82"/>
  <c r="K15" i="82"/>
  <c r="O15" i="82"/>
  <c r="X15" i="82" s="1"/>
  <c r="V15" i="82"/>
  <c r="K16" i="82"/>
  <c r="O16" i="82"/>
  <c r="X16" i="82" s="1"/>
  <c r="V16" i="82"/>
  <c r="K17" i="82"/>
  <c r="O17" i="82"/>
  <c r="X17" i="82" s="1"/>
  <c r="V17" i="82"/>
  <c r="K19" i="82"/>
  <c r="O19" i="82"/>
  <c r="X19" i="82" s="1"/>
  <c r="V19" i="82"/>
  <c r="K23" i="82"/>
  <c r="O23" i="82"/>
  <c r="X23" i="82" s="1"/>
  <c r="V23" i="82"/>
  <c r="K25" i="82"/>
  <c r="O25" i="82"/>
  <c r="X25" i="82" s="1"/>
  <c r="V25" i="82"/>
  <c r="A3" i="81"/>
  <c r="A3" i="85" s="1"/>
  <c r="C12" i="81"/>
  <c r="D12" i="81"/>
  <c r="E12" i="81"/>
  <c r="F12" i="81"/>
  <c r="G12" i="81"/>
  <c r="H12" i="81"/>
  <c r="I12" i="81"/>
  <c r="J12" i="81"/>
  <c r="K12" i="81" s="1"/>
  <c r="L12" i="81"/>
  <c r="M12" i="81"/>
  <c r="N12" i="81"/>
  <c r="Q12" i="81"/>
  <c r="R12" i="81"/>
  <c r="D18" i="87" s="1"/>
  <c r="S12" i="81"/>
  <c r="T12" i="81"/>
  <c r="U12" i="81"/>
  <c r="O16" i="81"/>
  <c r="V16" i="81"/>
  <c r="O19" i="81"/>
  <c r="P19" i="81" s="1"/>
  <c r="V19" i="81"/>
  <c r="O20" i="81"/>
  <c r="P20" i="81" s="1"/>
  <c r="O21" i="81"/>
  <c r="P21" i="81" s="1"/>
  <c r="V21" i="81"/>
  <c r="O22" i="81"/>
  <c r="P22" i="81" s="1"/>
  <c r="V22" i="81"/>
  <c r="X22" i="81"/>
  <c r="O23" i="81"/>
  <c r="V23" i="81"/>
  <c r="O24" i="81"/>
  <c r="V24" i="81"/>
  <c r="O25" i="81"/>
  <c r="P25" i="81" s="1"/>
  <c r="V25" i="81"/>
  <c r="X25" i="81"/>
  <c r="D14" i="80"/>
  <c r="E14" i="80"/>
  <c r="F14" i="80"/>
  <c r="G14" i="80"/>
  <c r="H14" i="80"/>
  <c r="I14" i="80"/>
  <c r="J14" i="80"/>
  <c r="L14" i="80"/>
  <c r="M14" i="80"/>
  <c r="N14" i="80"/>
  <c r="Q14" i="80"/>
  <c r="R14" i="80"/>
  <c r="S14" i="80"/>
  <c r="T14" i="80"/>
  <c r="U14" i="80"/>
  <c r="C15" i="80"/>
  <c r="D15" i="80"/>
  <c r="E15" i="80"/>
  <c r="F15" i="80"/>
  <c r="G15" i="80"/>
  <c r="H15" i="80"/>
  <c r="I15" i="80"/>
  <c r="J15" i="80"/>
  <c r="L15" i="80"/>
  <c r="M15" i="80"/>
  <c r="N15" i="80"/>
  <c r="Q15" i="80"/>
  <c r="R15" i="80"/>
  <c r="S15" i="80"/>
  <c r="T15" i="80"/>
  <c r="U15" i="80"/>
  <c r="C16" i="80"/>
  <c r="D16" i="80"/>
  <c r="E16" i="80"/>
  <c r="F16" i="80"/>
  <c r="G16" i="80"/>
  <c r="H16" i="80"/>
  <c r="I16" i="80"/>
  <c r="J16" i="80"/>
  <c r="L16" i="80"/>
  <c r="M16" i="80"/>
  <c r="N16" i="80"/>
  <c r="Q16" i="80"/>
  <c r="R16" i="80"/>
  <c r="S16" i="80"/>
  <c r="T16" i="80"/>
  <c r="U16" i="80"/>
  <c r="C17" i="80"/>
  <c r="D17" i="80"/>
  <c r="E17" i="80"/>
  <c r="F17" i="80"/>
  <c r="G17" i="80"/>
  <c r="H17" i="80"/>
  <c r="I17" i="80"/>
  <c r="J17" i="80"/>
  <c r="L17" i="80"/>
  <c r="M17" i="80"/>
  <c r="N17" i="80"/>
  <c r="Q17" i="80"/>
  <c r="R17" i="80"/>
  <c r="S17" i="80"/>
  <c r="T17" i="80"/>
  <c r="U17" i="80"/>
  <c r="C19" i="80"/>
  <c r="D19" i="80"/>
  <c r="E19" i="80"/>
  <c r="F19" i="80"/>
  <c r="G19" i="80"/>
  <c r="H19" i="80"/>
  <c r="I19" i="80"/>
  <c r="J19" i="80"/>
  <c r="L19" i="80"/>
  <c r="M19" i="80"/>
  <c r="N19" i="80"/>
  <c r="Q19" i="80"/>
  <c r="R19" i="80"/>
  <c r="S19" i="80"/>
  <c r="T19" i="80"/>
  <c r="U19" i="80"/>
  <c r="C20" i="80"/>
  <c r="D20" i="80"/>
  <c r="E20" i="80"/>
  <c r="F20" i="80"/>
  <c r="G20" i="80"/>
  <c r="H20" i="80"/>
  <c r="I20" i="80"/>
  <c r="J20" i="80"/>
  <c r="L20" i="80"/>
  <c r="M20" i="80"/>
  <c r="N20" i="80"/>
  <c r="Q20" i="80"/>
  <c r="R20" i="80"/>
  <c r="S20" i="80"/>
  <c r="T20" i="80"/>
  <c r="U20" i="80"/>
  <c r="C21" i="80"/>
  <c r="D21" i="80"/>
  <c r="E21" i="80"/>
  <c r="F21" i="80"/>
  <c r="G21" i="80"/>
  <c r="H21" i="80"/>
  <c r="I21" i="80"/>
  <c r="J21" i="80"/>
  <c r="L21" i="80"/>
  <c r="M21" i="80"/>
  <c r="N21" i="80"/>
  <c r="Q21" i="80"/>
  <c r="R21" i="80"/>
  <c r="S21" i="80"/>
  <c r="T21" i="80"/>
  <c r="U21" i="80"/>
  <c r="C22" i="80"/>
  <c r="D22" i="80"/>
  <c r="E22" i="80"/>
  <c r="F22" i="80"/>
  <c r="G22" i="80"/>
  <c r="H22" i="80"/>
  <c r="I22" i="80"/>
  <c r="J22" i="80"/>
  <c r="L22" i="80"/>
  <c r="M22" i="80"/>
  <c r="N22" i="80"/>
  <c r="Q22" i="80"/>
  <c r="R22" i="80"/>
  <c r="S22" i="80"/>
  <c r="T22" i="80"/>
  <c r="U22" i="80"/>
  <c r="C23" i="80"/>
  <c r="D23" i="80"/>
  <c r="E23" i="80"/>
  <c r="F23" i="80"/>
  <c r="G23" i="80"/>
  <c r="H23" i="80"/>
  <c r="I23" i="80"/>
  <c r="J23" i="80"/>
  <c r="L23" i="80"/>
  <c r="M23" i="80"/>
  <c r="N23" i="80"/>
  <c r="Q23" i="80"/>
  <c r="R23" i="80"/>
  <c r="S23" i="80"/>
  <c r="T23" i="80"/>
  <c r="U23" i="80"/>
  <c r="C24" i="80"/>
  <c r="D24" i="80"/>
  <c r="E24" i="80"/>
  <c r="F24" i="80"/>
  <c r="G24" i="80"/>
  <c r="H24" i="80"/>
  <c r="I24" i="80"/>
  <c r="J24" i="80"/>
  <c r="L24" i="80"/>
  <c r="M24" i="80"/>
  <c r="N24" i="80"/>
  <c r="Q24" i="80"/>
  <c r="R24" i="80"/>
  <c r="S24" i="80"/>
  <c r="T24" i="80"/>
  <c r="U24" i="80"/>
  <c r="C25" i="80"/>
  <c r="D25" i="80"/>
  <c r="E25" i="80"/>
  <c r="F25" i="80"/>
  <c r="G25" i="80"/>
  <c r="H25" i="80"/>
  <c r="I25" i="80"/>
  <c r="J25" i="80"/>
  <c r="L25" i="80"/>
  <c r="M25" i="80"/>
  <c r="N25" i="80"/>
  <c r="Q25" i="80"/>
  <c r="R25" i="80"/>
  <c r="S25" i="80"/>
  <c r="T25" i="80"/>
  <c r="U25" i="80"/>
  <c r="C26" i="80"/>
  <c r="D26" i="80"/>
  <c r="E26" i="80"/>
  <c r="G26" i="80"/>
  <c r="H26" i="80"/>
  <c r="I26" i="80"/>
  <c r="L26" i="80"/>
  <c r="M26" i="80"/>
  <c r="N26" i="80"/>
  <c r="R26" i="80"/>
  <c r="S26" i="80"/>
  <c r="T26" i="80"/>
  <c r="D8" i="78"/>
  <c r="F8" i="78" s="1"/>
  <c r="E8" i="78"/>
  <c r="G8" i="78" s="1"/>
  <c r="N9" i="78"/>
  <c r="O9" i="78"/>
  <c r="N10" i="78"/>
  <c r="N26" i="78" s="1"/>
  <c r="O10" i="78"/>
  <c r="N11" i="78"/>
  <c r="O11" i="78"/>
  <c r="N12" i="78"/>
  <c r="O12" i="78"/>
  <c r="N13" i="78"/>
  <c r="O13" i="78"/>
  <c r="N14" i="78"/>
  <c r="O14" i="78"/>
  <c r="N15" i="78"/>
  <c r="O15" i="78"/>
  <c r="N16" i="78"/>
  <c r="O16" i="78"/>
  <c r="N17" i="78"/>
  <c r="O17" i="78"/>
  <c r="N18" i="78"/>
  <c r="O18" i="78"/>
  <c r="N19" i="78"/>
  <c r="O19" i="78"/>
  <c r="N20" i="78"/>
  <c r="O20" i="78"/>
  <c r="N21" i="78"/>
  <c r="O21" i="78"/>
  <c r="N22" i="78"/>
  <c r="O22" i="78"/>
  <c r="N23" i="78"/>
  <c r="O23" i="78"/>
  <c r="N24" i="78"/>
  <c r="O24" i="78"/>
  <c r="N25" i="78"/>
  <c r="O25" i="78"/>
  <c r="C26" i="78"/>
  <c r="E26" i="78"/>
  <c r="G26" i="78"/>
  <c r="I26" i="78"/>
  <c r="K26" i="78"/>
  <c r="M26" i="78"/>
  <c r="N27" i="78"/>
  <c r="O27" i="78"/>
  <c r="N28" i="78"/>
  <c r="O28" i="78"/>
  <c r="N29" i="78"/>
  <c r="O29" i="78"/>
  <c r="N30" i="78"/>
  <c r="O30" i="78"/>
  <c r="N31" i="78"/>
  <c r="O31" i="78"/>
  <c r="N32" i="78"/>
  <c r="O32" i="78"/>
  <c r="B42" i="78"/>
  <c r="C42" i="78"/>
  <c r="D42" i="78"/>
  <c r="B43" i="78"/>
  <c r="D43" i="78"/>
  <c r="F43" i="78"/>
  <c r="H43" i="78"/>
  <c r="K43" i="78"/>
  <c r="L43" i="78"/>
  <c r="N44" i="78"/>
  <c r="O44" i="78"/>
  <c r="N45" i="78"/>
  <c r="O45" i="78"/>
  <c r="N46" i="78"/>
  <c r="O46" i="78"/>
  <c r="N47" i="78"/>
  <c r="O47" i="78"/>
  <c r="C43" i="78"/>
  <c r="E48" i="78"/>
  <c r="E43" i="78" s="1"/>
  <c r="D19" i="79" s="1"/>
  <c r="G48" i="78"/>
  <c r="G43" i="78" s="1"/>
  <c r="F19" i="79" s="1"/>
  <c r="I48" i="78"/>
  <c r="I43" i="78" s="1"/>
  <c r="H19" i="79" s="1"/>
  <c r="J48" i="78"/>
  <c r="J43" i="78" s="1"/>
  <c r="K48" i="78"/>
  <c r="M48" i="78"/>
  <c r="M43" i="78" s="1"/>
  <c r="J19" i="79" s="1"/>
  <c r="N49" i="78"/>
  <c r="O49" i="78"/>
  <c r="N50" i="78"/>
  <c r="O50" i="78"/>
  <c r="N51" i="78"/>
  <c r="O51" i="78"/>
  <c r="N52" i="78"/>
  <c r="O52" i="78"/>
  <c r="N53" i="78"/>
  <c r="O53" i="78"/>
  <c r="N54" i="78"/>
  <c r="O54" i="78"/>
  <c r="I55" i="78"/>
  <c r="I19" i="79" s="1"/>
  <c r="J55" i="78"/>
  <c r="K55" i="78"/>
  <c r="N56" i="78"/>
  <c r="O56" i="78"/>
  <c r="N57" i="78"/>
  <c r="O57" i="78"/>
  <c r="N58" i="78"/>
  <c r="O58" i="78"/>
  <c r="C59" i="78"/>
  <c r="C55" i="78" s="1"/>
  <c r="C19" i="79" s="1"/>
  <c r="E59" i="78"/>
  <c r="E55" i="78" s="1"/>
  <c r="E19" i="79" s="1"/>
  <c r="G59" i="78"/>
  <c r="G55" i="78" s="1"/>
  <c r="G19" i="79" s="1"/>
  <c r="M59" i="78"/>
  <c r="M55" i="78" s="1"/>
  <c r="K19" i="79" s="1"/>
  <c r="N60" i="78"/>
  <c r="O60" i="78"/>
  <c r="N61" i="78"/>
  <c r="O61" i="78"/>
  <c r="N62" i="78"/>
  <c r="O62" i="78"/>
  <c r="N63" i="78"/>
  <c r="O63" i="78"/>
  <c r="N64" i="78"/>
  <c r="O64" i="78"/>
  <c r="N65" i="78"/>
  <c r="O65" i="78"/>
  <c r="N66" i="78"/>
  <c r="O66" i="78"/>
  <c r="N67" i="78"/>
  <c r="O67" i="78"/>
  <c r="M10" i="77"/>
  <c r="N10" i="77" s="1"/>
  <c r="P10" i="77"/>
  <c r="Q10" i="77" s="1"/>
  <c r="R10" i="77"/>
  <c r="S10" i="77"/>
  <c r="T10" i="77" s="1"/>
  <c r="V10" i="77"/>
  <c r="W10" i="77" s="1"/>
  <c r="M11" i="77"/>
  <c r="N11" i="77" s="1"/>
  <c r="P11" i="77"/>
  <c r="Q11" i="77" s="1"/>
  <c r="S11" i="77"/>
  <c r="T11" i="77" s="1"/>
  <c r="V11" i="77"/>
  <c r="W11" i="77" s="1"/>
  <c r="M12" i="77"/>
  <c r="N12" i="77" s="1"/>
  <c r="P12" i="77"/>
  <c r="S12" i="77"/>
  <c r="T12" i="77" s="1"/>
  <c r="V12" i="77"/>
  <c r="W12" i="77" s="1"/>
  <c r="M13" i="77"/>
  <c r="N13" i="77" s="1"/>
  <c r="P13" i="77"/>
  <c r="Q13" i="77" s="1"/>
  <c r="S13" i="77"/>
  <c r="T13" i="77" s="1"/>
  <c r="V13" i="77"/>
  <c r="W13" i="77" s="1"/>
  <c r="M14" i="77"/>
  <c r="N14" i="77" s="1"/>
  <c r="P14" i="77"/>
  <c r="Q14" i="77" s="1"/>
  <c r="R14" i="77"/>
  <c r="S14" i="77"/>
  <c r="T14" i="77" s="1"/>
  <c r="V14" i="77"/>
  <c r="W14" i="77" s="1"/>
  <c r="M15" i="77"/>
  <c r="N15" i="77" s="1"/>
  <c r="P15" i="77"/>
  <c r="Q15" i="77" s="1"/>
  <c r="R15" i="77"/>
  <c r="S15" i="77"/>
  <c r="T15" i="77" s="1"/>
  <c r="V15" i="77"/>
  <c r="W15" i="77" s="1"/>
  <c r="M16" i="77"/>
  <c r="N16" i="77" s="1"/>
  <c r="P16" i="77"/>
  <c r="S16" i="77"/>
  <c r="T16" i="77" s="1"/>
  <c r="V16" i="77"/>
  <c r="W16" i="77" s="1"/>
  <c r="M17" i="77"/>
  <c r="N17" i="77" s="1"/>
  <c r="P17" i="77"/>
  <c r="Q17" i="77" s="1"/>
  <c r="S17" i="77"/>
  <c r="T17" i="77" s="1"/>
  <c r="V17" i="77"/>
  <c r="W17" i="77" s="1"/>
  <c r="M18" i="77"/>
  <c r="N18" i="77" s="1"/>
  <c r="P18" i="77"/>
  <c r="Q18" i="77" s="1"/>
  <c r="S18" i="77"/>
  <c r="T18" i="77" s="1"/>
  <c r="V18" i="77"/>
  <c r="W18" i="77" s="1"/>
  <c r="B19" i="77"/>
  <c r="H19" i="77" s="1"/>
  <c r="C19" i="77"/>
  <c r="D19" i="77"/>
  <c r="E19" i="77"/>
  <c r="F19" i="77"/>
  <c r="G19" i="77"/>
  <c r="A62" i="77"/>
  <c r="I8" i="76"/>
  <c r="I9" i="76"/>
  <c r="I10" i="76"/>
  <c r="I11" i="76"/>
  <c r="I12" i="76"/>
  <c r="I15" i="76" s="1"/>
  <c r="I13" i="76"/>
  <c r="I14" i="76"/>
  <c r="K14" i="76" s="1"/>
  <c r="C15" i="76"/>
  <c r="D15" i="76"/>
  <c r="E15" i="76"/>
  <c r="F15" i="76"/>
  <c r="G15" i="76"/>
  <c r="H15" i="76"/>
  <c r="C16" i="76"/>
  <c r="D16" i="76"/>
  <c r="E16" i="76"/>
  <c r="E18" i="76" s="1"/>
  <c r="F16" i="76"/>
  <c r="G16" i="76"/>
  <c r="H16" i="76"/>
  <c r="C17" i="76"/>
  <c r="D17" i="76"/>
  <c r="E17" i="76"/>
  <c r="F17" i="76"/>
  <c r="G17" i="76"/>
  <c r="H17" i="76"/>
  <c r="B16" i="75"/>
  <c r="C16" i="75"/>
  <c r="D16" i="75"/>
  <c r="E16" i="75"/>
  <c r="F16" i="75"/>
  <c r="G7" i="74"/>
  <c r="L7" i="74" s="1"/>
  <c r="H7" i="74"/>
  <c r="M7" i="74" s="1"/>
  <c r="I7" i="74"/>
  <c r="J7" i="74"/>
  <c r="O7" i="74" s="1"/>
  <c r="K7" i="74"/>
  <c r="P7" i="74" s="1"/>
  <c r="N7" i="74"/>
  <c r="L8" i="74"/>
  <c r="M8" i="74"/>
  <c r="N8" i="74"/>
  <c r="O8" i="74"/>
  <c r="L9" i="74"/>
  <c r="M9" i="74"/>
  <c r="N9" i="74"/>
  <c r="O9" i="74"/>
  <c r="L11" i="74"/>
  <c r="M11" i="74"/>
  <c r="N11" i="74"/>
  <c r="O11" i="74"/>
  <c r="L12" i="74"/>
  <c r="M12" i="74"/>
  <c r="N12" i="74"/>
  <c r="O12" i="74"/>
  <c r="B13" i="74"/>
  <c r="C13" i="74"/>
  <c r="D13" i="74"/>
  <c r="E13" i="74"/>
  <c r="G13" i="74"/>
  <c r="H13" i="74"/>
  <c r="M13" i="74" s="1"/>
  <c r="I13" i="74"/>
  <c r="J13" i="74"/>
  <c r="O13" i="74" s="1"/>
  <c r="K8" i="73"/>
  <c r="F8" i="74" s="1"/>
  <c r="K9" i="73"/>
  <c r="F9" i="74" s="1"/>
  <c r="K10" i="73"/>
  <c r="F10" i="74" s="1"/>
  <c r="K11" i="73"/>
  <c r="F11" i="74" s="1"/>
  <c r="K12" i="73"/>
  <c r="F12" i="74" s="1"/>
  <c r="C13" i="73"/>
  <c r="G8" i="75" s="1"/>
  <c r="D13" i="73"/>
  <c r="G9" i="75" s="1"/>
  <c r="E13" i="73"/>
  <c r="G10" i="75" s="1"/>
  <c r="F13" i="73"/>
  <c r="G12" i="75" s="1"/>
  <c r="G13" i="73"/>
  <c r="G11" i="75" s="1"/>
  <c r="H13" i="73"/>
  <c r="G14" i="75" s="1"/>
  <c r="I13" i="73"/>
  <c r="G13" i="75" s="1"/>
  <c r="J13" i="73"/>
  <c r="G15" i="75" s="1"/>
  <c r="K14" i="73"/>
  <c r="K15" i="73"/>
  <c r="K16" i="73"/>
  <c r="K17" i="73"/>
  <c r="K18" i="73"/>
  <c r="C19" i="73"/>
  <c r="D19" i="73"/>
  <c r="E19" i="73"/>
  <c r="F19" i="73"/>
  <c r="G19" i="73"/>
  <c r="H19" i="73"/>
  <c r="I19" i="73"/>
  <c r="J19" i="73"/>
  <c r="K20" i="73"/>
  <c r="K21" i="73"/>
  <c r="K22" i="73"/>
  <c r="K23" i="73"/>
  <c r="K24" i="73"/>
  <c r="C25" i="73"/>
  <c r="D25" i="73"/>
  <c r="E25" i="73"/>
  <c r="F25" i="73"/>
  <c r="G25" i="73"/>
  <c r="H25" i="73"/>
  <c r="I25" i="73"/>
  <c r="J25" i="73"/>
  <c r="K26" i="73"/>
  <c r="K27" i="73"/>
  <c r="K28" i="73"/>
  <c r="K29" i="73"/>
  <c r="K30" i="73"/>
  <c r="C31" i="73"/>
  <c r="D31" i="73"/>
  <c r="E31" i="73"/>
  <c r="F31" i="73"/>
  <c r="G31" i="73"/>
  <c r="H31" i="73"/>
  <c r="I31" i="73"/>
  <c r="J31" i="73"/>
  <c r="K32" i="73"/>
  <c r="K33" i="73"/>
  <c r="K34" i="73"/>
  <c r="K35" i="73"/>
  <c r="K36" i="73"/>
  <c r="C37" i="73"/>
  <c r="D37" i="73"/>
  <c r="E37" i="73"/>
  <c r="F37" i="73"/>
  <c r="G37" i="73"/>
  <c r="H37" i="73"/>
  <c r="I37" i="73"/>
  <c r="J37" i="73"/>
  <c r="C38" i="73"/>
  <c r="D38" i="73"/>
  <c r="E38" i="73"/>
  <c r="F38" i="73"/>
  <c r="G38" i="73"/>
  <c r="H38" i="73"/>
  <c r="I38" i="73"/>
  <c r="J38" i="73"/>
  <c r="C39" i="73"/>
  <c r="D39" i="73"/>
  <c r="E39" i="73"/>
  <c r="F39" i="73"/>
  <c r="G39" i="73"/>
  <c r="H39" i="73"/>
  <c r="I39" i="73"/>
  <c r="J39" i="73"/>
  <c r="C40" i="73"/>
  <c r="D40" i="73"/>
  <c r="E40" i="73"/>
  <c r="F40" i="73"/>
  <c r="I40" i="73"/>
  <c r="J40" i="73"/>
  <c r="C41" i="73"/>
  <c r="D41" i="73"/>
  <c r="E41" i="73"/>
  <c r="F41" i="73"/>
  <c r="G41" i="73"/>
  <c r="H41" i="73"/>
  <c r="I41" i="73"/>
  <c r="J41" i="73"/>
  <c r="C42" i="73"/>
  <c r="D42" i="73"/>
  <c r="E42" i="73"/>
  <c r="F42" i="73"/>
  <c r="G42" i="73"/>
  <c r="H42" i="73"/>
  <c r="I42" i="73"/>
  <c r="J42" i="73"/>
  <c r="K44" i="73"/>
  <c r="K45" i="73"/>
  <c r="K46" i="73"/>
  <c r="K47" i="73"/>
  <c r="K48" i="73"/>
  <c r="K49" i="73"/>
  <c r="C50" i="73"/>
  <c r="D50" i="73"/>
  <c r="E50" i="73"/>
  <c r="F50" i="73"/>
  <c r="G50" i="73"/>
  <c r="H50" i="73"/>
  <c r="I50" i="73"/>
  <c r="J50" i="73"/>
  <c r="H8" i="72"/>
  <c r="H9" i="72"/>
  <c r="H11" i="72"/>
  <c r="H65" i="72" s="1"/>
  <c r="H14" i="72"/>
  <c r="H68" i="72" s="1"/>
  <c r="H16" i="72"/>
  <c r="H70" i="72" s="1"/>
  <c r="H17" i="72"/>
  <c r="H20" i="72"/>
  <c r="H24" i="72"/>
  <c r="H29" i="72"/>
  <c r="H60" i="72" s="1"/>
  <c r="H62" i="72"/>
  <c r="C60" i="72"/>
  <c r="D60" i="72"/>
  <c r="E60" i="72"/>
  <c r="F60" i="72"/>
  <c r="G60" i="72"/>
  <c r="C61" i="72"/>
  <c r="D61" i="72"/>
  <c r="E61" i="72"/>
  <c r="F61" i="72"/>
  <c r="G61" i="72"/>
  <c r="C62" i="72"/>
  <c r="D62" i="72"/>
  <c r="E62" i="72"/>
  <c r="F62" i="72"/>
  <c r="G62" i="72"/>
  <c r="C64" i="72"/>
  <c r="D64" i="72"/>
  <c r="E64" i="72"/>
  <c r="F64" i="72"/>
  <c r="G64" i="72"/>
  <c r="C66" i="72"/>
  <c r="D66" i="72"/>
  <c r="E66" i="72"/>
  <c r="F66" i="72"/>
  <c r="G66" i="72"/>
  <c r="C67" i="72"/>
  <c r="D67" i="72"/>
  <c r="E67" i="72"/>
  <c r="F67" i="72"/>
  <c r="G67" i="72"/>
  <c r="C68" i="72"/>
  <c r="D68" i="72"/>
  <c r="E68" i="72"/>
  <c r="F68" i="72"/>
  <c r="G68" i="72"/>
  <c r="G69" i="72"/>
  <c r="C71" i="72"/>
  <c r="D71" i="72"/>
  <c r="E71" i="72"/>
  <c r="F71" i="72"/>
  <c r="G71" i="72"/>
  <c r="C72" i="72"/>
  <c r="D72" i="72"/>
  <c r="E72" i="72"/>
  <c r="F72" i="72"/>
  <c r="G72" i="72"/>
  <c r="C73" i="72"/>
  <c r="D73" i="72"/>
  <c r="E73" i="72"/>
  <c r="F73" i="72"/>
  <c r="G73" i="72"/>
  <c r="C75" i="72"/>
  <c r="D75" i="72"/>
  <c r="E75" i="72"/>
  <c r="F75" i="72"/>
  <c r="G75" i="72"/>
  <c r="C76" i="72"/>
  <c r="D76" i="72"/>
  <c r="E76" i="72"/>
  <c r="F76" i="72"/>
  <c r="G76" i="72"/>
  <c r="C77" i="72"/>
  <c r="D77" i="72"/>
  <c r="E77" i="72"/>
  <c r="F77" i="72"/>
  <c r="G77" i="72"/>
  <c r="C79" i="72"/>
  <c r="D79" i="72"/>
  <c r="E79" i="72"/>
  <c r="F79" i="72"/>
  <c r="G79" i="72"/>
  <c r="A2" i="71"/>
  <c r="U8" i="71"/>
  <c r="U9" i="71"/>
  <c r="U10" i="71"/>
  <c r="U11" i="71"/>
  <c r="U12" i="71"/>
  <c r="U13" i="71"/>
  <c r="U14" i="71"/>
  <c r="U15" i="71"/>
  <c r="U16" i="71"/>
  <c r="U17" i="71"/>
  <c r="U18" i="71"/>
  <c r="U19" i="71"/>
  <c r="U20" i="71"/>
  <c r="U21" i="71"/>
  <c r="U26" i="71"/>
  <c r="U27" i="71"/>
  <c r="U28" i="71"/>
  <c r="U29" i="71"/>
  <c r="U30" i="71"/>
  <c r="U31" i="71"/>
  <c r="U32" i="71"/>
  <c r="U33" i="71"/>
  <c r="U34" i="71"/>
  <c r="U35" i="71"/>
  <c r="U36" i="71"/>
  <c r="U37" i="71"/>
  <c r="B38" i="71"/>
  <c r="D38" i="71"/>
  <c r="E38" i="71"/>
  <c r="F38" i="71"/>
  <c r="G38" i="71"/>
  <c r="H38" i="71"/>
  <c r="I38" i="71"/>
  <c r="J38" i="71"/>
  <c r="K38" i="71"/>
  <c r="L38" i="71"/>
  <c r="M38" i="71"/>
  <c r="N38" i="71"/>
  <c r="O38" i="71"/>
  <c r="P38" i="71"/>
  <c r="Q38" i="71"/>
  <c r="R38" i="71"/>
  <c r="S38" i="71"/>
  <c r="T38" i="71"/>
  <c r="AG11" i="70"/>
  <c r="AG14" i="70"/>
  <c r="AG15" i="70"/>
  <c r="AG17" i="70"/>
  <c r="AG18" i="70"/>
  <c r="AG19" i="70"/>
  <c r="AG20" i="70"/>
  <c r="AG21" i="70"/>
  <c r="AG22" i="70"/>
  <c r="AG23" i="70"/>
  <c r="AG24" i="70"/>
  <c r="AG25" i="70"/>
  <c r="AG27" i="70"/>
  <c r="AG28" i="70"/>
  <c r="AG29" i="70"/>
  <c r="AG30" i="70"/>
  <c r="AG31" i="70"/>
  <c r="AG32" i="70"/>
  <c r="C34" i="70"/>
  <c r="D34" i="70"/>
  <c r="E34" i="70"/>
  <c r="F34" i="70"/>
  <c r="AC34" i="70"/>
  <c r="AD34" i="70"/>
  <c r="AH34" i="70"/>
  <c r="F19" i="68"/>
  <c r="C24" i="68"/>
  <c r="D24" i="68"/>
  <c r="E24" i="68"/>
  <c r="N20" i="67"/>
  <c r="O20" i="67"/>
  <c r="P20" i="67"/>
  <c r="Q20" i="67"/>
  <c r="R20" i="67"/>
  <c r="N21" i="67"/>
  <c r="O21" i="67"/>
  <c r="P21" i="67"/>
  <c r="Q21" i="67"/>
  <c r="R21" i="67"/>
  <c r="N22" i="67"/>
  <c r="O22" i="67"/>
  <c r="P22" i="67"/>
  <c r="Q22" i="67"/>
  <c r="R22" i="67"/>
  <c r="N23" i="67"/>
  <c r="O23" i="67"/>
  <c r="P23" i="67"/>
  <c r="Q23" i="67"/>
  <c r="R23" i="67"/>
  <c r="N24" i="67"/>
  <c r="O24" i="67"/>
  <c r="P24" i="67"/>
  <c r="Q24" i="67"/>
  <c r="R24" i="67"/>
  <c r="N25" i="67"/>
  <c r="O25" i="67"/>
  <c r="P25" i="67"/>
  <c r="Q25" i="67"/>
  <c r="R25" i="67"/>
  <c r="N27" i="67"/>
  <c r="O27" i="67"/>
  <c r="P27" i="67"/>
  <c r="Q27" i="67"/>
  <c r="R27" i="67"/>
  <c r="C28" i="67"/>
  <c r="D28" i="67"/>
  <c r="E28" i="67"/>
  <c r="P32" i="67" s="1"/>
  <c r="F28" i="67"/>
  <c r="F29" i="67" s="1"/>
  <c r="Q19" i="67" s="1"/>
  <c r="G28" i="67"/>
  <c r="N28" i="67"/>
  <c r="O28" i="67"/>
  <c r="P28" i="67"/>
  <c r="Q28" i="67"/>
  <c r="R28" i="67"/>
  <c r="E29" i="67"/>
  <c r="P19" i="67" s="1"/>
  <c r="N29" i="67"/>
  <c r="O29" i="67"/>
  <c r="P29" i="67"/>
  <c r="Q29" i="67"/>
  <c r="R29" i="67"/>
  <c r="N30" i="67"/>
  <c r="O30" i="67"/>
  <c r="P30" i="67"/>
  <c r="Q30" i="67"/>
  <c r="R30" i="67"/>
  <c r="N31" i="67"/>
  <c r="O31" i="67"/>
  <c r="P31" i="67"/>
  <c r="Q31" i="67"/>
  <c r="R31" i="67"/>
  <c r="Q32" i="67"/>
  <c r="A133" i="67"/>
  <c r="A206" i="67" s="1"/>
  <c r="H5" i="66"/>
  <c r="J5" i="66"/>
  <c r="H6" i="66"/>
  <c r="J6" i="66"/>
  <c r="H7" i="66"/>
  <c r="J7" i="66"/>
  <c r="H8" i="66"/>
  <c r="J8" i="66"/>
  <c r="H9" i="66"/>
  <c r="J9" i="66"/>
  <c r="H10" i="66"/>
  <c r="J10" i="66"/>
  <c r="H11" i="66"/>
  <c r="J11" i="66"/>
  <c r="H12" i="66"/>
  <c r="J12" i="66"/>
  <c r="H13" i="66"/>
  <c r="J13" i="66"/>
  <c r="H14" i="66"/>
  <c r="J14" i="66"/>
  <c r="H15" i="66"/>
  <c r="J15" i="66"/>
  <c r="H16" i="66"/>
  <c r="J16" i="66"/>
  <c r="H17" i="66"/>
  <c r="J17" i="66"/>
  <c r="H18" i="66"/>
  <c r="J18" i="66"/>
  <c r="H19" i="66"/>
  <c r="J19" i="66"/>
  <c r="H20" i="66"/>
  <c r="J20" i="66"/>
  <c r="H21" i="66"/>
  <c r="J21" i="66"/>
  <c r="H22" i="66"/>
  <c r="J22" i="66"/>
  <c r="H23" i="66"/>
  <c r="J23" i="66"/>
  <c r="B24" i="66"/>
  <c r="C24" i="66"/>
  <c r="D24" i="66"/>
  <c r="E24" i="66"/>
  <c r="F24" i="66"/>
  <c r="G24" i="66"/>
  <c r="I24" i="66"/>
  <c r="H7" i="65"/>
  <c r="C26" i="65"/>
  <c r="C27" i="65"/>
  <c r="C28" i="65"/>
  <c r="C30" i="65"/>
  <c r="C31" i="65"/>
  <c r="C32" i="65"/>
  <c r="C34" i="65"/>
  <c r="E51" i="63"/>
  <c r="F51" i="63"/>
  <c r="G51" i="63"/>
  <c r="H51" i="63"/>
  <c r="I51" i="63"/>
  <c r="J51" i="63"/>
  <c r="K51" i="63"/>
  <c r="L51" i="63"/>
  <c r="M51" i="63"/>
  <c r="N51" i="63"/>
  <c r="O51" i="63"/>
  <c r="P51" i="63"/>
  <c r="Q51" i="63"/>
  <c r="R51" i="63"/>
  <c r="S51" i="63"/>
  <c r="T51" i="63"/>
  <c r="U51" i="63"/>
  <c r="V51" i="63"/>
  <c r="W51" i="63"/>
  <c r="X51" i="63"/>
  <c r="Y51" i="63"/>
  <c r="Z51" i="63"/>
  <c r="AA51" i="63"/>
  <c r="AB51" i="63"/>
  <c r="AC51" i="63"/>
  <c r="AD51" i="63"/>
  <c r="B9" i="62"/>
  <c r="C9" i="62"/>
  <c r="D9" i="62"/>
  <c r="E9" i="62"/>
  <c r="F9" i="62"/>
  <c r="G9" i="62"/>
  <c r="H9" i="62"/>
  <c r="I9" i="62"/>
  <c r="J9" i="62"/>
  <c r="K9" i="62"/>
  <c r="L9" i="62"/>
  <c r="M9" i="62"/>
  <c r="N9" i="62"/>
  <c r="O9" i="62"/>
  <c r="P9" i="62"/>
  <c r="AF9" i="62" s="1"/>
  <c r="Q9" i="62"/>
  <c r="AG9" i="62" s="1"/>
  <c r="S9" i="62"/>
  <c r="U9" i="62"/>
  <c r="V9" i="62"/>
  <c r="W9" i="62"/>
  <c r="X9" i="62"/>
  <c r="Y9" i="62"/>
  <c r="Z9" i="62"/>
  <c r="AA9" i="62"/>
  <c r="AB9" i="62"/>
  <c r="AC9" i="62"/>
  <c r="AD9" i="62"/>
  <c r="AE9" i="62"/>
  <c r="B10" i="62"/>
  <c r="C10" i="62"/>
  <c r="D10" i="62"/>
  <c r="E10" i="62"/>
  <c r="F10" i="62"/>
  <c r="G10" i="62"/>
  <c r="H10" i="62"/>
  <c r="I10" i="62"/>
  <c r="J10" i="62"/>
  <c r="K10" i="62"/>
  <c r="L10" i="62"/>
  <c r="M10" i="62"/>
  <c r="N10" i="62"/>
  <c r="O10" i="62"/>
  <c r="P10" i="62"/>
  <c r="Q10" i="62"/>
  <c r="AG10" i="62" s="1"/>
  <c r="S10" i="62"/>
  <c r="U10" i="62"/>
  <c r="V10" i="62"/>
  <c r="W10" i="62"/>
  <c r="X10" i="62"/>
  <c r="Y10" i="62"/>
  <c r="Z10" i="62"/>
  <c r="AA10" i="62"/>
  <c r="AB10" i="62"/>
  <c r="AC10" i="62"/>
  <c r="B11" i="62"/>
  <c r="C11" i="62"/>
  <c r="D11" i="62"/>
  <c r="E11" i="62"/>
  <c r="F11" i="62"/>
  <c r="G11" i="62"/>
  <c r="H11" i="62"/>
  <c r="I11" i="62"/>
  <c r="J11" i="62"/>
  <c r="K11" i="62"/>
  <c r="L11" i="62"/>
  <c r="M11" i="62"/>
  <c r="N11" i="62"/>
  <c r="AD11" i="62" s="1"/>
  <c r="O11" i="62"/>
  <c r="P11" i="62"/>
  <c r="Q11" i="62"/>
  <c r="AG11" i="62" s="1"/>
  <c r="S11" i="62"/>
  <c r="U11" i="62"/>
  <c r="V11" i="62"/>
  <c r="W11" i="62"/>
  <c r="X11" i="62"/>
  <c r="Y11" i="62"/>
  <c r="Z11" i="62"/>
  <c r="AA11" i="62"/>
  <c r="AB11" i="62"/>
  <c r="AB36" i="62" s="1"/>
  <c r="AC11" i="62"/>
  <c r="AE11" i="62"/>
  <c r="B12" i="62"/>
  <c r="C12" i="62"/>
  <c r="D12" i="62"/>
  <c r="E12" i="62"/>
  <c r="F12" i="62"/>
  <c r="G12" i="62"/>
  <c r="H12" i="62"/>
  <c r="I12" i="62"/>
  <c r="J12" i="62"/>
  <c r="K12" i="62"/>
  <c r="L12" i="62"/>
  <c r="M12" i="62"/>
  <c r="N12" i="62"/>
  <c r="O12" i="62"/>
  <c r="P12" i="62"/>
  <c r="Q12" i="62"/>
  <c r="S12" i="62"/>
  <c r="U12" i="62"/>
  <c r="V12" i="62"/>
  <c r="W12" i="62"/>
  <c r="X12" i="62"/>
  <c r="AF12" i="62" s="1"/>
  <c r="Y12" i="62"/>
  <c r="Z12" i="62"/>
  <c r="AA12" i="62"/>
  <c r="AB12" i="62"/>
  <c r="AC12" i="62"/>
  <c r="AG12" i="62"/>
  <c r="B13" i="62"/>
  <c r="C13" i="62"/>
  <c r="D13" i="62"/>
  <c r="E13" i="62"/>
  <c r="F13" i="62"/>
  <c r="G13" i="62"/>
  <c r="H13" i="62"/>
  <c r="I13" i="62"/>
  <c r="J13" i="62"/>
  <c r="K13" i="62"/>
  <c r="L13" i="62"/>
  <c r="M13" i="62"/>
  <c r="N13" i="62"/>
  <c r="AD13" i="62" s="1"/>
  <c r="O13" i="62"/>
  <c r="AE13" i="62" s="1"/>
  <c r="P13" i="62"/>
  <c r="Q13" i="62"/>
  <c r="S13" i="62"/>
  <c r="U13" i="62"/>
  <c r="V13" i="62"/>
  <c r="W13" i="62"/>
  <c r="X13" i="62"/>
  <c r="Y13" i="62"/>
  <c r="Z13" i="62"/>
  <c r="AA13" i="62"/>
  <c r="AB13" i="62"/>
  <c r="AC13" i="62"/>
  <c r="B14" i="62"/>
  <c r="C14" i="62"/>
  <c r="D14" i="62"/>
  <c r="E14" i="62"/>
  <c r="F14" i="62"/>
  <c r="G14" i="62"/>
  <c r="H14" i="62"/>
  <c r="I14" i="62"/>
  <c r="J14" i="62"/>
  <c r="K14" i="62"/>
  <c r="L14" i="62"/>
  <c r="M14" i="62"/>
  <c r="N14" i="62"/>
  <c r="AD14" i="62" s="1"/>
  <c r="O14" i="62"/>
  <c r="P14" i="62"/>
  <c r="Q14" i="62"/>
  <c r="AG14" i="62" s="1"/>
  <c r="S14" i="62"/>
  <c r="U14" i="62"/>
  <c r="V14" i="62"/>
  <c r="W14" i="62"/>
  <c r="X14" i="62"/>
  <c r="Y14" i="62"/>
  <c r="Z14" i="62"/>
  <c r="AA14" i="62"/>
  <c r="AB14" i="62"/>
  <c r="AC14" i="62"/>
  <c r="B15" i="62"/>
  <c r="C15" i="62"/>
  <c r="D15" i="62"/>
  <c r="D36" i="62" s="1"/>
  <c r="E15" i="62"/>
  <c r="F15" i="62"/>
  <c r="G15" i="62"/>
  <c r="H15" i="62"/>
  <c r="I15" i="62"/>
  <c r="J15" i="62"/>
  <c r="K15" i="62"/>
  <c r="L15" i="62"/>
  <c r="L36" i="62" s="1"/>
  <c r="M15" i="62"/>
  <c r="N15" i="62"/>
  <c r="O15" i="62"/>
  <c r="AE15" i="62" s="1"/>
  <c r="P15" i="62"/>
  <c r="P36" i="62" s="1"/>
  <c r="Q15" i="62"/>
  <c r="S15" i="62"/>
  <c r="U15" i="62"/>
  <c r="V15" i="62"/>
  <c r="W15" i="62"/>
  <c r="X15" i="62"/>
  <c r="Y15" i="62"/>
  <c r="Z15" i="62"/>
  <c r="AA15" i="62"/>
  <c r="AB15" i="62"/>
  <c r="AC15" i="62"/>
  <c r="AD15" i="62"/>
  <c r="B16" i="62"/>
  <c r="C16" i="62"/>
  <c r="D16" i="62"/>
  <c r="E16" i="62"/>
  <c r="F16" i="62"/>
  <c r="G16" i="62"/>
  <c r="H16" i="62"/>
  <c r="I16" i="62"/>
  <c r="J16" i="62"/>
  <c r="K16" i="62"/>
  <c r="L16" i="62"/>
  <c r="M16" i="62"/>
  <c r="N16" i="62"/>
  <c r="O16" i="62"/>
  <c r="AE16" i="62" s="1"/>
  <c r="P16" i="62"/>
  <c r="Q16" i="62"/>
  <c r="S16" i="62"/>
  <c r="U16" i="62"/>
  <c r="V16" i="62"/>
  <c r="W16" i="62"/>
  <c r="X16" i="62"/>
  <c r="Y16" i="62"/>
  <c r="Z16" i="62"/>
  <c r="AA16" i="62"/>
  <c r="AB16" i="62"/>
  <c r="AC16" i="62"/>
  <c r="AG16" i="62"/>
  <c r="B17" i="62"/>
  <c r="C17" i="62"/>
  <c r="D17" i="62"/>
  <c r="E17" i="62"/>
  <c r="F17" i="62"/>
  <c r="G17" i="62"/>
  <c r="H17" i="62"/>
  <c r="I17" i="62"/>
  <c r="J17" i="62"/>
  <c r="K17" i="62"/>
  <c r="L17" i="62"/>
  <c r="M17" i="62"/>
  <c r="N17" i="62"/>
  <c r="O17" i="62"/>
  <c r="P17" i="62"/>
  <c r="AF17" i="62" s="1"/>
  <c r="Q17" i="62"/>
  <c r="AG17" i="62" s="1"/>
  <c r="S17" i="62"/>
  <c r="U17" i="62"/>
  <c r="V17" i="62"/>
  <c r="W17" i="62"/>
  <c r="AE17" i="62" s="1"/>
  <c r="X17" i="62"/>
  <c r="Y17" i="62"/>
  <c r="Z17" i="62"/>
  <c r="AA17" i="62"/>
  <c r="AB17" i="62"/>
  <c r="AC17" i="62"/>
  <c r="AD17" i="62"/>
  <c r="B18" i="62"/>
  <c r="C18" i="62"/>
  <c r="D18" i="62"/>
  <c r="E18" i="62"/>
  <c r="F18" i="62"/>
  <c r="G18" i="62"/>
  <c r="H18" i="62"/>
  <c r="I18" i="62"/>
  <c r="J18" i="62"/>
  <c r="K18" i="62"/>
  <c r="L18" i="62"/>
  <c r="M18" i="62"/>
  <c r="N18" i="62"/>
  <c r="O18" i="62"/>
  <c r="P18" i="62"/>
  <c r="Q18" i="62"/>
  <c r="AG18" i="62" s="1"/>
  <c r="S18" i="62"/>
  <c r="U18" i="62"/>
  <c r="V18" i="62"/>
  <c r="W18" i="62"/>
  <c r="X18" i="62"/>
  <c r="Y18" i="62"/>
  <c r="Z18" i="62"/>
  <c r="AA18" i="62"/>
  <c r="AB18" i="62"/>
  <c r="AC18" i="62"/>
  <c r="B19" i="62"/>
  <c r="C19" i="62"/>
  <c r="D19" i="62"/>
  <c r="E19" i="62"/>
  <c r="F19" i="62"/>
  <c r="G19" i="62"/>
  <c r="H19" i="62"/>
  <c r="I19" i="62"/>
  <c r="J19" i="62"/>
  <c r="K19" i="62"/>
  <c r="L19" i="62"/>
  <c r="M19" i="62"/>
  <c r="N19" i="62"/>
  <c r="AD19" i="62" s="1"/>
  <c r="O19" i="62"/>
  <c r="P19" i="62"/>
  <c r="Q19" i="62"/>
  <c r="AG19" i="62" s="1"/>
  <c r="S19" i="62"/>
  <c r="U19" i="62"/>
  <c r="V19" i="62"/>
  <c r="W19" i="62"/>
  <c r="X19" i="62"/>
  <c r="Y19" i="62"/>
  <c r="Z19" i="62"/>
  <c r="AA19" i="62"/>
  <c r="AB19" i="62"/>
  <c r="AC19" i="62"/>
  <c r="AE19" i="62"/>
  <c r="B20" i="62"/>
  <c r="C20" i="62"/>
  <c r="D20" i="62"/>
  <c r="E20" i="62"/>
  <c r="F20" i="62"/>
  <c r="G20" i="62"/>
  <c r="H20" i="62"/>
  <c r="I20" i="62"/>
  <c r="J20" i="62"/>
  <c r="K20" i="62"/>
  <c r="L20" i="62"/>
  <c r="M20" i="62"/>
  <c r="N20" i="62"/>
  <c r="AD20" i="62" s="1"/>
  <c r="O20" i="62"/>
  <c r="P20" i="62"/>
  <c r="Q20" i="62"/>
  <c r="S20" i="62"/>
  <c r="U20" i="62"/>
  <c r="V20" i="62"/>
  <c r="W20" i="62"/>
  <c r="X20" i="62"/>
  <c r="Y20" i="62"/>
  <c r="Z20" i="62"/>
  <c r="AA20" i="62"/>
  <c r="AB20" i="62"/>
  <c r="AF20" i="62" s="1"/>
  <c r="AC20" i="62"/>
  <c r="AG20" i="62"/>
  <c r="B21" i="62"/>
  <c r="C21" i="62"/>
  <c r="D21" i="62"/>
  <c r="E21" i="62"/>
  <c r="F21" i="62"/>
  <c r="G21" i="62"/>
  <c r="H21" i="62"/>
  <c r="I21" i="62"/>
  <c r="J21" i="62"/>
  <c r="K21" i="62"/>
  <c r="L21" i="62"/>
  <c r="M21" i="62"/>
  <c r="N21" i="62"/>
  <c r="AD21" i="62" s="1"/>
  <c r="O21" i="62"/>
  <c r="AE21" i="62" s="1"/>
  <c r="P21" i="62"/>
  <c r="Q21" i="62"/>
  <c r="S21" i="62"/>
  <c r="U21" i="62"/>
  <c r="V21" i="62"/>
  <c r="W21" i="62"/>
  <c r="X21" i="62"/>
  <c r="Y21" i="62"/>
  <c r="Z21" i="62"/>
  <c r="AA21" i="62"/>
  <c r="AB21" i="62"/>
  <c r="AC21" i="62"/>
  <c r="B22" i="62"/>
  <c r="C22" i="62"/>
  <c r="D22" i="62"/>
  <c r="E22" i="62"/>
  <c r="F22" i="62"/>
  <c r="G22" i="62"/>
  <c r="H22" i="62"/>
  <c r="I22" i="62"/>
  <c r="J22" i="62"/>
  <c r="K22" i="62"/>
  <c r="L22" i="62"/>
  <c r="M22" i="62"/>
  <c r="N22" i="62"/>
  <c r="AD22" i="62" s="1"/>
  <c r="O22" i="62"/>
  <c r="AE22" i="62" s="1"/>
  <c r="P22" i="62"/>
  <c r="Q22" i="62"/>
  <c r="S22" i="62"/>
  <c r="U22" i="62"/>
  <c r="V22" i="62"/>
  <c r="W22" i="62"/>
  <c r="X22" i="62"/>
  <c r="AF22" i="62" s="1"/>
  <c r="Y22" i="62"/>
  <c r="AG22" i="62" s="1"/>
  <c r="Z22" i="62"/>
  <c r="AA22" i="62"/>
  <c r="AB22" i="62"/>
  <c r="AC22" i="62"/>
  <c r="B23" i="62"/>
  <c r="C23" i="62"/>
  <c r="D23" i="62"/>
  <c r="E23" i="62"/>
  <c r="F23" i="62"/>
  <c r="G23" i="62"/>
  <c r="H23" i="62"/>
  <c r="I23" i="62"/>
  <c r="J23" i="62"/>
  <c r="K23" i="62"/>
  <c r="L23" i="62"/>
  <c r="M23" i="62"/>
  <c r="N23" i="62"/>
  <c r="O23" i="62"/>
  <c r="P23" i="62"/>
  <c r="Q23" i="62"/>
  <c r="S23" i="62"/>
  <c r="U23" i="62"/>
  <c r="V23" i="62"/>
  <c r="W23" i="62"/>
  <c r="X23" i="62"/>
  <c r="Y23" i="62"/>
  <c r="Z23" i="62"/>
  <c r="AA23" i="62"/>
  <c r="AB23" i="62"/>
  <c r="AC23" i="62"/>
  <c r="B24" i="62"/>
  <c r="C24" i="62"/>
  <c r="D24" i="62"/>
  <c r="E24" i="62"/>
  <c r="F24" i="62"/>
  <c r="G24" i="62"/>
  <c r="H24" i="62"/>
  <c r="I24" i="62"/>
  <c r="J24" i="62"/>
  <c r="K24" i="62"/>
  <c r="L24" i="62"/>
  <c r="M24" i="62"/>
  <c r="N24" i="62"/>
  <c r="O24" i="62"/>
  <c r="P24" i="62"/>
  <c r="Q24" i="62"/>
  <c r="S24" i="62"/>
  <c r="U24" i="62"/>
  <c r="V24" i="62"/>
  <c r="W24" i="62"/>
  <c r="X24" i="62"/>
  <c r="Y24" i="62"/>
  <c r="Z24" i="62"/>
  <c r="AA24" i="62"/>
  <c r="AB24" i="62"/>
  <c r="AC24" i="62"/>
  <c r="B25" i="62"/>
  <c r="C25" i="62"/>
  <c r="D25" i="62"/>
  <c r="E25" i="62"/>
  <c r="F25" i="62"/>
  <c r="G25" i="62"/>
  <c r="H25" i="62"/>
  <c r="I25" i="62"/>
  <c r="J25" i="62"/>
  <c r="K25" i="62"/>
  <c r="L25" i="62"/>
  <c r="M25" i="62"/>
  <c r="N25" i="62"/>
  <c r="AD25" i="62" s="1"/>
  <c r="O25" i="62"/>
  <c r="AE25" i="62" s="1"/>
  <c r="P25" i="62"/>
  <c r="Q25" i="62"/>
  <c r="S25" i="62"/>
  <c r="U25" i="62"/>
  <c r="V25" i="62"/>
  <c r="W25" i="62"/>
  <c r="X25" i="62"/>
  <c r="Y25" i="62"/>
  <c r="Z25" i="62"/>
  <c r="AA25" i="62"/>
  <c r="AB25" i="62"/>
  <c r="AC25" i="62"/>
  <c r="B26" i="62"/>
  <c r="C26" i="62"/>
  <c r="D26" i="62"/>
  <c r="E26" i="62"/>
  <c r="F26" i="62"/>
  <c r="G26" i="62"/>
  <c r="H26" i="62"/>
  <c r="I26" i="62"/>
  <c r="J26" i="62"/>
  <c r="K26" i="62"/>
  <c r="L26" i="62"/>
  <c r="M26" i="62"/>
  <c r="N26" i="62"/>
  <c r="AD26" i="62" s="1"/>
  <c r="O26" i="62"/>
  <c r="AE26" i="62" s="1"/>
  <c r="P26" i="62"/>
  <c r="Q26" i="62"/>
  <c r="S26" i="62"/>
  <c r="U26" i="62"/>
  <c r="V26" i="62"/>
  <c r="W26" i="62"/>
  <c r="X26" i="62"/>
  <c r="Y26" i="62"/>
  <c r="AG26" i="62" s="1"/>
  <c r="Z26" i="62"/>
  <c r="AA26" i="62"/>
  <c r="AB26" i="62"/>
  <c r="AC26" i="62"/>
  <c r="B27" i="62"/>
  <c r="C27" i="62"/>
  <c r="D27" i="62"/>
  <c r="E27" i="62"/>
  <c r="F27" i="62"/>
  <c r="G27" i="62"/>
  <c r="H27" i="62"/>
  <c r="I27" i="62"/>
  <c r="J27" i="62"/>
  <c r="K27" i="62"/>
  <c r="L27" i="62"/>
  <c r="M27" i="62"/>
  <c r="N27" i="62"/>
  <c r="O27" i="62"/>
  <c r="P27" i="62"/>
  <c r="AF27" i="62" s="1"/>
  <c r="Q27" i="62"/>
  <c r="AG27" i="62" s="1"/>
  <c r="S27" i="62"/>
  <c r="U27" i="62"/>
  <c r="V27" i="62"/>
  <c r="W27" i="62"/>
  <c r="X27" i="62"/>
  <c r="Y27" i="62"/>
  <c r="Z27" i="62"/>
  <c r="AA27" i="62"/>
  <c r="AB27" i="62"/>
  <c r="AC27" i="62"/>
  <c r="AD27" i="62"/>
  <c r="AE27" i="62"/>
  <c r="B28" i="62"/>
  <c r="C28" i="62"/>
  <c r="D28" i="62"/>
  <c r="E28" i="62"/>
  <c r="F28" i="62"/>
  <c r="G28" i="62"/>
  <c r="H28" i="62"/>
  <c r="I28" i="62"/>
  <c r="J28" i="62"/>
  <c r="K28" i="62"/>
  <c r="L28" i="62"/>
  <c r="M28" i="62"/>
  <c r="N28" i="62"/>
  <c r="O28" i="62"/>
  <c r="P28" i="62"/>
  <c r="Q28" i="62"/>
  <c r="S28" i="62"/>
  <c r="U28" i="62"/>
  <c r="V28" i="62"/>
  <c r="W28" i="62"/>
  <c r="X28" i="62"/>
  <c r="Y28" i="62"/>
  <c r="Z28" i="62"/>
  <c r="AA28" i="62"/>
  <c r="AB28" i="62"/>
  <c r="AC28" i="62"/>
  <c r="B29" i="62"/>
  <c r="C29" i="62"/>
  <c r="D29" i="62"/>
  <c r="E29" i="62"/>
  <c r="F29" i="62"/>
  <c r="G29" i="62"/>
  <c r="H29" i="62"/>
  <c r="I29" i="62"/>
  <c r="J29" i="62"/>
  <c r="K29" i="62"/>
  <c r="L29" i="62"/>
  <c r="M29" i="62"/>
  <c r="N29" i="62"/>
  <c r="AD29" i="62" s="1"/>
  <c r="O29" i="62"/>
  <c r="AE29" i="62" s="1"/>
  <c r="P29" i="62"/>
  <c r="Q29" i="62"/>
  <c r="S29" i="62"/>
  <c r="U29" i="62"/>
  <c r="V29" i="62"/>
  <c r="W29" i="62"/>
  <c r="X29" i="62"/>
  <c r="Y29" i="62"/>
  <c r="Z29" i="62"/>
  <c r="AA29" i="62"/>
  <c r="AB29" i="62"/>
  <c r="AC29" i="62"/>
  <c r="B30" i="62"/>
  <c r="C30" i="62"/>
  <c r="D30" i="62"/>
  <c r="E30" i="62"/>
  <c r="F30" i="62"/>
  <c r="G30" i="62"/>
  <c r="H30" i="62"/>
  <c r="I30" i="62"/>
  <c r="J30" i="62"/>
  <c r="K30" i="62"/>
  <c r="L30" i="62"/>
  <c r="M30" i="62"/>
  <c r="N30" i="62"/>
  <c r="AD30" i="62" s="1"/>
  <c r="O30" i="62"/>
  <c r="P30" i="62"/>
  <c r="Q30" i="62"/>
  <c r="S30" i="62"/>
  <c r="U30" i="62"/>
  <c r="V30" i="62"/>
  <c r="W30" i="62"/>
  <c r="X30" i="62"/>
  <c r="Y30" i="62"/>
  <c r="AG30" i="62" s="1"/>
  <c r="Z30" i="62"/>
  <c r="AA30" i="62"/>
  <c r="AB30" i="62"/>
  <c r="AC30" i="62"/>
  <c r="B31" i="62"/>
  <c r="C31" i="62"/>
  <c r="D31" i="62"/>
  <c r="E31" i="62"/>
  <c r="F31" i="62"/>
  <c r="G31" i="62"/>
  <c r="H31" i="62"/>
  <c r="I31" i="62"/>
  <c r="J31" i="62"/>
  <c r="K31" i="62"/>
  <c r="L31" i="62"/>
  <c r="M31" i="62"/>
  <c r="N31" i="62"/>
  <c r="O31" i="62"/>
  <c r="P31" i="62"/>
  <c r="Q31" i="62"/>
  <c r="S31" i="62"/>
  <c r="U31" i="62"/>
  <c r="V31" i="62"/>
  <c r="W31" i="62"/>
  <c r="AE31" i="62" s="1"/>
  <c r="X31" i="62"/>
  <c r="Y31" i="62"/>
  <c r="Z31" i="62"/>
  <c r="AC31" i="62"/>
  <c r="B32" i="62"/>
  <c r="C32" i="62"/>
  <c r="D32" i="62"/>
  <c r="E32" i="62"/>
  <c r="F32" i="62"/>
  <c r="G32" i="62"/>
  <c r="H32" i="62"/>
  <c r="I32" i="62"/>
  <c r="J32" i="62"/>
  <c r="K32" i="62"/>
  <c r="L32" i="62"/>
  <c r="M32" i="62"/>
  <c r="N32" i="62"/>
  <c r="O32" i="62"/>
  <c r="P32" i="62"/>
  <c r="AF32" i="62" s="1"/>
  <c r="Q32" i="62"/>
  <c r="S32" i="62"/>
  <c r="U32" i="62"/>
  <c r="V32" i="62"/>
  <c r="W32" i="62"/>
  <c r="X32" i="62"/>
  <c r="Y32" i="62"/>
  <c r="Z32" i="62"/>
  <c r="AA32" i="62"/>
  <c r="AB32" i="62"/>
  <c r="AC32" i="62"/>
  <c r="AD32" i="62"/>
  <c r="B33" i="62"/>
  <c r="C33" i="62"/>
  <c r="D33" i="62"/>
  <c r="E33" i="62"/>
  <c r="F33" i="62"/>
  <c r="G33" i="62"/>
  <c r="H33" i="62"/>
  <c r="I33" i="62"/>
  <c r="J33" i="62"/>
  <c r="K33" i="62"/>
  <c r="L33" i="62"/>
  <c r="M33" i="62"/>
  <c r="N33" i="62"/>
  <c r="AD33" i="62" s="1"/>
  <c r="O33" i="62"/>
  <c r="P33" i="62"/>
  <c r="Q33" i="62"/>
  <c r="AG33" i="62" s="1"/>
  <c r="S33" i="62"/>
  <c r="U33" i="62"/>
  <c r="V33" i="62"/>
  <c r="W33" i="62"/>
  <c r="X33" i="62"/>
  <c r="AF33" i="62" s="1"/>
  <c r="Y33" i="62"/>
  <c r="Z33" i="62"/>
  <c r="AA33" i="62"/>
  <c r="AB33" i="62"/>
  <c r="AC33" i="62"/>
  <c r="B34" i="62"/>
  <c r="C34" i="62"/>
  <c r="D34" i="62"/>
  <c r="E34" i="62"/>
  <c r="F34" i="62"/>
  <c r="G34" i="62"/>
  <c r="H34" i="62"/>
  <c r="I34" i="62"/>
  <c r="J34" i="62"/>
  <c r="K34" i="62"/>
  <c r="L34" i="62"/>
  <c r="M34" i="62"/>
  <c r="N34" i="62"/>
  <c r="AD34" i="62" s="1"/>
  <c r="O34" i="62"/>
  <c r="AE34" i="62" s="1"/>
  <c r="P34" i="62"/>
  <c r="Q34" i="62"/>
  <c r="S34" i="62"/>
  <c r="U34" i="62"/>
  <c r="V34" i="62"/>
  <c r="W34" i="62"/>
  <c r="X34" i="62"/>
  <c r="Y34" i="62"/>
  <c r="AG34" i="62" s="1"/>
  <c r="Z34" i="62"/>
  <c r="AA34" i="62"/>
  <c r="AB34" i="62"/>
  <c r="AC34" i="62"/>
  <c r="B35" i="62"/>
  <c r="C35" i="62"/>
  <c r="D35" i="62"/>
  <c r="E35" i="62"/>
  <c r="F35" i="62"/>
  <c r="G35" i="62"/>
  <c r="H35" i="62"/>
  <c r="I35" i="62"/>
  <c r="J35" i="62"/>
  <c r="K35" i="62"/>
  <c r="L35" i="62"/>
  <c r="M35" i="62"/>
  <c r="N35" i="62"/>
  <c r="O35" i="62"/>
  <c r="P35" i="62"/>
  <c r="AF35" i="62" s="1"/>
  <c r="Q35" i="62"/>
  <c r="S35" i="62"/>
  <c r="U35" i="62"/>
  <c r="V35" i="62"/>
  <c r="W35" i="62"/>
  <c r="X35" i="62"/>
  <c r="Y35" i="62"/>
  <c r="Z35" i="62"/>
  <c r="AA35" i="62"/>
  <c r="AB35" i="62"/>
  <c r="AC35" i="62"/>
  <c r="Q36" i="62"/>
  <c r="B39" i="62"/>
  <c r="C39" i="62"/>
  <c r="D39" i="62"/>
  <c r="F39" i="62"/>
  <c r="G39" i="62"/>
  <c r="H39" i="62"/>
  <c r="I39" i="62"/>
  <c r="J39" i="62"/>
  <c r="K39" i="62"/>
  <c r="L39" i="62"/>
  <c r="M39" i="62"/>
  <c r="N39" i="62"/>
  <c r="O39" i="62"/>
  <c r="P39" i="62"/>
  <c r="Q39" i="62"/>
  <c r="AG39" i="62" s="1"/>
  <c r="S39" i="62"/>
  <c r="U39" i="62"/>
  <c r="V39" i="62"/>
  <c r="W39" i="62"/>
  <c r="X39" i="62"/>
  <c r="Y39" i="62"/>
  <c r="B40" i="62"/>
  <c r="C40" i="62"/>
  <c r="D40" i="62"/>
  <c r="F40" i="62"/>
  <c r="G40" i="62"/>
  <c r="H40" i="62"/>
  <c r="I40" i="62"/>
  <c r="J40" i="62"/>
  <c r="K40" i="62"/>
  <c r="L40" i="62"/>
  <c r="M40" i="62"/>
  <c r="N40" i="62"/>
  <c r="O40" i="62"/>
  <c r="P40" i="62"/>
  <c r="Q40" i="62"/>
  <c r="AG40" i="62" s="1"/>
  <c r="S40" i="62"/>
  <c r="U40" i="62"/>
  <c r="V40" i="62"/>
  <c r="W40" i="62"/>
  <c r="X40" i="62"/>
  <c r="Y40" i="62"/>
  <c r="B41" i="62"/>
  <c r="C41" i="62"/>
  <c r="D41" i="62"/>
  <c r="F41" i="62"/>
  <c r="G41" i="62"/>
  <c r="H41" i="62"/>
  <c r="I41" i="62"/>
  <c r="J41" i="62"/>
  <c r="K41" i="62"/>
  <c r="L41" i="62"/>
  <c r="M41" i="62"/>
  <c r="N41" i="62"/>
  <c r="O41" i="62"/>
  <c r="P41" i="62"/>
  <c r="Q41" i="62"/>
  <c r="AG41" i="62" s="1"/>
  <c r="S41" i="62"/>
  <c r="U41" i="62"/>
  <c r="V41" i="62"/>
  <c r="W41" i="62"/>
  <c r="X41" i="62"/>
  <c r="Y41" i="62"/>
  <c r="B42" i="62"/>
  <c r="C42" i="62"/>
  <c r="D42" i="62"/>
  <c r="F42" i="62"/>
  <c r="G42" i="62"/>
  <c r="H42" i="62"/>
  <c r="I42" i="62"/>
  <c r="J42" i="62"/>
  <c r="K42" i="62"/>
  <c r="L42" i="62"/>
  <c r="M42" i="62"/>
  <c r="N42" i="62"/>
  <c r="O42" i="62"/>
  <c r="P42" i="62"/>
  <c r="Q42" i="62"/>
  <c r="AG42" i="62" s="1"/>
  <c r="S42" i="62"/>
  <c r="U42" i="62"/>
  <c r="V42" i="62"/>
  <c r="W42" i="62"/>
  <c r="X42" i="62"/>
  <c r="Y42" i="62"/>
  <c r="B43" i="62"/>
  <c r="C43" i="62"/>
  <c r="D43" i="62"/>
  <c r="F43" i="62"/>
  <c r="G43" i="62"/>
  <c r="H43" i="62"/>
  <c r="I43" i="62"/>
  <c r="J43" i="62"/>
  <c r="K43" i="62"/>
  <c r="L43" i="62"/>
  <c r="M43" i="62"/>
  <c r="N43" i="62"/>
  <c r="O43" i="62"/>
  <c r="P43" i="62"/>
  <c r="Q43" i="62"/>
  <c r="AG43" i="62" s="1"/>
  <c r="S43" i="62"/>
  <c r="U43" i="62"/>
  <c r="V43" i="62"/>
  <c r="W43" i="62"/>
  <c r="X43" i="62"/>
  <c r="Y43" i="62"/>
  <c r="B44" i="62"/>
  <c r="C44" i="62"/>
  <c r="D44" i="62"/>
  <c r="F44" i="62"/>
  <c r="G44" i="62"/>
  <c r="H44" i="62"/>
  <c r="I44" i="62"/>
  <c r="J44" i="62"/>
  <c r="K44" i="62"/>
  <c r="L44" i="62"/>
  <c r="M44" i="62"/>
  <c r="N44" i="62"/>
  <c r="O44" i="62"/>
  <c r="P44" i="62"/>
  <c r="Q44" i="62"/>
  <c r="AG44" i="62" s="1"/>
  <c r="S44" i="62"/>
  <c r="U44" i="62"/>
  <c r="V44" i="62"/>
  <c r="W44" i="62"/>
  <c r="X44" i="62"/>
  <c r="Y44" i="62"/>
  <c r="B45" i="62"/>
  <c r="C45" i="62"/>
  <c r="D45" i="62"/>
  <c r="F45" i="62"/>
  <c r="G45" i="62"/>
  <c r="H45" i="62"/>
  <c r="I45" i="62"/>
  <c r="J45" i="62"/>
  <c r="K45" i="62"/>
  <c r="L45" i="62"/>
  <c r="M45" i="62"/>
  <c r="N45" i="62"/>
  <c r="O45" i="62"/>
  <c r="P45" i="62"/>
  <c r="Q45" i="62"/>
  <c r="AG45" i="62" s="1"/>
  <c r="S45" i="62"/>
  <c r="U45" i="62"/>
  <c r="V45" i="62"/>
  <c r="W45" i="62"/>
  <c r="X45" i="62"/>
  <c r="Y45" i="62"/>
  <c r="A46" i="62"/>
  <c r="B46" i="62"/>
  <c r="C46" i="62"/>
  <c r="D46" i="62"/>
  <c r="F46" i="62"/>
  <c r="G46" i="62"/>
  <c r="H46" i="62"/>
  <c r="I46" i="62"/>
  <c r="J46" i="62"/>
  <c r="K46" i="62"/>
  <c r="L46" i="62"/>
  <c r="M46" i="62"/>
  <c r="N46" i="62"/>
  <c r="O46" i="62"/>
  <c r="P46" i="62"/>
  <c r="Q46" i="62"/>
  <c r="AG46" i="62" s="1"/>
  <c r="S46" i="62"/>
  <c r="U46" i="62"/>
  <c r="V46" i="62"/>
  <c r="W46" i="62"/>
  <c r="X46" i="62"/>
  <c r="Y46" i="62"/>
  <c r="B47" i="62"/>
  <c r="C47" i="62"/>
  <c r="D47" i="62"/>
  <c r="F47" i="62"/>
  <c r="G47" i="62"/>
  <c r="H47" i="62"/>
  <c r="I47" i="62"/>
  <c r="J47" i="62"/>
  <c r="K47" i="62"/>
  <c r="L47" i="62"/>
  <c r="M47" i="62"/>
  <c r="N47" i="62"/>
  <c r="O47" i="62"/>
  <c r="P47" i="62"/>
  <c r="Q47" i="62"/>
  <c r="S47" i="62"/>
  <c r="U47" i="62"/>
  <c r="V47" i="62"/>
  <c r="W47" i="62"/>
  <c r="X47" i="62"/>
  <c r="Y47" i="62"/>
  <c r="AD9" i="61"/>
  <c r="AE9" i="61"/>
  <c r="AF9" i="61"/>
  <c r="AG9" i="61"/>
  <c r="AD10" i="61"/>
  <c r="AE10" i="61"/>
  <c r="AF10" i="61"/>
  <c r="AG10" i="61"/>
  <c r="AD11" i="61"/>
  <c r="AE11" i="61"/>
  <c r="AF11" i="61"/>
  <c r="AG11" i="61"/>
  <c r="AD12" i="61"/>
  <c r="AE12" i="61"/>
  <c r="AF12" i="61"/>
  <c r="AG12" i="61"/>
  <c r="AD13" i="61"/>
  <c r="AE13" i="61"/>
  <c r="AF13" i="61"/>
  <c r="AG13" i="61"/>
  <c r="AD14" i="61"/>
  <c r="AE14" i="61"/>
  <c r="AF14" i="61"/>
  <c r="AG14" i="61"/>
  <c r="AD15" i="61"/>
  <c r="AE15" i="61"/>
  <c r="AF15" i="61"/>
  <c r="AG15" i="61"/>
  <c r="AD16" i="61"/>
  <c r="AE16" i="61"/>
  <c r="AF16" i="61"/>
  <c r="AG16" i="61"/>
  <c r="AD17" i="61"/>
  <c r="AE17" i="61"/>
  <c r="AF17" i="61"/>
  <c r="AG17" i="61"/>
  <c r="AD18" i="61"/>
  <c r="AE18" i="61"/>
  <c r="AF18" i="61"/>
  <c r="AG18" i="61"/>
  <c r="AD19" i="61"/>
  <c r="AE19" i="61"/>
  <c r="AF19" i="61"/>
  <c r="AG19" i="61"/>
  <c r="AD20" i="61"/>
  <c r="AE20" i="61"/>
  <c r="AF20" i="61"/>
  <c r="AG20" i="61"/>
  <c r="AD21" i="61"/>
  <c r="AE21" i="61"/>
  <c r="AF21" i="61"/>
  <c r="AG21" i="61"/>
  <c r="AD22" i="61"/>
  <c r="AE22" i="61"/>
  <c r="AF22" i="61"/>
  <c r="AG22" i="61"/>
  <c r="AG23" i="61"/>
  <c r="AD24" i="61"/>
  <c r="AE24" i="61"/>
  <c r="AF24" i="61"/>
  <c r="AG24" i="61"/>
  <c r="AD25" i="61"/>
  <c r="AE25" i="61"/>
  <c r="AF25" i="61"/>
  <c r="AG25" i="61"/>
  <c r="AD26" i="61"/>
  <c r="AE26" i="61"/>
  <c r="AF26" i="61"/>
  <c r="AG26" i="61"/>
  <c r="AD27" i="61"/>
  <c r="AE27" i="61"/>
  <c r="AF27" i="61"/>
  <c r="AG27" i="61"/>
  <c r="AD28" i="61"/>
  <c r="AE28" i="61"/>
  <c r="AF28" i="61"/>
  <c r="AG28" i="61"/>
  <c r="AD29" i="61"/>
  <c r="AE29" i="61"/>
  <c r="AF29" i="61"/>
  <c r="AG29" i="61"/>
  <c r="AD30" i="61"/>
  <c r="AE30" i="61"/>
  <c r="AF30" i="61"/>
  <c r="AG30" i="61"/>
  <c r="AD31" i="61"/>
  <c r="AE31" i="61"/>
  <c r="AF31" i="61"/>
  <c r="AG31" i="61"/>
  <c r="AD32" i="61"/>
  <c r="AE32" i="61"/>
  <c r="AF32" i="61"/>
  <c r="AG32" i="61"/>
  <c r="AD33" i="61"/>
  <c r="AE33" i="61"/>
  <c r="AF33" i="61"/>
  <c r="AG33" i="61"/>
  <c r="AD34" i="61"/>
  <c r="AE34" i="61"/>
  <c r="AF34" i="61"/>
  <c r="AG34" i="61"/>
  <c r="AD35" i="61"/>
  <c r="AE35" i="61"/>
  <c r="AF35" i="61"/>
  <c r="AG35" i="61"/>
  <c r="J36" i="61"/>
  <c r="K36" i="61"/>
  <c r="L36" i="61"/>
  <c r="M36" i="61"/>
  <c r="Q36" i="61"/>
  <c r="S36" i="61"/>
  <c r="U36" i="61"/>
  <c r="V36" i="61"/>
  <c r="W36" i="61"/>
  <c r="X36" i="61"/>
  <c r="Y36" i="61"/>
  <c r="Z36" i="61"/>
  <c r="AA36" i="61"/>
  <c r="AB36" i="61"/>
  <c r="AC36" i="61"/>
  <c r="AD39" i="61"/>
  <c r="AF39" i="61"/>
  <c r="AG39" i="61"/>
  <c r="AD40" i="61"/>
  <c r="AF40" i="61"/>
  <c r="AG40" i="61"/>
  <c r="AD41" i="61"/>
  <c r="AF41" i="61"/>
  <c r="AG41" i="61"/>
  <c r="AD42" i="61"/>
  <c r="AF42" i="61"/>
  <c r="AG42" i="61"/>
  <c r="AD43" i="61"/>
  <c r="AF43" i="61"/>
  <c r="AG43" i="61"/>
  <c r="AD44" i="61"/>
  <c r="AF44" i="61"/>
  <c r="AG44" i="61"/>
  <c r="AD45" i="61"/>
  <c r="AF45" i="61"/>
  <c r="AG45" i="61"/>
  <c r="A46" i="61"/>
  <c r="AD46" i="61"/>
  <c r="AF46" i="61"/>
  <c r="AG46" i="61"/>
  <c r="AD47" i="61"/>
  <c r="AG47" i="61"/>
  <c r="AD9" i="60"/>
  <c r="AE9" i="60"/>
  <c r="AF9" i="60"/>
  <c r="AG9" i="60"/>
  <c r="AD10" i="60"/>
  <c r="AE10" i="60"/>
  <c r="AF10" i="60"/>
  <c r="AG10" i="60"/>
  <c r="AD11" i="60"/>
  <c r="AE11" i="60"/>
  <c r="AF11" i="60"/>
  <c r="AG11" i="60"/>
  <c r="AD12" i="60"/>
  <c r="AE12" i="60"/>
  <c r="AF12" i="60"/>
  <c r="AG12" i="60"/>
  <c r="AD13" i="60"/>
  <c r="AE13" i="60"/>
  <c r="AF13" i="60"/>
  <c r="AG13" i="60"/>
  <c r="AD14" i="60"/>
  <c r="AE14" i="60"/>
  <c r="AF14" i="60"/>
  <c r="AG14" i="60"/>
  <c r="AD15" i="60"/>
  <c r="AE15" i="60"/>
  <c r="AF15" i="60"/>
  <c r="AG15" i="60"/>
  <c r="AD16" i="60"/>
  <c r="AE16" i="60"/>
  <c r="AF16" i="60"/>
  <c r="AG16" i="60"/>
  <c r="AD17" i="60"/>
  <c r="AE17" i="60"/>
  <c r="AF17" i="60"/>
  <c r="AG17" i="60"/>
  <c r="AD18" i="60"/>
  <c r="AE18" i="60"/>
  <c r="AF18" i="60"/>
  <c r="AG18" i="60"/>
  <c r="AD19" i="60"/>
  <c r="AE19" i="60"/>
  <c r="AF19" i="60"/>
  <c r="AG19" i="60"/>
  <c r="AD20" i="60"/>
  <c r="AE20" i="60"/>
  <c r="AF20" i="60"/>
  <c r="AG20" i="60"/>
  <c r="AD21" i="60"/>
  <c r="AE21" i="60"/>
  <c r="AF21" i="60"/>
  <c r="AG21" i="60"/>
  <c r="AD22" i="60"/>
  <c r="AE22" i="60"/>
  <c r="AF22" i="60"/>
  <c r="AG22" i="60"/>
  <c r="AG23" i="60"/>
  <c r="AD24" i="60"/>
  <c r="AE24" i="60"/>
  <c r="AF24" i="60"/>
  <c r="AG24" i="60"/>
  <c r="AD25" i="60"/>
  <c r="AE25" i="60"/>
  <c r="AF25" i="60"/>
  <c r="AG25" i="60"/>
  <c r="AD26" i="60"/>
  <c r="AE26" i="60"/>
  <c r="AF26" i="60"/>
  <c r="AG26" i="60"/>
  <c r="AD27" i="60"/>
  <c r="AE27" i="60"/>
  <c r="AF27" i="60"/>
  <c r="AG27" i="60"/>
  <c r="AD28" i="60"/>
  <c r="AE28" i="60"/>
  <c r="AF28" i="60"/>
  <c r="AG28" i="60"/>
  <c r="AD29" i="60"/>
  <c r="AE29" i="60"/>
  <c r="AF29" i="60"/>
  <c r="AG29" i="60"/>
  <c r="AD30" i="60"/>
  <c r="AE30" i="60"/>
  <c r="AF30" i="60"/>
  <c r="AG30" i="60"/>
  <c r="AD31" i="60"/>
  <c r="AE31" i="60"/>
  <c r="AF31" i="60"/>
  <c r="AG31" i="60"/>
  <c r="AD32" i="60"/>
  <c r="AE32" i="60"/>
  <c r="AF32" i="60"/>
  <c r="AG32" i="60"/>
  <c r="AD33" i="60"/>
  <c r="AE33" i="60"/>
  <c r="AF33" i="60"/>
  <c r="AG33" i="60"/>
  <c r="AD34" i="60"/>
  <c r="AE34" i="60"/>
  <c r="AF34" i="60"/>
  <c r="AG34" i="60"/>
  <c r="AD35" i="60"/>
  <c r="AE35" i="60"/>
  <c r="AF35" i="60"/>
  <c r="AG35" i="60"/>
  <c r="J36" i="60"/>
  <c r="K36" i="60"/>
  <c r="L36" i="60"/>
  <c r="M36" i="60"/>
  <c r="Q36" i="60"/>
  <c r="S36" i="60"/>
  <c r="U36" i="60"/>
  <c r="V36" i="60"/>
  <c r="W36" i="60"/>
  <c r="X36" i="60"/>
  <c r="Y36" i="60"/>
  <c r="Z36" i="60"/>
  <c r="AA36" i="60"/>
  <c r="AB36" i="60"/>
  <c r="AC36" i="60"/>
  <c r="AD39" i="60"/>
  <c r="AE39" i="60"/>
  <c r="AF39" i="60"/>
  <c r="AG39" i="60"/>
  <c r="AD40" i="60"/>
  <c r="AE40" i="60"/>
  <c r="AF40" i="60"/>
  <c r="AG40" i="60"/>
  <c r="AD41" i="60"/>
  <c r="AE41" i="60"/>
  <c r="AF41" i="60"/>
  <c r="AG41" i="60"/>
  <c r="AD42" i="60"/>
  <c r="AE42" i="60"/>
  <c r="AF42" i="60"/>
  <c r="AG42" i="60"/>
  <c r="AD43" i="60"/>
  <c r="AE43" i="60"/>
  <c r="AF43" i="60"/>
  <c r="AG43" i="60"/>
  <c r="AD44" i="60"/>
  <c r="AE44" i="60"/>
  <c r="AF44" i="60"/>
  <c r="AG44" i="60"/>
  <c r="AD45" i="60"/>
  <c r="AE45" i="60"/>
  <c r="AF45" i="60"/>
  <c r="AG45" i="60"/>
  <c r="AD46" i="60"/>
  <c r="AE46" i="60"/>
  <c r="AF46" i="60"/>
  <c r="AG46" i="60"/>
  <c r="AD47" i="60"/>
  <c r="AG47" i="60"/>
  <c r="Z7" i="61"/>
  <c r="Z7" i="62" s="1"/>
  <c r="AD9" i="59"/>
  <c r="AE9" i="59"/>
  <c r="AF9" i="59"/>
  <c r="AG9" i="59"/>
  <c r="AD10" i="59"/>
  <c r="AE10" i="59"/>
  <c r="AF10" i="59"/>
  <c r="AG10" i="59"/>
  <c r="AD11" i="59"/>
  <c r="AE11" i="59"/>
  <c r="AF11" i="59"/>
  <c r="AG11" i="59"/>
  <c r="AD12" i="59"/>
  <c r="AE12" i="59"/>
  <c r="AF12" i="59"/>
  <c r="AG12" i="59"/>
  <c r="AD13" i="59"/>
  <c r="AE13" i="59"/>
  <c r="AF13" i="59"/>
  <c r="AG13" i="59"/>
  <c r="AD14" i="59"/>
  <c r="AE14" i="59"/>
  <c r="AF14" i="59"/>
  <c r="AG14" i="59"/>
  <c r="AD15" i="59"/>
  <c r="AE15" i="59"/>
  <c r="AF15" i="59"/>
  <c r="AG15" i="59"/>
  <c r="AD16" i="59"/>
  <c r="AE16" i="59"/>
  <c r="AF16" i="59"/>
  <c r="AG16" i="59"/>
  <c r="AD17" i="59"/>
  <c r="AE17" i="59"/>
  <c r="AF17" i="59"/>
  <c r="AG17" i="59"/>
  <c r="AD18" i="59"/>
  <c r="AE18" i="59"/>
  <c r="AF18" i="59"/>
  <c r="AG18" i="59"/>
  <c r="AD19" i="59"/>
  <c r="AE19" i="59"/>
  <c r="AF19" i="59"/>
  <c r="AG19" i="59"/>
  <c r="AD20" i="59"/>
  <c r="AE20" i="59"/>
  <c r="AF20" i="59"/>
  <c r="AG20" i="59"/>
  <c r="AD21" i="59"/>
  <c r="AE21" i="59"/>
  <c r="AF21" i="59"/>
  <c r="AG21" i="59"/>
  <c r="AD22" i="59"/>
  <c r="AE22" i="59"/>
  <c r="AF22" i="59"/>
  <c r="AG22" i="59"/>
  <c r="AG23" i="59"/>
  <c r="AD24" i="59"/>
  <c r="AE24" i="59"/>
  <c r="AF24" i="59"/>
  <c r="AG24" i="59"/>
  <c r="AD25" i="59"/>
  <c r="AE25" i="59"/>
  <c r="AF25" i="59"/>
  <c r="AG25" i="59"/>
  <c r="AD26" i="59"/>
  <c r="AE26" i="59"/>
  <c r="AF26" i="59"/>
  <c r="AG26" i="59"/>
  <c r="AD27" i="59"/>
  <c r="AE27" i="59"/>
  <c r="AF27" i="59"/>
  <c r="AG27" i="59"/>
  <c r="AD28" i="59"/>
  <c r="AE28" i="59"/>
  <c r="AF28" i="59"/>
  <c r="AG28" i="59"/>
  <c r="AD29" i="59"/>
  <c r="AE29" i="59"/>
  <c r="AF29" i="59"/>
  <c r="AG29" i="59"/>
  <c r="AD30" i="59"/>
  <c r="AE30" i="59"/>
  <c r="AF30" i="59"/>
  <c r="AG30" i="59"/>
  <c r="AD31" i="59"/>
  <c r="AE31" i="59"/>
  <c r="AF31" i="59"/>
  <c r="AG31" i="59"/>
  <c r="AD32" i="59"/>
  <c r="AE32" i="59"/>
  <c r="AF32" i="59"/>
  <c r="AG32" i="59"/>
  <c r="AD33" i="59"/>
  <c r="AE33" i="59"/>
  <c r="AF33" i="59"/>
  <c r="AG33" i="59"/>
  <c r="AD34" i="59"/>
  <c r="AE34" i="59"/>
  <c r="AF34" i="59"/>
  <c r="AG34" i="59"/>
  <c r="AD35" i="59"/>
  <c r="AE35" i="59"/>
  <c r="AF35" i="59"/>
  <c r="AG35" i="59"/>
  <c r="S36" i="59"/>
  <c r="U36" i="59"/>
  <c r="V36" i="59"/>
  <c r="W36" i="59"/>
  <c r="X36" i="59"/>
  <c r="Y36" i="59"/>
  <c r="AA36" i="59"/>
  <c r="AB36" i="59"/>
  <c r="AC36" i="59"/>
  <c r="AD39" i="59"/>
  <c r="AE39" i="59"/>
  <c r="AF39" i="59"/>
  <c r="AG39" i="59"/>
  <c r="AD40" i="59"/>
  <c r="AE40" i="59"/>
  <c r="AF40" i="59"/>
  <c r="AG40" i="59"/>
  <c r="AD41" i="59"/>
  <c r="AE41" i="59"/>
  <c r="AF41" i="59"/>
  <c r="AG41" i="59"/>
  <c r="AD42" i="59"/>
  <c r="AE42" i="59"/>
  <c r="AF42" i="59"/>
  <c r="AG42" i="59"/>
  <c r="AD43" i="59"/>
  <c r="AE43" i="59"/>
  <c r="AF43" i="59"/>
  <c r="AG43" i="59"/>
  <c r="AD44" i="59"/>
  <c r="AE44" i="59"/>
  <c r="AF44" i="59"/>
  <c r="AG44" i="59"/>
  <c r="AD45" i="59"/>
  <c r="AE45" i="59"/>
  <c r="AF45" i="59"/>
  <c r="AG45" i="59"/>
  <c r="AD46" i="59"/>
  <c r="AE46" i="59"/>
  <c r="AF46" i="59"/>
  <c r="AG46" i="59"/>
  <c r="AD47" i="59"/>
  <c r="AE47" i="59"/>
  <c r="AG47" i="59"/>
  <c r="AD9" i="58"/>
  <c r="AE9" i="58"/>
  <c r="AF9" i="58"/>
  <c r="AG9" i="58"/>
  <c r="AD10" i="58"/>
  <c r="AE10" i="58"/>
  <c r="AF10" i="58"/>
  <c r="AG10" i="58"/>
  <c r="AD11" i="58"/>
  <c r="AE11" i="58"/>
  <c r="AF11" i="58"/>
  <c r="AG11" i="58"/>
  <c r="AD12" i="58"/>
  <c r="AE12" i="58"/>
  <c r="AF12" i="58"/>
  <c r="AG12" i="58"/>
  <c r="AD13" i="58"/>
  <c r="AE13" i="58"/>
  <c r="AF13" i="58"/>
  <c r="AG13" i="58"/>
  <c r="AD14" i="58"/>
  <c r="AE14" i="58"/>
  <c r="AF14" i="58"/>
  <c r="AG14" i="58"/>
  <c r="AD15" i="58"/>
  <c r="AE15" i="58"/>
  <c r="AF15" i="58"/>
  <c r="AG15" i="58"/>
  <c r="AD16" i="58"/>
  <c r="AE16" i="58"/>
  <c r="AF16" i="58"/>
  <c r="AG16" i="58"/>
  <c r="AD17" i="58"/>
  <c r="AE17" i="58"/>
  <c r="AF17" i="58"/>
  <c r="AG17" i="58"/>
  <c r="AD18" i="58"/>
  <c r="AE18" i="58"/>
  <c r="AF18" i="58"/>
  <c r="AG18" i="58"/>
  <c r="AD19" i="58"/>
  <c r="AE19" i="58"/>
  <c r="AF19" i="58"/>
  <c r="AG19" i="58"/>
  <c r="AD20" i="58"/>
  <c r="AE20" i="58"/>
  <c r="AF20" i="58"/>
  <c r="AG20" i="58"/>
  <c r="AD21" i="58"/>
  <c r="AE21" i="58"/>
  <c r="AF21" i="58"/>
  <c r="AG21" i="58"/>
  <c r="AD22" i="58"/>
  <c r="AE22" i="58"/>
  <c r="AF22" i="58"/>
  <c r="AG22" i="58"/>
  <c r="AG23" i="58"/>
  <c r="AD24" i="58"/>
  <c r="AE24" i="58"/>
  <c r="AF24" i="58"/>
  <c r="AG24" i="58"/>
  <c r="AD25" i="58"/>
  <c r="AE25" i="58"/>
  <c r="AF25" i="58"/>
  <c r="AG25" i="58"/>
  <c r="AD26" i="58"/>
  <c r="AE26" i="58"/>
  <c r="AF26" i="58"/>
  <c r="AG26" i="58"/>
  <c r="AD27" i="58"/>
  <c r="AE27" i="58"/>
  <c r="AF27" i="58"/>
  <c r="AG27" i="58"/>
  <c r="AD28" i="58"/>
  <c r="AE28" i="58"/>
  <c r="AF28" i="58"/>
  <c r="AG28" i="58"/>
  <c r="AD29" i="58"/>
  <c r="AF29" i="58"/>
  <c r="AG29" i="58"/>
  <c r="AD30" i="58"/>
  <c r="AE30" i="58"/>
  <c r="AF30" i="58"/>
  <c r="AG30" i="58"/>
  <c r="AD31" i="58"/>
  <c r="AF31" i="58"/>
  <c r="AG31" i="58"/>
  <c r="AD32" i="58"/>
  <c r="AE32" i="58"/>
  <c r="AF32" i="58"/>
  <c r="AG32" i="58"/>
  <c r="AD33" i="58"/>
  <c r="AE33" i="58"/>
  <c r="AF33" i="58"/>
  <c r="AG33" i="58"/>
  <c r="AD34" i="58"/>
  <c r="AE34" i="58"/>
  <c r="AF34" i="58"/>
  <c r="AG34" i="58"/>
  <c r="AD35" i="58"/>
  <c r="AE35" i="58"/>
  <c r="AF35" i="58"/>
  <c r="AG35" i="58"/>
  <c r="E36" i="58"/>
  <c r="I36" i="58"/>
  <c r="M36" i="58"/>
  <c r="AD39" i="58"/>
  <c r="AE39" i="58"/>
  <c r="AF39" i="58"/>
  <c r="AG39" i="58"/>
  <c r="AD40" i="58"/>
  <c r="AE40" i="58"/>
  <c r="AF40" i="58"/>
  <c r="AG40" i="58"/>
  <c r="AD41" i="58"/>
  <c r="AE41" i="58"/>
  <c r="AF41" i="58"/>
  <c r="AG41" i="58"/>
  <c r="AD42" i="58"/>
  <c r="AE42" i="58"/>
  <c r="AF42" i="58"/>
  <c r="AG42" i="58"/>
  <c r="AD43" i="58"/>
  <c r="AE43" i="58"/>
  <c r="AF43" i="58"/>
  <c r="AG43" i="58"/>
  <c r="AD44" i="58"/>
  <c r="AE44" i="58"/>
  <c r="AF44" i="58"/>
  <c r="AG44" i="58"/>
  <c r="AD45" i="58"/>
  <c r="AE45" i="58"/>
  <c r="AF45" i="58"/>
  <c r="AG45" i="58"/>
  <c r="AD46" i="58"/>
  <c r="AE46" i="58"/>
  <c r="AF46" i="58"/>
  <c r="AG46" i="58"/>
  <c r="AD47" i="58"/>
  <c r="AE47" i="58"/>
  <c r="AF47" i="58"/>
  <c r="AG47" i="58"/>
  <c r="AI8" i="57"/>
  <c r="AJ8" i="57"/>
  <c r="AI9" i="57"/>
  <c r="AJ9" i="57"/>
  <c r="K10" i="57"/>
  <c r="L10" i="57"/>
  <c r="M10" i="57"/>
  <c r="AK10" i="57" s="1"/>
  <c r="N10" i="57"/>
  <c r="AI11" i="57"/>
  <c r="AJ11" i="57"/>
  <c r="AI12" i="57"/>
  <c r="AJ12" i="57"/>
  <c r="K14" i="57"/>
  <c r="L14" i="57"/>
  <c r="M14" i="57"/>
  <c r="N14" i="57"/>
  <c r="AD18" i="57"/>
  <c r="AI15" i="57"/>
  <c r="AJ15" i="57"/>
  <c r="AI16" i="57"/>
  <c r="AI17" i="57"/>
  <c r="K18" i="57"/>
  <c r="L18" i="57"/>
  <c r="M18" i="57"/>
  <c r="N18" i="57"/>
  <c r="AD21" i="57"/>
  <c r="AI19" i="57"/>
  <c r="AJ19" i="57"/>
  <c r="AI20" i="57"/>
  <c r="AJ20" i="57"/>
  <c r="K21" i="57"/>
  <c r="K27" i="57" s="1"/>
  <c r="L21" i="57"/>
  <c r="L27" i="57" s="1"/>
  <c r="L28" i="57" s="1"/>
  <c r="M21" i="57"/>
  <c r="AK21" i="57" s="1"/>
  <c r="N21" i="57"/>
  <c r="Z21" i="57"/>
  <c r="AI22" i="57"/>
  <c r="AJ22" i="57"/>
  <c r="AI24" i="57"/>
  <c r="AJ24" i="57"/>
  <c r="AI26" i="57"/>
  <c r="AJ26" i="57"/>
  <c r="C28" i="57"/>
  <c r="D28" i="57"/>
  <c r="E28" i="57"/>
  <c r="G28" i="57"/>
  <c r="H28" i="57"/>
  <c r="I28" i="57"/>
  <c r="O28" i="57"/>
  <c r="P28" i="57"/>
  <c r="Q28" i="57"/>
  <c r="S28" i="57"/>
  <c r="T28" i="57"/>
  <c r="U28" i="57"/>
  <c r="W28" i="57"/>
  <c r="X28" i="57"/>
  <c r="Y28" i="57"/>
  <c r="AA28" i="57"/>
  <c r="AB28" i="57"/>
  <c r="AC28" i="57"/>
  <c r="S8" i="56"/>
  <c r="T8" i="56"/>
  <c r="U8" i="56"/>
  <c r="V8" i="56"/>
  <c r="S9" i="56"/>
  <c r="T9" i="56"/>
  <c r="U9" i="56"/>
  <c r="V9" i="56"/>
  <c r="U10" i="56"/>
  <c r="V10" i="56"/>
  <c r="S11" i="56"/>
  <c r="T11" i="56"/>
  <c r="U11" i="56"/>
  <c r="V11" i="56"/>
  <c r="F12" i="56"/>
  <c r="J12" i="56"/>
  <c r="N12" i="56"/>
  <c r="R12" i="56"/>
  <c r="S13" i="56"/>
  <c r="T13" i="56"/>
  <c r="U13" i="56"/>
  <c r="V13" i="56"/>
  <c r="U14" i="56"/>
  <c r="V14" i="56"/>
  <c r="U15" i="56"/>
  <c r="V15" i="56"/>
  <c r="F16" i="56"/>
  <c r="J16" i="56"/>
  <c r="N16" i="56"/>
  <c r="R16" i="56"/>
  <c r="S16" i="56"/>
  <c r="T16" i="56"/>
  <c r="U16" i="56"/>
  <c r="S17" i="56"/>
  <c r="T17" i="56"/>
  <c r="U17" i="56"/>
  <c r="V17" i="56"/>
  <c r="U18" i="56"/>
  <c r="V18" i="56"/>
  <c r="F19" i="56"/>
  <c r="J19" i="56"/>
  <c r="N19" i="56"/>
  <c r="S19" i="56"/>
  <c r="T19" i="56"/>
  <c r="U19" i="56"/>
  <c r="S20" i="56"/>
  <c r="T20" i="56"/>
  <c r="U20" i="56"/>
  <c r="S22" i="56"/>
  <c r="T22" i="56"/>
  <c r="U22" i="56"/>
  <c r="V22" i="56"/>
  <c r="S23" i="56"/>
  <c r="T23" i="56"/>
  <c r="U23" i="56"/>
  <c r="V23" i="56"/>
  <c r="S24" i="56"/>
  <c r="T24" i="56"/>
  <c r="U24" i="56"/>
  <c r="V24" i="56"/>
  <c r="S25" i="56"/>
  <c r="T25" i="56"/>
  <c r="U25" i="56"/>
  <c r="V25" i="56"/>
  <c r="F26" i="56"/>
  <c r="J26" i="56"/>
  <c r="N26" i="56"/>
  <c r="R26" i="56"/>
  <c r="S26" i="56"/>
  <c r="T26" i="56"/>
  <c r="U26" i="56"/>
  <c r="S27" i="56"/>
  <c r="T27" i="56"/>
  <c r="U27" i="56"/>
  <c r="V27" i="56"/>
  <c r="U28" i="56"/>
  <c r="U31" i="56" s="1"/>
  <c r="V28" i="56"/>
  <c r="U29" i="56"/>
  <c r="V29" i="56"/>
  <c r="S30" i="56"/>
  <c r="T30" i="56"/>
  <c r="U30" i="56"/>
  <c r="V30" i="56"/>
  <c r="F31" i="56"/>
  <c r="J31" i="56"/>
  <c r="N31" i="56"/>
  <c r="R31" i="56"/>
  <c r="S31" i="56"/>
  <c r="T31" i="56"/>
  <c r="S32" i="56"/>
  <c r="T32" i="56"/>
  <c r="U32" i="56"/>
  <c r="V32" i="56"/>
  <c r="S33" i="56"/>
  <c r="T33" i="56"/>
  <c r="U33" i="56"/>
  <c r="V33" i="56"/>
  <c r="U34" i="56"/>
  <c r="V34" i="56"/>
  <c r="F35" i="56"/>
  <c r="J35" i="56"/>
  <c r="N35" i="56"/>
  <c r="R35" i="56"/>
  <c r="T35" i="56"/>
  <c r="S36" i="56"/>
  <c r="T36" i="56"/>
  <c r="U36" i="56"/>
  <c r="V36" i="56"/>
  <c r="S37" i="56"/>
  <c r="T37" i="56"/>
  <c r="U37" i="56"/>
  <c r="V37" i="56"/>
  <c r="S38" i="56"/>
  <c r="S40" i="56" s="1"/>
  <c r="T38" i="56"/>
  <c r="T40" i="56" s="1"/>
  <c r="U38" i="56"/>
  <c r="V38" i="56"/>
  <c r="U39" i="56"/>
  <c r="V39" i="56"/>
  <c r="F40" i="56"/>
  <c r="C41" i="56"/>
  <c r="C42" i="56" s="1"/>
  <c r="D41" i="56"/>
  <c r="D42" i="56" s="1"/>
  <c r="E41" i="56"/>
  <c r="E42" i="56" s="1"/>
  <c r="G41" i="56"/>
  <c r="G42" i="56" s="1"/>
  <c r="H41" i="56"/>
  <c r="H42" i="56" s="1"/>
  <c r="I41" i="56"/>
  <c r="I42" i="56" s="1"/>
  <c r="K41" i="56"/>
  <c r="K42" i="56" s="1"/>
  <c r="L41" i="56"/>
  <c r="L42" i="56" s="1"/>
  <c r="M41" i="56"/>
  <c r="M42" i="56" s="1"/>
  <c r="O41" i="56"/>
  <c r="O42" i="56" s="1"/>
  <c r="P41" i="56"/>
  <c r="P42" i="56" s="1"/>
  <c r="Q41" i="56"/>
  <c r="Q42" i="56" s="1"/>
  <c r="C8" i="55"/>
  <c r="D8" i="55"/>
  <c r="E8" i="55"/>
  <c r="F8" i="55"/>
  <c r="C9" i="55"/>
  <c r="D9" i="55"/>
  <c r="E9" i="55"/>
  <c r="F9" i="55"/>
  <c r="G9" i="55"/>
  <c r="H9" i="55"/>
  <c r="I9" i="55"/>
  <c r="K9" i="55"/>
  <c r="L9" i="55"/>
  <c r="M9" i="55"/>
  <c r="N9" i="55"/>
  <c r="O9" i="55"/>
  <c r="P9" i="55"/>
  <c r="Q9" i="55"/>
  <c r="R9" i="55"/>
  <c r="S9" i="55"/>
  <c r="T9" i="55"/>
  <c r="U9" i="55"/>
  <c r="V9" i="55"/>
  <c r="W9" i="55"/>
  <c r="X9" i="55"/>
  <c r="Y9" i="55"/>
  <c r="Z9" i="55"/>
  <c r="C10" i="55"/>
  <c r="D10" i="55"/>
  <c r="E10" i="55"/>
  <c r="F10" i="55"/>
  <c r="G10" i="55"/>
  <c r="H10" i="55"/>
  <c r="I10" i="55"/>
  <c r="K10" i="55"/>
  <c r="L10" i="55"/>
  <c r="M10" i="55"/>
  <c r="N10" i="55"/>
  <c r="O10" i="55"/>
  <c r="P10" i="55"/>
  <c r="Q10" i="55"/>
  <c r="R10" i="55"/>
  <c r="S10" i="55"/>
  <c r="T10" i="55"/>
  <c r="U10" i="55"/>
  <c r="V10" i="55"/>
  <c r="W10" i="55"/>
  <c r="X10" i="55"/>
  <c r="Y10" i="55"/>
  <c r="Z10" i="55"/>
  <c r="C11" i="55"/>
  <c r="D11" i="55"/>
  <c r="E11" i="55"/>
  <c r="F11" i="55"/>
  <c r="G11" i="55"/>
  <c r="H11" i="55"/>
  <c r="I11" i="55"/>
  <c r="K11" i="55"/>
  <c r="L11" i="55"/>
  <c r="M11" i="55"/>
  <c r="N11" i="55"/>
  <c r="O11" i="55"/>
  <c r="P11" i="55"/>
  <c r="Q11" i="55"/>
  <c r="R11" i="55"/>
  <c r="S11" i="55"/>
  <c r="T11" i="55"/>
  <c r="U11" i="55"/>
  <c r="V11" i="55"/>
  <c r="W11" i="55"/>
  <c r="X11" i="55"/>
  <c r="Y11" i="55"/>
  <c r="Z11" i="55"/>
  <c r="C12" i="55"/>
  <c r="D12" i="55"/>
  <c r="E12" i="55"/>
  <c r="F12" i="55"/>
  <c r="G12" i="55"/>
  <c r="H12" i="55"/>
  <c r="I12" i="55"/>
  <c r="K12" i="55"/>
  <c r="L12" i="55"/>
  <c r="M12" i="55"/>
  <c r="N12" i="55"/>
  <c r="O12" i="55"/>
  <c r="P12" i="55"/>
  <c r="Q12" i="55"/>
  <c r="R12" i="55"/>
  <c r="S12" i="55"/>
  <c r="T12" i="55"/>
  <c r="U12" i="55"/>
  <c r="V12" i="55"/>
  <c r="W12" i="55"/>
  <c r="X12" i="55"/>
  <c r="Y12" i="55"/>
  <c r="Z12" i="55"/>
  <c r="C14" i="55"/>
  <c r="D14" i="55"/>
  <c r="E14" i="55"/>
  <c r="F14" i="55"/>
  <c r="G14" i="55"/>
  <c r="H14" i="55"/>
  <c r="I14" i="55"/>
  <c r="K14" i="55"/>
  <c r="L14" i="55"/>
  <c r="M14" i="55"/>
  <c r="N14" i="55"/>
  <c r="O14" i="55"/>
  <c r="P14" i="55"/>
  <c r="Q14" i="55"/>
  <c r="R14" i="55"/>
  <c r="S14" i="55"/>
  <c r="T14" i="55"/>
  <c r="U14" i="55"/>
  <c r="V14" i="55"/>
  <c r="W14" i="55"/>
  <c r="X14" i="55"/>
  <c r="Y14" i="55"/>
  <c r="Z14" i="55"/>
  <c r="C15" i="55"/>
  <c r="D15" i="55"/>
  <c r="E15" i="55"/>
  <c r="F15" i="55"/>
  <c r="G15" i="55"/>
  <c r="H15" i="55"/>
  <c r="I15" i="55"/>
  <c r="K15" i="55"/>
  <c r="L15" i="55"/>
  <c r="M15" i="55"/>
  <c r="N15" i="55"/>
  <c r="O15" i="55"/>
  <c r="P15" i="55"/>
  <c r="Q15" i="55"/>
  <c r="R15" i="55"/>
  <c r="S15" i="55"/>
  <c r="T15" i="55"/>
  <c r="U15" i="55"/>
  <c r="V15" i="55"/>
  <c r="W15" i="55"/>
  <c r="X15" i="55"/>
  <c r="Y15" i="55"/>
  <c r="Z15" i="55"/>
  <c r="C16" i="55"/>
  <c r="D16" i="55"/>
  <c r="E16" i="55"/>
  <c r="F16" i="55"/>
  <c r="G16" i="55"/>
  <c r="H16" i="55"/>
  <c r="I16" i="55"/>
  <c r="K16" i="55"/>
  <c r="L16" i="55"/>
  <c r="M16" i="55"/>
  <c r="N16" i="55"/>
  <c r="O16" i="55"/>
  <c r="P16" i="55"/>
  <c r="Q16" i="55"/>
  <c r="R16" i="55"/>
  <c r="S16" i="55"/>
  <c r="T16" i="55"/>
  <c r="U16" i="55"/>
  <c r="V16" i="55"/>
  <c r="W16" i="55"/>
  <c r="X16" i="55"/>
  <c r="Y16" i="55"/>
  <c r="Z16" i="55"/>
  <c r="C18" i="55"/>
  <c r="D18" i="55"/>
  <c r="E18" i="55"/>
  <c r="F18" i="55"/>
  <c r="G18" i="55"/>
  <c r="H18" i="55"/>
  <c r="I18" i="55"/>
  <c r="K18" i="55"/>
  <c r="L18" i="55"/>
  <c r="L20" i="55" s="1"/>
  <c r="M18" i="55"/>
  <c r="N18" i="55"/>
  <c r="O18" i="55"/>
  <c r="P18" i="55"/>
  <c r="Q18" i="55"/>
  <c r="R18" i="55"/>
  <c r="S18" i="55"/>
  <c r="T18" i="55"/>
  <c r="U18" i="55"/>
  <c r="V18" i="55"/>
  <c r="V20" i="55" s="1"/>
  <c r="W18" i="55"/>
  <c r="X18" i="55"/>
  <c r="Y18" i="55"/>
  <c r="Z18" i="55"/>
  <c r="C19" i="55"/>
  <c r="D19" i="55"/>
  <c r="D20" i="55" s="1"/>
  <c r="E19" i="55"/>
  <c r="F19" i="55"/>
  <c r="G19" i="55"/>
  <c r="H19" i="55"/>
  <c r="H20" i="55" s="1"/>
  <c r="I19" i="55"/>
  <c r="K19" i="55"/>
  <c r="L19" i="55"/>
  <c r="M19" i="55"/>
  <c r="N19" i="55"/>
  <c r="O19" i="55"/>
  <c r="P19" i="55"/>
  <c r="Q19" i="55"/>
  <c r="R19" i="55"/>
  <c r="S19" i="55"/>
  <c r="T19" i="55"/>
  <c r="U19" i="55"/>
  <c r="U20" i="55" s="1"/>
  <c r="V19" i="55"/>
  <c r="W19" i="55"/>
  <c r="X19" i="55"/>
  <c r="Y19" i="55"/>
  <c r="Y20" i="55" s="1"/>
  <c r="Z19" i="55"/>
  <c r="C21" i="55"/>
  <c r="D21" i="55"/>
  <c r="E21" i="55"/>
  <c r="F21" i="55"/>
  <c r="G21" i="55"/>
  <c r="H21" i="55"/>
  <c r="I21" i="55"/>
  <c r="K21" i="55"/>
  <c r="L21" i="55"/>
  <c r="M21" i="55"/>
  <c r="N21" i="55"/>
  <c r="O21" i="55"/>
  <c r="P21" i="55"/>
  <c r="Q21" i="55"/>
  <c r="R21" i="55"/>
  <c r="S21" i="55"/>
  <c r="T21" i="55"/>
  <c r="U21" i="55"/>
  <c r="V21" i="55"/>
  <c r="W21" i="55"/>
  <c r="X21" i="55"/>
  <c r="Y21" i="55"/>
  <c r="Z21" i="55"/>
  <c r="C23" i="55"/>
  <c r="D23" i="55"/>
  <c r="E23" i="55"/>
  <c r="F23" i="55"/>
  <c r="G23" i="55"/>
  <c r="H23" i="55"/>
  <c r="I23" i="55"/>
  <c r="K23" i="55"/>
  <c r="L23" i="55"/>
  <c r="M23" i="55"/>
  <c r="N23" i="55"/>
  <c r="O23" i="55"/>
  <c r="P23" i="55"/>
  <c r="Q23" i="55"/>
  <c r="R23" i="55"/>
  <c r="S23" i="55"/>
  <c r="T23" i="55"/>
  <c r="U23" i="55"/>
  <c r="V23" i="55"/>
  <c r="W23" i="55"/>
  <c r="X23" i="55"/>
  <c r="Y23" i="55"/>
  <c r="Z23" i="55"/>
  <c r="C24" i="55"/>
  <c r="D24" i="55"/>
  <c r="E24" i="55"/>
  <c r="F24" i="55"/>
  <c r="G24" i="55"/>
  <c r="H24" i="55"/>
  <c r="I24" i="55"/>
  <c r="K24" i="55"/>
  <c r="L24" i="55"/>
  <c r="M24" i="55"/>
  <c r="N24" i="55"/>
  <c r="O24" i="55"/>
  <c r="P24" i="55"/>
  <c r="Q24" i="55"/>
  <c r="R24" i="55"/>
  <c r="S24" i="55"/>
  <c r="T24" i="55"/>
  <c r="U24" i="55"/>
  <c r="V24" i="55"/>
  <c r="W24" i="55"/>
  <c r="X24" i="55"/>
  <c r="Y24" i="55"/>
  <c r="Z24" i="55"/>
  <c r="C25" i="55"/>
  <c r="D25" i="55"/>
  <c r="E25" i="55"/>
  <c r="F25" i="55"/>
  <c r="G25" i="55"/>
  <c r="H25" i="55"/>
  <c r="I25" i="55"/>
  <c r="K25" i="55"/>
  <c r="L25" i="55"/>
  <c r="M25" i="55"/>
  <c r="N25" i="55"/>
  <c r="O25" i="55"/>
  <c r="P25" i="55"/>
  <c r="Q25" i="55"/>
  <c r="R25" i="55"/>
  <c r="S25" i="55"/>
  <c r="T25" i="55"/>
  <c r="U25" i="55"/>
  <c r="V25" i="55"/>
  <c r="W25" i="55"/>
  <c r="X25" i="55"/>
  <c r="Y25" i="55"/>
  <c r="Z25" i="55"/>
  <c r="C26" i="55"/>
  <c r="D26" i="55"/>
  <c r="E26" i="55"/>
  <c r="F26" i="55"/>
  <c r="G26" i="55"/>
  <c r="H26" i="55"/>
  <c r="I26" i="55"/>
  <c r="K26" i="55"/>
  <c r="L26" i="55"/>
  <c r="M26" i="55"/>
  <c r="N26" i="55"/>
  <c r="O26" i="55"/>
  <c r="P26" i="55"/>
  <c r="Q26" i="55"/>
  <c r="R26" i="55"/>
  <c r="S26" i="55"/>
  <c r="T26" i="55"/>
  <c r="U26" i="55"/>
  <c r="V26" i="55"/>
  <c r="W26" i="55"/>
  <c r="X26" i="55"/>
  <c r="Y26" i="55"/>
  <c r="Z26" i="55"/>
  <c r="C28" i="55"/>
  <c r="D28" i="55"/>
  <c r="E28" i="55"/>
  <c r="F28" i="55"/>
  <c r="G28" i="55"/>
  <c r="H28" i="55"/>
  <c r="I28" i="55"/>
  <c r="K28" i="55"/>
  <c r="L28" i="55"/>
  <c r="M28" i="55"/>
  <c r="N28" i="55"/>
  <c r="O28" i="55"/>
  <c r="P28" i="55"/>
  <c r="Q28" i="55"/>
  <c r="R28" i="55"/>
  <c r="S28" i="55"/>
  <c r="T28" i="55"/>
  <c r="U28" i="55"/>
  <c r="V28" i="55"/>
  <c r="W28" i="55"/>
  <c r="X28" i="55"/>
  <c r="Y28" i="55"/>
  <c r="Z28" i="55"/>
  <c r="C29" i="55"/>
  <c r="D29" i="55"/>
  <c r="E29" i="55"/>
  <c r="F29" i="55"/>
  <c r="G29" i="55"/>
  <c r="H29" i="55"/>
  <c r="I29" i="55"/>
  <c r="K29" i="55"/>
  <c r="L29" i="55"/>
  <c r="M29" i="55"/>
  <c r="N29" i="55"/>
  <c r="O29" i="55"/>
  <c r="P29" i="55"/>
  <c r="Q29" i="55"/>
  <c r="R29" i="55"/>
  <c r="S29" i="55"/>
  <c r="T29" i="55"/>
  <c r="U29" i="55"/>
  <c r="V29" i="55"/>
  <c r="W29" i="55"/>
  <c r="X29" i="55"/>
  <c r="Y29" i="55"/>
  <c r="Z29" i="55"/>
  <c r="C31" i="55"/>
  <c r="D31" i="55"/>
  <c r="E31" i="55"/>
  <c r="F31" i="55"/>
  <c r="G31" i="55"/>
  <c r="H31" i="55"/>
  <c r="I31" i="55"/>
  <c r="K31" i="55"/>
  <c r="L31" i="55"/>
  <c r="M31" i="55"/>
  <c r="N31" i="55"/>
  <c r="O31" i="55"/>
  <c r="P31" i="55"/>
  <c r="Q31" i="55"/>
  <c r="R31" i="55"/>
  <c r="S31" i="55"/>
  <c r="T31" i="55"/>
  <c r="U31" i="55"/>
  <c r="V31" i="55"/>
  <c r="W31" i="55"/>
  <c r="X31" i="55"/>
  <c r="Y31" i="55"/>
  <c r="Z31" i="55"/>
  <c r="AD31" i="55"/>
  <c r="C33" i="55"/>
  <c r="D33" i="55"/>
  <c r="E33" i="55"/>
  <c r="F33" i="55"/>
  <c r="G33" i="55"/>
  <c r="AA33" i="55" s="1"/>
  <c r="H33" i="55"/>
  <c r="AB33" i="55" s="1"/>
  <c r="K33" i="55"/>
  <c r="L33" i="55"/>
  <c r="M33" i="55"/>
  <c r="N33" i="55"/>
  <c r="O33" i="55"/>
  <c r="P33" i="55"/>
  <c r="Q33" i="55"/>
  <c r="R33" i="55"/>
  <c r="S33" i="55"/>
  <c r="T33" i="55"/>
  <c r="U33" i="55"/>
  <c r="V33" i="55"/>
  <c r="W33" i="55"/>
  <c r="X33" i="55"/>
  <c r="Y33" i="55"/>
  <c r="Z33" i="55"/>
  <c r="C34" i="55"/>
  <c r="D34" i="55"/>
  <c r="E34" i="55"/>
  <c r="F34" i="55"/>
  <c r="G34" i="55"/>
  <c r="H34" i="55"/>
  <c r="I34" i="55"/>
  <c r="K34" i="55"/>
  <c r="L34" i="55"/>
  <c r="M34" i="55"/>
  <c r="N34" i="55"/>
  <c r="O34" i="55"/>
  <c r="P34" i="55"/>
  <c r="Q34" i="55"/>
  <c r="R34" i="55"/>
  <c r="S34" i="55"/>
  <c r="T34" i="55"/>
  <c r="U34" i="55"/>
  <c r="V34" i="55"/>
  <c r="W34" i="55"/>
  <c r="X34" i="55"/>
  <c r="Y34" i="55"/>
  <c r="Z34" i="55"/>
  <c r="C35" i="55"/>
  <c r="D35" i="55"/>
  <c r="E35" i="55"/>
  <c r="F35" i="55"/>
  <c r="G35" i="55"/>
  <c r="H35" i="55"/>
  <c r="I35" i="55"/>
  <c r="K35" i="55"/>
  <c r="L35" i="55"/>
  <c r="M35" i="55"/>
  <c r="N35" i="55"/>
  <c r="O35" i="55"/>
  <c r="P35" i="55"/>
  <c r="Q35" i="55"/>
  <c r="R35" i="55"/>
  <c r="S35" i="55"/>
  <c r="T35" i="55"/>
  <c r="U35" i="55"/>
  <c r="V35" i="55"/>
  <c r="W35" i="55"/>
  <c r="X35" i="55"/>
  <c r="Y35" i="55"/>
  <c r="Z35" i="55"/>
  <c r="C37" i="55"/>
  <c r="D37" i="55"/>
  <c r="E37" i="55"/>
  <c r="F37" i="55"/>
  <c r="G37" i="55"/>
  <c r="H37" i="55"/>
  <c r="I37" i="55"/>
  <c r="K37" i="55"/>
  <c r="L37" i="55"/>
  <c r="M37" i="55"/>
  <c r="N37" i="55"/>
  <c r="O37" i="55"/>
  <c r="P37" i="55"/>
  <c r="Q37" i="55"/>
  <c r="R37" i="55"/>
  <c r="S37" i="55"/>
  <c r="T37" i="55"/>
  <c r="U37" i="55"/>
  <c r="V37" i="55"/>
  <c r="W37" i="55"/>
  <c r="X37" i="55"/>
  <c r="Y37" i="55"/>
  <c r="Z37" i="55"/>
  <c r="C38" i="55"/>
  <c r="D38" i="55"/>
  <c r="E38" i="55"/>
  <c r="F38" i="55"/>
  <c r="G38" i="55"/>
  <c r="H38" i="55"/>
  <c r="I38" i="55"/>
  <c r="K38" i="55"/>
  <c r="L38" i="55"/>
  <c r="M38" i="55"/>
  <c r="N38" i="55"/>
  <c r="O38" i="55"/>
  <c r="P38" i="55"/>
  <c r="Q38" i="55"/>
  <c r="R38" i="55"/>
  <c r="S38" i="55"/>
  <c r="T38" i="55"/>
  <c r="U38" i="55"/>
  <c r="V38" i="55"/>
  <c r="W38" i="55"/>
  <c r="X38" i="55"/>
  <c r="Y38" i="55"/>
  <c r="Z38" i="55"/>
  <c r="C40" i="55"/>
  <c r="D40" i="55"/>
  <c r="E40" i="55"/>
  <c r="F40" i="55"/>
  <c r="G40" i="55"/>
  <c r="H40" i="55"/>
  <c r="I40" i="55"/>
  <c r="K40" i="55"/>
  <c r="L40" i="55"/>
  <c r="M40" i="55"/>
  <c r="N40" i="55"/>
  <c r="O40" i="55"/>
  <c r="P40" i="55"/>
  <c r="Q40" i="55"/>
  <c r="R40" i="55"/>
  <c r="S40" i="55"/>
  <c r="T40" i="55"/>
  <c r="U40" i="55"/>
  <c r="V40" i="55"/>
  <c r="W40" i="55"/>
  <c r="X40" i="55"/>
  <c r="Y40" i="55"/>
  <c r="Z40" i="55"/>
  <c r="C41" i="55"/>
  <c r="C42" i="55" s="1"/>
  <c r="D41" i="55"/>
  <c r="E41" i="55"/>
  <c r="F41" i="55"/>
  <c r="G41" i="55"/>
  <c r="H41" i="55"/>
  <c r="I41" i="55"/>
  <c r="K41" i="55"/>
  <c r="L41" i="55"/>
  <c r="M41" i="55"/>
  <c r="N41" i="55"/>
  <c r="O41" i="55"/>
  <c r="P41" i="55"/>
  <c r="Q41" i="55"/>
  <c r="R41" i="55"/>
  <c r="S41" i="55"/>
  <c r="T41" i="55"/>
  <c r="U41" i="55"/>
  <c r="V41" i="55"/>
  <c r="W41" i="55"/>
  <c r="X41" i="55"/>
  <c r="Y41" i="55"/>
  <c r="Z41" i="55"/>
  <c r="AA41" i="55"/>
  <c r="AB41" i="55"/>
  <c r="C8" i="54"/>
  <c r="D8" i="54"/>
  <c r="E8" i="54"/>
  <c r="F8" i="54"/>
  <c r="AA9" i="54"/>
  <c r="AB9" i="54"/>
  <c r="AC9" i="54"/>
  <c r="AD9" i="54"/>
  <c r="AA10" i="54"/>
  <c r="AB10" i="54"/>
  <c r="AC10" i="54"/>
  <c r="AD10" i="54"/>
  <c r="AA11" i="54"/>
  <c r="AB11" i="54"/>
  <c r="AC11" i="54"/>
  <c r="AD11" i="54"/>
  <c r="AC12" i="54"/>
  <c r="AD12" i="54"/>
  <c r="AA14" i="54"/>
  <c r="AA17" i="54" s="1"/>
  <c r="AB14" i="54"/>
  <c r="AB17" i="54" s="1"/>
  <c r="AC14" i="54"/>
  <c r="AD14" i="54"/>
  <c r="AC15" i="54"/>
  <c r="AD15" i="54"/>
  <c r="AC16" i="54"/>
  <c r="AD16" i="54"/>
  <c r="AA18" i="54"/>
  <c r="AA20" i="54" s="1"/>
  <c r="AB18" i="54"/>
  <c r="AB20" i="54" s="1"/>
  <c r="AC18" i="54"/>
  <c r="AD18" i="54"/>
  <c r="AC19" i="54"/>
  <c r="AD19" i="54"/>
  <c r="AA21" i="54"/>
  <c r="AB21" i="54"/>
  <c r="AC21" i="54"/>
  <c r="AD21" i="54"/>
  <c r="AA23" i="54"/>
  <c r="AB23" i="54"/>
  <c r="AC23" i="54"/>
  <c r="AD23" i="54"/>
  <c r="AA24" i="54"/>
  <c r="AB24" i="54"/>
  <c r="AC24" i="54"/>
  <c r="AD24" i="54"/>
  <c r="AA25" i="54"/>
  <c r="AB25" i="54"/>
  <c r="AC25" i="54"/>
  <c r="AD25" i="54"/>
  <c r="AA26" i="54"/>
  <c r="AB26" i="54"/>
  <c r="AC26" i="54"/>
  <c r="AD26" i="54"/>
  <c r="AA28" i="54"/>
  <c r="AB28" i="54"/>
  <c r="AC28" i="54"/>
  <c r="AD28" i="54"/>
  <c r="AC29" i="54"/>
  <c r="AD29" i="54"/>
  <c r="AA31" i="54"/>
  <c r="AB31" i="54"/>
  <c r="AC31" i="54"/>
  <c r="AD31" i="54"/>
  <c r="AA33" i="54"/>
  <c r="AB33" i="54"/>
  <c r="AC33" i="54"/>
  <c r="AD33" i="54"/>
  <c r="AA34" i="54"/>
  <c r="AB34" i="54"/>
  <c r="AC34" i="54"/>
  <c r="AD34" i="54"/>
  <c r="AC35" i="54"/>
  <c r="AD35" i="54"/>
  <c r="AA37" i="54"/>
  <c r="AB37" i="54"/>
  <c r="AC37" i="54"/>
  <c r="AD37" i="54"/>
  <c r="AA38" i="54"/>
  <c r="AB38" i="54"/>
  <c r="AC38" i="54"/>
  <c r="AD38" i="54"/>
  <c r="AA40" i="54"/>
  <c r="AA42" i="54" s="1"/>
  <c r="AB40" i="54"/>
  <c r="AB42" i="54" s="1"/>
  <c r="AC40" i="54"/>
  <c r="AD40" i="54"/>
  <c r="AC41" i="54"/>
  <c r="AD41" i="54"/>
  <c r="V44" i="54"/>
  <c r="C44" i="54"/>
  <c r="E44" i="54"/>
  <c r="K44" i="54"/>
  <c r="M44" i="54"/>
  <c r="O44" i="54"/>
  <c r="Q44" i="54"/>
  <c r="D44" i="54"/>
  <c r="G44" i="54"/>
  <c r="H44" i="54"/>
  <c r="I44" i="54"/>
  <c r="L44" i="54"/>
  <c r="P44" i="54"/>
  <c r="S44" i="54"/>
  <c r="T44" i="54"/>
  <c r="U44" i="54"/>
  <c r="W44" i="54"/>
  <c r="X44" i="54"/>
  <c r="Y44" i="54"/>
  <c r="C8" i="53"/>
  <c r="D8" i="53"/>
  <c r="E8" i="53"/>
  <c r="F8" i="53"/>
  <c r="AA9" i="53"/>
  <c r="AB9" i="53"/>
  <c r="AC9" i="53"/>
  <c r="AD9" i="53"/>
  <c r="AA10" i="53"/>
  <c r="AB10" i="53"/>
  <c r="AC10" i="53"/>
  <c r="AD10" i="53"/>
  <c r="AA11" i="53"/>
  <c r="AB11" i="53"/>
  <c r="AC11" i="53"/>
  <c r="AD11" i="53"/>
  <c r="AC12" i="53"/>
  <c r="AD12" i="53"/>
  <c r="AA14" i="53"/>
  <c r="AA17" i="53" s="1"/>
  <c r="AB14" i="53"/>
  <c r="AB17" i="53" s="1"/>
  <c r="AC14" i="53"/>
  <c r="AD14" i="53"/>
  <c r="AC15" i="53"/>
  <c r="AD15" i="53"/>
  <c r="AC16" i="53"/>
  <c r="AD16" i="53"/>
  <c r="AA18" i="53"/>
  <c r="AA20" i="53" s="1"/>
  <c r="AB18" i="53"/>
  <c r="AB20" i="53" s="1"/>
  <c r="AC18" i="53"/>
  <c r="AD18" i="53"/>
  <c r="AC19" i="53"/>
  <c r="AD19" i="53"/>
  <c r="AA21" i="53"/>
  <c r="AB21" i="53"/>
  <c r="AC21" i="53"/>
  <c r="AD21" i="53"/>
  <c r="AA23" i="53"/>
  <c r="AB23" i="53"/>
  <c r="AC23" i="53"/>
  <c r="AD23" i="53"/>
  <c r="AA24" i="53"/>
  <c r="AB24" i="53"/>
  <c r="AC24" i="53"/>
  <c r="AD24" i="53"/>
  <c r="AA25" i="53"/>
  <c r="AB25" i="53"/>
  <c r="AC25" i="53"/>
  <c r="AD25" i="53"/>
  <c r="AA26" i="53"/>
  <c r="AB26" i="53"/>
  <c r="AC26" i="53"/>
  <c r="AD26" i="53"/>
  <c r="AA28" i="53"/>
  <c r="AB28" i="53"/>
  <c r="AC28" i="53"/>
  <c r="AD28" i="53"/>
  <c r="AC29" i="53"/>
  <c r="AD29" i="53"/>
  <c r="AA31" i="53"/>
  <c r="AB31" i="53"/>
  <c r="AC31" i="53"/>
  <c r="AD31" i="53"/>
  <c r="AA33" i="53"/>
  <c r="AB33" i="53"/>
  <c r="AC33" i="53"/>
  <c r="AD33" i="53"/>
  <c r="AA34" i="53"/>
  <c r="AB34" i="53"/>
  <c r="AC34" i="53"/>
  <c r="AD34" i="53"/>
  <c r="AC35" i="53"/>
  <c r="AD35" i="53"/>
  <c r="AA37" i="53"/>
  <c r="AB37" i="53"/>
  <c r="AC37" i="53"/>
  <c r="AD37" i="53"/>
  <c r="AA38" i="53"/>
  <c r="AB38" i="53"/>
  <c r="AC38" i="53"/>
  <c r="AD38" i="53"/>
  <c r="AA40" i="53"/>
  <c r="AA42" i="53" s="1"/>
  <c r="AB40" i="53"/>
  <c r="AB42" i="53" s="1"/>
  <c r="AC40" i="53"/>
  <c r="AD40" i="53"/>
  <c r="AC41" i="53"/>
  <c r="AD41" i="53"/>
  <c r="C44" i="53"/>
  <c r="E44" i="53"/>
  <c r="D44" i="53"/>
  <c r="G44" i="53"/>
  <c r="H44" i="53"/>
  <c r="I44" i="53"/>
  <c r="K44" i="53"/>
  <c r="L44" i="53"/>
  <c r="M44" i="53"/>
  <c r="O44" i="53"/>
  <c r="P44" i="53"/>
  <c r="Q44" i="53"/>
  <c r="S44" i="53"/>
  <c r="T44" i="53"/>
  <c r="U44" i="53"/>
  <c r="W44" i="53"/>
  <c r="X44" i="53"/>
  <c r="Y44" i="53"/>
  <c r="C8" i="52"/>
  <c r="D8" i="52"/>
  <c r="E8" i="52"/>
  <c r="F8" i="52"/>
  <c r="AA9" i="52"/>
  <c r="AB9" i="52"/>
  <c r="AC9" i="52"/>
  <c r="AD9" i="52"/>
  <c r="AA10" i="52"/>
  <c r="AB10" i="52"/>
  <c r="AC10" i="52"/>
  <c r="AD10" i="52"/>
  <c r="AA11" i="52"/>
  <c r="AB11" i="52"/>
  <c r="AC11" i="52"/>
  <c r="AD11" i="52"/>
  <c r="AC12" i="52"/>
  <c r="AD12" i="52"/>
  <c r="F13" i="52"/>
  <c r="AA14" i="52"/>
  <c r="AA17" i="52" s="1"/>
  <c r="AB14" i="52"/>
  <c r="AB17" i="52" s="1"/>
  <c r="AC14" i="52"/>
  <c r="AD14" i="52"/>
  <c r="AC15" i="52"/>
  <c r="AD15" i="52"/>
  <c r="AC16" i="52"/>
  <c r="AD16" i="52"/>
  <c r="F17" i="52"/>
  <c r="AA18" i="52"/>
  <c r="AA20" i="52" s="1"/>
  <c r="AB18" i="52"/>
  <c r="AB20" i="52" s="1"/>
  <c r="AC18" i="52"/>
  <c r="AD18" i="52"/>
  <c r="AC19" i="52"/>
  <c r="AD19" i="52"/>
  <c r="F20" i="52"/>
  <c r="F22" i="52" s="1"/>
  <c r="AA21" i="52"/>
  <c r="AB21" i="52"/>
  <c r="AC21" i="52"/>
  <c r="AD21" i="52"/>
  <c r="AA23" i="52"/>
  <c r="AB23" i="52"/>
  <c r="AC23" i="52"/>
  <c r="AD23" i="52"/>
  <c r="AA24" i="52"/>
  <c r="AB24" i="52"/>
  <c r="AC24" i="52"/>
  <c r="AD24" i="52"/>
  <c r="AA25" i="52"/>
  <c r="AB25" i="52"/>
  <c r="AC25" i="52"/>
  <c r="AD25" i="52"/>
  <c r="AA26" i="52"/>
  <c r="AB26" i="52"/>
  <c r="AC26" i="52"/>
  <c r="AD26" i="52"/>
  <c r="AA28" i="52"/>
  <c r="AB28" i="52"/>
  <c r="AC28" i="52"/>
  <c r="AD28" i="52"/>
  <c r="AC29" i="52"/>
  <c r="AD29" i="52"/>
  <c r="AA31" i="52"/>
  <c r="AB31" i="52"/>
  <c r="AC31" i="52"/>
  <c r="AD31" i="52"/>
  <c r="F32" i="52"/>
  <c r="J32" i="52"/>
  <c r="N32" i="52"/>
  <c r="R32" i="52"/>
  <c r="V32" i="52"/>
  <c r="Z32" i="52"/>
  <c r="AA32" i="52"/>
  <c r="AB32" i="52"/>
  <c r="AA33" i="52"/>
  <c r="AB33" i="52"/>
  <c r="AC33" i="52"/>
  <c r="AD33" i="52"/>
  <c r="AA34" i="52"/>
  <c r="AB34" i="52"/>
  <c r="AC34" i="52"/>
  <c r="AD34" i="52"/>
  <c r="AC35" i="52"/>
  <c r="AD35" i="52"/>
  <c r="AA37" i="52"/>
  <c r="AB37" i="52"/>
  <c r="AC37" i="52"/>
  <c r="AD37" i="52"/>
  <c r="AA38" i="52"/>
  <c r="AB38" i="52"/>
  <c r="AC38" i="52"/>
  <c r="AD38" i="52"/>
  <c r="AA40" i="52"/>
  <c r="AA42" i="52" s="1"/>
  <c r="AB40" i="52"/>
  <c r="AB42" i="52" s="1"/>
  <c r="AC40" i="52"/>
  <c r="AD40" i="52"/>
  <c r="AC41" i="52"/>
  <c r="AD41" i="52"/>
  <c r="F42" i="52"/>
  <c r="J42" i="52"/>
  <c r="N42" i="52"/>
  <c r="R42" i="52"/>
  <c r="V42" i="52"/>
  <c r="Z42" i="52"/>
  <c r="A4" i="51"/>
  <c r="A4" i="52" s="1"/>
  <c r="A4" i="53" s="1"/>
  <c r="A4" i="54" s="1"/>
  <c r="A4" i="55" s="1"/>
  <c r="A3" i="56" s="1"/>
  <c r="A3" i="57" s="1"/>
  <c r="C8" i="51"/>
  <c r="D8" i="51"/>
  <c r="E8" i="51"/>
  <c r="F8" i="51"/>
  <c r="AA9" i="51"/>
  <c r="AB9" i="51"/>
  <c r="AC9" i="51"/>
  <c r="AD9" i="51"/>
  <c r="AA10" i="51"/>
  <c r="AB10" i="51"/>
  <c r="AC10" i="51"/>
  <c r="AD10" i="51"/>
  <c r="AA11" i="51"/>
  <c r="AB11" i="51"/>
  <c r="AC11" i="51"/>
  <c r="AD11" i="51"/>
  <c r="AC12" i="51"/>
  <c r="AD12" i="51"/>
  <c r="F13" i="51"/>
  <c r="AA14" i="51"/>
  <c r="AA17" i="51" s="1"/>
  <c r="AB14" i="51"/>
  <c r="AB17" i="51" s="1"/>
  <c r="AC14" i="51"/>
  <c r="AD14" i="51"/>
  <c r="AC15" i="51"/>
  <c r="AD15" i="51"/>
  <c r="AC16" i="51"/>
  <c r="AD16" i="51"/>
  <c r="F17" i="51"/>
  <c r="AA18" i="51"/>
  <c r="AA20" i="51" s="1"/>
  <c r="AB18" i="51"/>
  <c r="AB20" i="51" s="1"/>
  <c r="AC18" i="51"/>
  <c r="AD18" i="51"/>
  <c r="AC19" i="51"/>
  <c r="AD19" i="51"/>
  <c r="F20" i="51"/>
  <c r="AA21" i="51"/>
  <c r="AB21" i="51"/>
  <c r="AC21" i="51"/>
  <c r="AD21" i="51"/>
  <c r="AA23" i="51"/>
  <c r="AB23" i="51"/>
  <c r="AC23" i="51"/>
  <c r="AD23" i="51"/>
  <c r="AA24" i="51"/>
  <c r="AB24" i="51"/>
  <c r="AC24" i="51"/>
  <c r="AD24" i="51"/>
  <c r="AA25" i="51"/>
  <c r="AB25" i="51"/>
  <c r="AC25" i="51"/>
  <c r="AD25" i="51"/>
  <c r="AA26" i="51"/>
  <c r="AB26" i="51"/>
  <c r="AC26" i="51"/>
  <c r="AD26" i="51"/>
  <c r="F27" i="51"/>
  <c r="AA28" i="51"/>
  <c r="AB28" i="51"/>
  <c r="AC28" i="51"/>
  <c r="AD28" i="51"/>
  <c r="AC29" i="51"/>
  <c r="AD29" i="51"/>
  <c r="AA31" i="51"/>
  <c r="AB31" i="51"/>
  <c r="AC31" i="51"/>
  <c r="AD31" i="51"/>
  <c r="F32" i="51"/>
  <c r="AA33" i="51"/>
  <c r="AB33" i="51"/>
  <c r="AC33" i="51"/>
  <c r="AD33" i="51"/>
  <c r="AA34" i="51"/>
  <c r="AB34" i="51"/>
  <c r="AC34" i="51"/>
  <c r="AD34" i="51"/>
  <c r="AC35" i="51"/>
  <c r="AD35" i="51"/>
  <c r="AA37" i="51"/>
  <c r="AB37" i="51"/>
  <c r="AC37" i="51"/>
  <c r="AD37" i="51"/>
  <c r="AA38" i="51"/>
  <c r="AB38" i="51"/>
  <c r="AC38" i="51"/>
  <c r="AD38" i="51"/>
  <c r="AA40" i="51"/>
  <c r="AA42" i="51" s="1"/>
  <c r="AB40" i="51"/>
  <c r="AB42" i="51" s="1"/>
  <c r="AC40" i="51"/>
  <c r="AD40" i="51"/>
  <c r="AC41" i="51"/>
  <c r="AD41" i="51"/>
  <c r="F42" i="51"/>
  <c r="K44" i="51"/>
  <c r="M44" i="51"/>
  <c r="S44" i="51"/>
  <c r="U44" i="51"/>
  <c r="D44" i="51"/>
  <c r="E44" i="51"/>
  <c r="G44" i="51"/>
  <c r="H44" i="51"/>
  <c r="I44" i="51"/>
  <c r="L44" i="51"/>
  <c r="O44" i="51"/>
  <c r="P44" i="51"/>
  <c r="Q44" i="51"/>
  <c r="T44" i="51"/>
  <c r="W44" i="51"/>
  <c r="X44" i="51"/>
  <c r="Y44" i="51"/>
  <c r="G8" i="50"/>
  <c r="G8" i="54" s="1"/>
  <c r="H8" i="50"/>
  <c r="H8" i="55" s="1"/>
  <c r="I8" i="50"/>
  <c r="I8" i="54" s="1"/>
  <c r="J8" i="50"/>
  <c r="J8" i="54" s="1"/>
  <c r="K8" i="50"/>
  <c r="K8" i="54" s="1"/>
  <c r="L8" i="50"/>
  <c r="L8" i="55" s="1"/>
  <c r="M8" i="50"/>
  <c r="M8" i="54" s="1"/>
  <c r="O8" i="50"/>
  <c r="O8" i="54" s="1"/>
  <c r="AA9" i="50"/>
  <c r="AB9" i="50"/>
  <c r="AC9" i="50"/>
  <c r="AD9" i="50"/>
  <c r="AA10" i="50"/>
  <c r="AB10" i="50"/>
  <c r="AC10" i="50"/>
  <c r="AD10" i="50"/>
  <c r="AA11" i="50"/>
  <c r="AB11" i="50"/>
  <c r="AC11" i="50"/>
  <c r="AD11" i="50"/>
  <c r="AC12" i="50"/>
  <c r="AD12" i="50"/>
  <c r="F13" i="50"/>
  <c r="J13" i="50"/>
  <c r="N13" i="50"/>
  <c r="R13" i="50"/>
  <c r="V13" i="50"/>
  <c r="Z13" i="50"/>
  <c r="AA14" i="50"/>
  <c r="AA17" i="50" s="1"/>
  <c r="AB14" i="50"/>
  <c r="AB17" i="50" s="1"/>
  <c r="AC14" i="50"/>
  <c r="AD14" i="50"/>
  <c r="AC15" i="50"/>
  <c r="AD15" i="50"/>
  <c r="AC16" i="50"/>
  <c r="AD16" i="50"/>
  <c r="F17" i="50"/>
  <c r="J17" i="50"/>
  <c r="N17" i="50"/>
  <c r="R17" i="50"/>
  <c r="V17" i="50"/>
  <c r="AA18" i="50"/>
  <c r="AB18" i="50"/>
  <c r="AC18" i="50"/>
  <c r="AD18" i="50"/>
  <c r="AC19" i="50"/>
  <c r="AD19" i="50"/>
  <c r="F20" i="50"/>
  <c r="J20" i="50"/>
  <c r="N20" i="50"/>
  <c r="R20" i="50"/>
  <c r="V20" i="50"/>
  <c r="Z20" i="50"/>
  <c r="AC20" i="50"/>
  <c r="AA21" i="50"/>
  <c r="AB21" i="50"/>
  <c r="AC21" i="50"/>
  <c r="AD21" i="50"/>
  <c r="AA23" i="50"/>
  <c r="AB23" i="50"/>
  <c r="AC23" i="50"/>
  <c r="AD23" i="50"/>
  <c r="AA24" i="50"/>
  <c r="AB24" i="50"/>
  <c r="AC24" i="50"/>
  <c r="AD24" i="50"/>
  <c r="AA25" i="50"/>
  <c r="AB25" i="50"/>
  <c r="AC25" i="50"/>
  <c r="AD25" i="50"/>
  <c r="AA26" i="50"/>
  <c r="AB26" i="50"/>
  <c r="AC26" i="50"/>
  <c r="AC27" i="50" s="1"/>
  <c r="AD26" i="50"/>
  <c r="F27" i="50"/>
  <c r="J27" i="50"/>
  <c r="N27" i="50"/>
  <c r="R27" i="50"/>
  <c r="V27" i="50"/>
  <c r="Z27" i="50"/>
  <c r="AA28" i="50"/>
  <c r="AB28" i="50"/>
  <c r="AC28" i="50"/>
  <c r="AC32" i="50" s="1"/>
  <c r="AD28" i="50"/>
  <c r="AC29" i="50"/>
  <c r="AD29" i="50"/>
  <c r="AA31" i="50"/>
  <c r="AA32" i="50" s="1"/>
  <c r="AB31" i="50"/>
  <c r="AB32" i="50" s="1"/>
  <c r="AC31" i="50"/>
  <c r="AD31" i="50"/>
  <c r="F32" i="50"/>
  <c r="J32" i="50"/>
  <c r="N32" i="50"/>
  <c r="R32" i="50"/>
  <c r="V32" i="50"/>
  <c r="Z32" i="50"/>
  <c r="AA33" i="50"/>
  <c r="AB33" i="50"/>
  <c r="AC33" i="50"/>
  <c r="AD33" i="50"/>
  <c r="AA34" i="50"/>
  <c r="AB34" i="50"/>
  <c r="AC34" i="50"/>
  <c r="AD34" i="50"/>
  <c r="AC35" i="50"/>
  <c r="AD35" i="50"/>
  <c r="AA37" i="50"/>
  <c r="AB37" i="50"/>
  <c r="AC37" i="50"/>
  <c r="AD37" i="50"/>
  <c r="AA38" i="50"/>
  <c r="AB38" i="50"/>
  <c r="AC38" i="50"/>
  <c r="AD38" i="50"/>
  <c r="AA40" i="50"/>
  <c r="AA42" i="50" s="1"/>
  <c r="AB40" i="50"/>
  <c r="AC40" i="50"/>
  <c r="AD40" i="50"/>
  <c r="AC41" i="50"/>
  <c r="AD41" i="50"/>
  <c r="F42" i="50"/>
  <c r="J42" i="50"/>
  <c r="N42" i="50"/>
  <c r="R42" i="50"/>
  <c r="V42" i="50"/>
  <c r="Z42" i="50"/>
  <c r="AC42" i="50"/>
  <c r="D44" i="50"/>
  <c r="C44" i="50"/>
  <c r="E44" i="50"/>
  <c r="G44" i="50"/>
  <c r="H44" i="50"/>
  <c r="I44" i="50"/>
  <c r="K44" i="50"/>
  <c r="L44" i="50"/>
  <c r="M44" i="50"/>
  <c r="O44" i="50"/>
  <c r="P44" i="50"/>
  <c r="Q44" i="50"/>
  <c r="S44" i="50"/>
  <c r="T44" i="50"/>
  <c r="U44" i="50"/>
  <c r="W44" i="50"/>
  <c r="X44" i="50"/>
  <c r="Y44" i="50"/>
  <c r="H8" i="49"/>
  <c r="N8" i="49" s="1"/>
  <c r="T8" i="49" s="1"/>
  <c r="I8" i="49"/>
  <c r="O8" i="49" s="1"/>
  <c r="U8" i="49" s="1"/>
  <c r="J8" i="49"/>
  <c r="P8" i="49" s="1"/>
  <c r="K8" i="49"/>
  <c r="L8" i="49"/>
  <c r="M8" i="49"/>
  <c r="S8" i="49" s="1"/>
  <c r="Y8" i="49" s="1"/>
  <c r="Q8" i="49"/>
  <c r="W8" i="49" s="1"/>
  <c r="R8" i="49"/>
  <c r="X8" i="49" s="1"/>
  <c r="V8" i="49"/>
  <c r="T9" i="49"/>
  <c r="U9" i="49"/>
  <c r="V9" i="49"/>
  <c r="W9" i="49"/>
  <c r="X9" i="49"/>
  <c r="Y9" i="49"/>
  <c r="T10" i="49"/>
  <c r="U10" i="49"/>
  <c r="V10" i="49"/>
  <c r="W10" i="49"/>
  <c r="X10" i="49"/>
  <c r="Y10" i="49"/>
  <c r="T11" i="49"/>
  <c r="U11" i="49"/>
  <c r="V11" i="49"/>
  <c r="W11" i="49"/>
  <c r="X11" i="49"/>
  <c r="Y11" i="49"/>
  <c r="B12" i="49"/>
  <c r="C12" i="49"/>
  <c r="D12" i="49"/>
  <c r="E12" i="49"/>
  <c r="F12" i="49"/>
  <c r="G12" i="49"/>
  <c r="H12" i="49"/>
  <c r="I12" i="49"/>
  <c r="J12" i="49"/>
  <c r="K12" i="49"/>
  <c r="L12" i="49"/>
  <c r="M12" i="49"/>
  <c r="N12" i="49"/>
  <c r="O12" i="49"/>
  <c r="P12" i="49"/>
  <c r="Q12" i="49"/>
  <c r="R12" i="49"/>
  <c r="S12" i="49"/>
  <c r="T13" i="49"/>
  <c r="U13" i="49"/>
  <c r="V13" i="49"/>
  <c r="V12" i="49" s="1"/>
  <c r="W13" i="49"/>
  <c r="X13" i="49"/>
  <c r="Y13" i="49"/>
  <c r="X11" i="48"/>
  <c r="Y11" i="48"/>
  <c r="X12" i="48"/>
  <c r="Y12" i="48"/>
  <c r="J13" i="48"/>
  <c r="K13" i="48"/>
  <c r="X13" i="48"/>
  <c r="J14" i="48"/>
  <c r="K14" i="48"/>
  <c r="X14" i="48"/>
  <c r="Y14" i="48"/>
  <c r="K15" i="48"/>
  <c r="J15" i="48"/>
  <c r="X15" i="48"/>
  <c r="Y15" i="48"/>
  <c r="J17" i="48"/>
  <c r="X17" i="48"/>
  <c r="Y17" i="48"/>
  <c r="J18" i="48"/>
  <c r="K18" i="48"/>
  <c r="X18" i="48"/>
  <c r="Y18" i="48"/>
  <c r="K19" i="48"/>
  <c r="J19" i="48"/>
  <c r="J23" i="48"/>
  <c r="X23" i="48"/>
  <c r="R10" i="47"/>
  <c r="R20" i="47" s="1"/>
  <c r="K12" i="47"/>
  <c r="N20" i="47"/>
  <c r="O20" i="47"/>
  <c r="P20" i="47"/>
  <c r="Q20" i="47"/>
  <c r="N21" i="47"/>
  <c r="O21" i="47"/>
  <c r="P21" i="47"/>
  <c r="Q21" i="47"/>
  <c r="N22" i="47"/>
  <c r="O22" i="47"/>
  <c r="P22" i="47"/>
  <c r="Q22" i="47"/>
  <c r="N23" i="47"/>
  <c r="O23" i="47"/>
  <c r="P23" i="47"/>
  <c r="Q23" i="47"/>
  <c r="N24" i="47"/>
  <c r="O24" i="47"/>
  <c r="P24" i="47"/>
  <c r="Q24" i="47"/>
  <c r="L12" i="46"/>
  <c r="K12" i="46"/>
  <c r="K13" i="46"/>
  <c r="L13" i="46"/>
  <c r="K14" i="46"/>
  <c r="L14" i="46"/>
  <c r="L15" i="46"/>
  <c r="K15" i="46"/>
  <c r="K17" i="46"/>
  <c r="L17" i="46"/>
  <c r="K18" i="46"/>
  <c r="L18" i="46"/>
  <c r="K19" i="46"/>
  <c r="C30" i="46"/>
  <c r="G30" i="46"/>
  <c r="I60" i="46"/>
  <c r="B94" i="46"/>
  <c r="B95" i="46"/>
  <c r="B96" i="46"/>
  <c r="B97" i="46"/>
  <c r="B98" i="46"/>
  <c r="B99" i="46"/>
  <c r="A3" i="45"/>
  <c r="C10" i="45"/>
  <c r="G10" i="45" s="1"/>
  <c r="K10" i="45" s="1"/>
  <c r="O10" i="45" s="1"/>
  <c r="S10" i="45" s="1"/>
  <c r="E10" i="45"/>
  <c r="I10" i="45" s="1"/>
  <c r="M10" i="45" s="1"/>
  <c r="Q10" i="45" s="1"/>
  <c r="U10" i="45" s="1"/>
  <c r="C12" i="45"/>
  <c r="H12" i="45" s="1"/>
  <c r="J12" i="45"/>
  <c r="N12" i="45"/>
  <c r="P12" i="45"/>
  <c r="C13" i="45"/>
  <c r="H13" i="45" s="1"/>
  <c r="C14" i="45"/>
  <c r="H14" i="45" s="1"/>
  <c r="I15" i="45"/>
  <c r="I20" i="45" s="1"/>
  <c r="M15" i="45"/>
  <c r="M20" i="45" s="1"/>
  <c r="Q15" i="45"/>
  <c r="Q20" i="45" s="1"/>
  <c r="U15" i="45"/>
  <c r="C16" i="45"/>
  <c r="H16" i="45" s="1"/>
  <c r="C17" i="45"/>
  <c r="H17" i="45" s="1"/>
  <c r="J17" i="45"/>
  <c r="N17" i="45"/>
  <c r="R17" i="45"/>
  <c r="V17" i="45"/>
  <c r="C18" i="45"/>
  <c r="H18" i="45" s="1"/>
  <c r="C19" i="45"/>
  <c r="H19" i="45" s="1"/>
  <c r="J19" i="45"/>
  <c r="U20" i="45"/>
  <c r="C22" i="45"/>
  <c r="H22" i="45" s="1"/>
  <c r="C23" i="45"/>
  <c r="H23" i="45" s="1"/>
  <c r="R23" i="45"/>
  <c r="V23" i="45"/>
  <c r="C24" i="45"/>
  <c r="H24" i="45" s="1"/>
  <c r="J24" i="45"/>
  <c r="C25" i="45"/>
  <c r="H25" i="45" s="1"/>
  <c r="I26" i="45"/>
  <c r="M26" i="45"/>
  <c r="Q26" i="45"/>
  <c r="U26" i="45"/>
  <c r="C27" i="45"/>
  <c r="H27" i="45" s="1"/>
  <c r="C28" i="45"/>
  <c r="H28" i="45" s="1"/>
  <c r="R28" i="45"/>
  <c r="C29" i="45"/>
  <c r="H29" i="45" s="1"/>
  <c r="J29" i="45"/>
  <c r="N29" i="45"/>
  <c r="C30" i="45"/>
  <c r="H30" i="45" s="1"/>
  <c r="J30" i="45"/>
  <c r="N30" i="45"/>
  <c r="R30" i="45"/>
  <c r="V30" i="45"/>
  <c r="C31" i="45"/>
  <c r="H31" i="45" s="1"/>
  <c r="C32" i="45"/>
  <c r="H32" i="45" s="1"/>
  <c r="J32" i="45"/>
  <c r="N32" i="45"/>
  <c r="R32" i="45"/>
  <c r="C33" i="45"/>
  <c r="H33" i="45" s="1"/>
  <c r="J33" i="45"/>
  <c r="G34" i="45"/>
  <c r="K34" i="45"/>
  <c r="O34" i="45"/>
  <c r="S34" i="45"/>
  <c r="G35" i="45"/>
  <c r="K35" i="45"/>
  <c r="O35" i="45"/>
  <c r="S35" i="45"/>
  <c r="F10" i="44"/>
  <c r="I10" i="44" s="1"/>
  <c r="L10" i="44" s="1"/>
  <c r="O10" i="44" s="1"/>
  <c r="R10" i="44" s="1"/>
  <c r="U10" i="44" s="1"/>
  <c r="G10" i="44"/>
  <c r="M10" i="44" s="1"/>
  <c r="P10" i="44" s="1"/>
  <c r="S10" i="44" s="1"/>
  <c r="V10" i="44" s="1"/>
  <c r="E12" i="44"/>
  <c r="H12" i="44"/>
  <c r="K12" i="44"/>
  <c r="N12" i="44"/>
  <c r="Q12" i="44"/>
  <c r="U12" i="44"/>
  <c r="V12" i="44"/>
  <c r="E13" i="44"/>
  <c r="H13" i="44"/>
  <c r="K13" i="44"/>
  <c r="N13" i="44"/>
  <c r="Q13" i="44"/>
  <c r="U13" i="44"/>
  <c r="V13" i="44"/>
  <c r="E14" i="44"/>
  <c r="K14" i="44"/>
  <c r="N14" i="44"/>
  <c r="Q14" i="44"/>
  <c r="U14" i="44"/>
  <c r="V14" i="44"/>
  <c r="D15" i="44"/>
  <c r="E15" i="44" s="1"/>
  <c r="G15" i="44"/>
  <c r="H15" i="44" s="1"/>
  <c r="J15" i="44"/>
  <c r="K15" i="44" s="1"/>
  <c r="M15" i="44"/>
  <c r="N15" i="44" s="1"/>
  <c r="P15" i="44"/>
  <c r="Q15" i="44" s="1"/>
  <c r="S15" i="44"/>
  <c r="E16" i="44"/>
  <c r="H16" i="44"/>
  <c r="K16" i="44"/>
  <c r="N16" i="44"/>
  <c r="Q16" i="44"/>
  <c r="U16" i="44"/>
  <c r="V16" i="44"/>
  <c r="E17" i="44"/>
  <c r="H17" i="44"/>
  <c r="K17" i="44"/>
  <c r="N17" i="44"/>
  <c r="Q17" i="44"/>
  <c r="U17" i="44"/>
  <c r="V17" i="44"/>
  <c r="E18" i="44"/>
  <c r="H18" i="44"/>
  <c r="K18" i="44"/>
  <c r="N18" i="44"/>
  <c r="Q18" i="44"/>
  <c r="U18" i="44"/>
  <c r="V18" i="44"/>
  <c r="E19" i="44"/>
  <c r="H19" i="44"/>
  <c r="K19" i="44"/>
  <c r="N19" i="44"/>
  <c r="Q19" i="44"/>
  <c r="U19" i="44"/>
  <c r="V19" i="44"/>
  <c r="M20" i="44"/>
  <c r="N20" i="44" s="1"/>
  <c r="E22" i="44"/>
  <c r="H22" i="44"/>
  <c r="K22" i="44"/>
  <c r="N22" i="44"/>
  <c r="Q22" i="44"/>
  <c r="T22" i="44"/>
  <c r="U22" i="44"/>
  <c r="V22" i="44"/>
  <c r="E23" i="44"/>
  <c r="H23" i="44"/>
  <c r="K23" i="44"/>
  <c r="N23" i="44"/>
  <c r="Q23" i="44"/>
  <c r="U23" i="44"/>
  <c r="V23" i="44"/>
  <c r="E24" i="44"/>
  <c r="K24" i="44"/>
  <c r="N24" i="44"/>
  <c r="Q24" i="44"/>
  <c r="U24" i="44"/>
  <c r="V24" i="44"/>
  <c r="E25" i="44"/>
  <c r="K25" i="44"/>
  <c r="N25" i="44"/>
  <c r="Q25" i="44"/>
  <c r="U25" i="44"/>
  <c r="V25" i="44"/>
  <c r="D26" i="44"/>
  <c r="E26" i="44" s="1"/>
  <c r="G26" i="44"/>
  <c r="H26" i="44" s="1"/>
  <c r="J26" i="44"/>
  <c r="K26" i="44" s="1"/>
  <c r="M26" i="44"/>
  <c r="N26" i="44" s="1"/>
  <c r="P26" i="44"/>
  <c r="Q26" i="44" s="1"/>
  <c r="S26" i="44"/>
  <c r="T26" i="44" s="1"/>
  <c r="E27" i="44"/>
  <c r="H27" i="44"/>
  <c r="K27" i="44"/>
  <c r="N27" i="44"/>
  <c r="Q27" i="44"/>
  <c r="U27" i="44"/>
  <c r="V27" i="44"/>
  <c r="E28" i="44"/>
  <c r="K28" i="44"/>
  <c r="N28" i="44"/>
  <c r="Q28" i="44"/>
  <c r="U28" i="44"/>
  <c r="V28" i="44"/>
  <c r="E29" i="44"/>
  <c r="H29" i="44"/>
  <c r="K29" i="44"/>
  <c r="N29" i="44"/>
  <c r="Q29" i="44"/>
  <c r="U29" i="44"/>
  <c r="V29" i="44"/>
  <c r="E30" i="44"/>
  <c r="K30" i="44"/>
  <c r="N30" i="44"/>
  <c r="Q30" i="44"/>
  <c r="U30" i="44"/>
  <c r="V30" i="44"/>
  <c r="E31" i="44"/>
  <c r="H31" i="44"/>
  <c r="K31" i="44"/>
  <c r="N31" i="44"/>
  <c r="Q31" i="44"/>
  <c r="U31" i="44"/>
  <c r="V31" i="44"/>
  <c r="E32" i="44"/>
  <c r="K32" i="44"/>
  <c r="N32" i="44"/>
  <c r="Q32" i="44"/>
  <c r="U32" i="44"/>
  <c r="V32" i="44"/>
  <c r="E33" i="44"/>
  <c r="K33" i="44"/>
  <c r="N33" i="44"/>
  <c r="Q33" i="44"/>
  <c r="U33" i="44"/>
  <c r="V33" i="44"/>
  <c r="C34" i="44"/>
  <c r="C35" i="44" s="1"/>
  <c r="F34" i="44"/>
  <c r="F35" i="44" s="1"/>
  <c r="I34" i="44"/>
  <c r="I35" i="44" s="1"/>
  <c r="J34" i="44"/>
  <c r="K34" i="44" s="1"/>
  <c r="L34" i="44"/>
  <c r="L35" i="44" s="1"/>
  <c r="O34" i="44"/>
  <c r="O35" i="44" s="1"/>
  <c r="R34" i="44"/>
  <c r="R35" i="44" s="1"/>
  <c r="E10" i="43"/>
  <c r="G10" i="43"/>
  <c r="I10" i="43"/>
  <c r="E11" i="43"/>
  <c r="G11" i="43"/>
  <c r="I11" i="43"/>
  <c r="E12" i="43"/>
  <c r="G12" i="43"/>
  <c r="I12" i="43"/>
  <c r="C13" i="43"/>
  <c r="D13" i="43"/>
  <c r="F13" i="43"/>
  <c r="H13" i="43"/>
  <c r="E14" i="43"/>
  <c r="G14" i="43"/>
  <c r="I14" i="43"/>
  <c r="E15" i="43"/>
  <c r="G15" i="43"/>
  <c r="I15" i="43"/>
  <c r="E16" i="43"/>
  <c r="G16" i="43"/>
  <c r="I16" i="43"/>
  <c r="E17" i="43"/>
  <c r="G17" i="43"/>
  <c r="I17" i="43"/>
  <c r="C18" i="43"/>
  <c r="E20" i="43"/>
  <c r="G20" i="43"/>
  <c r="I20" i="43"/>
  <c r="E21" i="43"/>
  <c r="G21" i="43"/>
  <c r="I21" i="43"/>
  <c r="E22" i="43"/>
  <c r="G22" i="43"/>
  <c r="I22" i="43"/>
  <c r="E23" i="43"/>
  <c r="G23" i="43"/>
  <c r="I23" i="43"/>
  <c r="C24" i="43"/>
  <c r="C32" i="43" s="1"/>
  <c r="D24" i="43"/>
  <c r="F24" i="43"/>
  <c r="F32" i="43" s="1"/>
  <c r="H24" i="43"/>
  <c r="E25" i="43"/>
  <c r="G25" i="43"/>
  <c r="I25" i="43"/>
  <c r="E26" i="43"/>
  <c r="G26" i="43"/>
  <c r="I26" i="43"/>
  <c r="E27" i="43"/>
  <c r="G27" i="43"/>
  <c r="I27" i="43"/>
  <c r="E28" i="43"/>
  <c r="G28" i="43"/>
  <c r="I28" i="43"/>
  <c r="E29" i="43"/>
  <c r="G29" i="43"/>
  <c r="I29" i="43"/>
  <c r="E30" i="43"/>
  <c r="G30" i="43"/>
  <c r="I30" i="43"/>
  <c r="E31" i="43"/>
  <c r="G31" i="43"/>
  <c r="I31" i="43"/>
  <c r="C72" i="41"/>
  <c r="D37" i="41" s="1"/>
  <c r="E72" i="41"/>
  <c r="F15" i="41" s="1"/>
  <c r="A3" i="40"/>
  <c r="C10" i="40"/>
  <c r="D10" i="40"/>
  <c r="E10" i="40"/>
  <c r="F10" i="40"/>
  <c r="G10" i="40"/>
  <c r="H10" i="40"/>
  <c r="I10" i="40"/>
  <c r="J10" i="40"/>
  <c r="K10" i="40"/>
  <c r="L10" i="40"/>
  <c r="M10" i="40"/>
  <c r="N10" i="40"/>
  <c r="O10" i="40"/>
  <c r="P10" i="40"/>
  <c r="Q10" i="40"/>
  <c r="R10" i="40"/>
  <c r="S10" i="40"/>
  <c r="C11" i="40"/>
  <c r="D11" i="40"/>
  <c r="E11" i="40"/>
  <c r="F11" i="40"/>
  <c r="G11" i="40"/>
  <c r="H11" i="40"/>
  <c r="I11" i="40"/>
  <c r="J11" i="40"/>
  <c r="K11" i="40"/>
  <c r="L11" i="40"/>
  <c r="M11" i="40"/>
  <c r="N11" i="40"/>
  <c r="O11" i="40"/>
  <c r="P11" i="40"/>
  <c r="Q11" i="40"/>
  <c r="R11" i="40"/>
  <c r="S11" i="40"/>
  <c r="C12" i="40"/>
  <c r="D12" i="40"/>
  <c r="E12" i="40"/>
  <c r="F12" i="40"/>
  <c r="G12" i="40"/>
  <c r="H12" i="40"/>
  <c r="I12" i="40"/>
  <c r="J12" i="40"/>
  <c r="K12" i="40"/>
  <c r="L12" i="40"/>
  <c r="M12" i="40"/>
  <c r="N12" i="40"/>
  <c r="O12" i="40"/>
  <c r="P12" i="40"/>
  <c r="Q12" i="40"/>
  <c r="R12" i="40"/>
  <c r="S12" i="40"/>
  <c r="C13" i="40"/>
  <c r="D13" i="40"/>
  <c r="E13" i="40"/>
  <c r="F13" i="40"/>
  <c r="G13" i="40"/>
  <c r="H13" i="40"/>
  <c r="I13" i="40"/>
  <c r="J13" i="40"/>
  <c r="K13" i="40"/>
  <c r="L13" i="40"/>
  <c r="M13" i="40"/>
  <c r="N13" i="40"/>
  <c r="O13" i="40"/>
  <c r="P13" i="40"/>
  <c r="Q13" i="40"/>
  <c r="R13" i="40"/>
  <c r="S13" i="40"/>
  <c r="C14" i="40"/>
  <c r="D14" i="40"/>
  <c r="E14" i="40"/>
  <c r="F14" i="40"/>
  <c r="G14" i="40"/>
  <c r="H14" i="40"/>
  <c r="I14" i="40"/>
  <c r="J14" i="40"/>
  <c r="K14" i="40"/>
  <c r="L14" i="40"/>
  <c r="M14" i="40"/>
  <c r="N14" i="40"/>
  <c r="O14" i="40"/>
  <c r="P14" i="40"/>
  <c r="Q14" i="40"/>
  <c r="R14" i="40"/>
  <c r="S14" i="40"/>
  <c r="C15" i="40"/>
  <c r="D15" i="40"/>
  <c r="E15" i="40"/>
  <c r="F15" i="40"/>
  <c r="G15" i="40"/>
  <c r="H15" i="40"/>
  <c r="I15" i="40"/>
  <c r="J15" i="40"/>
  <c r="K15" i="40"/>
  <c r="L15" i="40"/>
  <c r="M15" i="40"/>
  <c r="N15" i="40"/>
  <c r="O15" i="40"/>
  <c r="P15" i="40"/>
  <c r="Q15" i="40"/>
  <c r="R15" i="40"/>
  <c r="S15" i="40"/>
  <c r="C16" i="40"/>
  <c r="D16" i="40"/>
  <c r="E16" i="40"/>
  <c r="F16" i="40"/>
  <c r="G16" i="40"/>
  <c r="H16" i="40"/>
  <c r="I16" i="40"/>
  <c r="J16" i="40"/>
  <c r="K16" i="40"/>
  <c r="L16" i="40"/>
  <c r="M16" i="40"/>
  <c r="N16" i="40"/>
  <c r="O16" i="40"/>
  <c r="P16" i="40"/>
  <c r="Q16" i="40"/>
  <c r="R16" i="40"/>
  <c r="S16" i="40"/>
  <c r="C17" i="40"/>
  <c r="D17" i="40"/>
  <c r="E17" i="40"/>
  <c r="F17" i="40"/>
  <c r="G17" i="40"/>
  <c r="H17" i="40"/>
  <c r="I17" i="40"/>
  <c r="J17" i="40"/>
  <c r="K17" i="40"/>
  <c r="L17" i="40"/>
  <c r="M17" i="40"/>
  <c r="N17" i="40"/>
  <c r="O17" i="40"/>
  <c r="P17" i="40"/>
  <c r="Q17" i="40"/>
  <c r="R17" i="40"/>
  <c r="S17" i="40"/>
  <c r="C18" i="40"/>
  <c r="D18" i="40"/>
  <c r="E18" i="40"/>
  <c r="F18" i="40"/>
  <c r="G18" i="40"/>
  <c r="H18" i="40"/>
  <c r="I18" i="40"/>
  <c r="J18" i="40"/>
  <c r="K18" i="40"/>
  <c r="L18" i="40"/>
  <c r="M18" i="40"/>
  <c r="N18" i="40"/>
  <c r="O18" i="40"/>
  <c r="P18" i="40"/>
  <c r="Q18" i="40"/>
  <c r="R18" i="40"/>
  <c r="S18" i="40"/>
  <c r="C19" i="40"/>
  <c r="D19" i="40"/>
  <c r="E19" i="40"/>
  <c r="F19" i="40"/>
  <c r="G19" i="40"/>
  <c r="H19" i="40"/>
  <c r="I19" i="40"/>
  <c r="J19" i="40"/>
  <c r="K19" i="40"/>
  <c r="L19" i="40"/>
  <c r="M19" i="40"/>
  <c r="N19" i="40"/>
  <c r="O19" i="40"/>
  <c r="P19" i="40"/>
  <c r="Q19" i="40"/>
  <c r="R19" i="40"/>
  <c r="S19" i="40"/>
  <c r="C20" i="40"/>
  <c r="D20" i="40"/>
  <c r="E20" i="40"/>
  <c r="F20" i="40"/>
  <c r="G20" i="40"/>
  <c r="H20" i="40"/>
  <c r="I20" i="40"/>
  <c r="J20" i="40"/>
  <c r="K20" i="40"/>
  <c r="L20" i="40"/>
  <c r="M20" i="40"/>
  <c r="N20" i="40"/>
  <c r="O20" i="40"/>
  <c r="P20" i="40"/>
  <c r="Q20" i="40"/>
  <c r="R20" i="40"/>
  <c r="S20" i="40"/>
  <c r="C21" i="40"/>
  <c r="D21" i="40"/>
  <c r="E21" i="40"/>
  <c r="F21" i="40"/>
  <c r="G21" i="40"/>
  <c r="H21" i="40"/>
  <c r="I21" i="40"/>
  <c r="J21" i="40"/>
  <c r="K21" i="40"/>
  <c r="L21" i="40"/>
  <c r="M21" i="40"/>
  <c r="N21" i="40"/>
  <c r="O21" i="40"/>
  <c r="P21" i="40"/>
  <c r="Q21" i="40"/>
  <c r="R21" i="40"/>
  <c r="S21" i="40"/>
  <c r="T43" i="40"/>
  <c r="T44" i="40"/>
  <c r="T45" i="40"/>
  <c r="T46" i="40"/>
  <c r="T47" i="40"/>
  <c r="T50" i="40"/>
  <c r="T53" i="40"/>
  <c r="T54" i="40"/>
  <c r="C55" i="40"/>
  <c r="D55" i="40"/>
  <c r="E55" i="40"/>
  <c r="F55" i="40"/>
  <c r="G55" i="40"/>
  <c r="H55" i="40"/>
  <c r="I55" i="40"/>
  <c r="J55" i="40"/>
  <c r="K55" i="40"/>
  <c r="L55" i="40"/>
  <c r="M55" i="40"/>
  <c r="N55" i="40"/>
  <c r="O55" i="40"/>
  <c r="P55" i="40"/>
  <c r="Q55" i="40"/>
  <c r="R55" i="40"/>
  <c r="S55" i="40"/>
  <c r="C9" i="39"/>
  <c r="H9" i="39"/>
  <c r="C10" i="39"/>
  <c r="H10" i="39"/>
  <c r="C11" i="39"/>
  <c r="H11" i="39"/>
  <c r="C12" i="39"/>
  <c r="H12" i="39"/>
  <c r="C13" i="39"/>
  <c r="H13" i="39"/>
  <c r="C14" i="39"/>
  <c r="H14" i="39"/>
  <c r="C15" i="39"/>
  <c r="H15" i="39"/>
  <c r="C16" i="39"/>
  <c r="H16" i="39"/>
  <c r="C17" i="39"/>
  <c r="H17" i="39"/>
  <c r="C18" i="39"/>
  <c r="H18" i="39"/>
  <c r="C19" i="39"/>
  <c r="H19" i="39"/>
  <c r="C20" i="39"/>
  <c r="H20" i="39"/>
  <c r="D21" i="39"/>
  <c r="E21" i="39"/>
  <c r="F21" i="39"/>
  <c r="G21" i="39"/>
  <c r="I21" i="39"/>
  <c r="J21" i="39"/>
  <c r="K21" i="39"/>
  <c r="L21" i="39"/>
  <c r="M21" i="39"/>
  <c r="N21" i="39"/>
  <c r="O21" i="39"/>
  <c r="A33" i="39"/>
  <c r="N39" i="39"/>
  <c r="N40" i="39"/>
  <c r="N41" i="39"/>
  <c r="N42" i="39"/>
  <c r="N43" i="39"/>
  <c r="N44" i="39"/>
  <c r="N45" i="39"/>
  <c r="N46" i="39"/>
  <c r="N47" i="39"/>
  <c r="N48" i="39"/>
  <c r="N49" i="39"/>
  <c r="N50" i="39"/>
  <c r="C51" i="39"/>
  <c r="D51" i="39"/>
  <c r="E51" i="39"/>
  <c r="F51" i="39"/>
  <c r="H51" i="39"/>
  <c r="I51" i="39"/>
  <c r="J51" i="39"/>
  <c r="K51" i="39"/>
  <c r="L51" i="39"/>
  <c r="M51" i="39"/>
  <c r="H78" i="39"/>
  <c r="I78" i="39"/>
  <c r="J67" i="39" s="1"/>
  <c r="F20" i="37"/>
  <c r="H20" i="37"/>
  <c r="R20" i="37"/>
  <c r="B11" i="36"/>
  <c r="C11" i="36" s="1"/>
  <c r="D11" i="36"/>
  <c r="E11" i="36" s="1"/>
  <c r="J11" i="36"/>
  <c r="K11" i="36" s="1"/>
  <c r="L11" i="36"/>
  <c r="M11" i="36" s="1"/>
  <c r="N11" i="36"/>
  <c r="O11" i="36" s="1"/>
  <c r="P11" i="36"/>
  <c r="Q11" i="36" s="1"/>
  <c r="T11" i="36"/>
  <c r="U11" i="36" s="1"/>
  <c r="V11" i="36"/>
  <c r="W11" i="36" s="1"/>
  <c r="X11" i="36"/>
  <c r="Y11" i="36" s="1"/>
  <c r="Z11" i="36"/>
  <c r="AA11" i="36" s="1"/>
  <c r="AB11" i="36"/>
  <c r="AC11" i="36" s="1"/>
  <c r="AD11" i="36"/>
  <c r="AE11" i="36" s="1"/>
  <c r="B12" i="36"/>
  <c r="C12" i="36" s="1"/>
  <c r="D12" i="36"/>
  <c r="E12" i="36" s="1"/>
  <c r="J12" i="36"/>
  <c r="K12" i="36" s="1"/>
  <c r="L12" i="36"/>
  <c r="M12" i="36" s="1"/>
  <c r="N12" i="36"/>
  <c r="O12" i="36" s="1"/>
  <c r="P12" i="36"/>
  <c r="Q12" i="36" s="1"/>
  <c r="T12" i="36"/>
  <c r="U12" i="36" s="1"/>
  <c r="V12" i="36"/>
  <c r="W12" i="36" s="1"/>
  <c r="X12" i="36"/>
  <c r="Y12" i="36" s="1"/>
  <c r="Z12" i="36"/>
  <c r="AA12" i="36" s="1"/>
  <c r="AB12" i="36"/>
  <c r="AC12" i="36" s="1"/>
  <c r="AD12" i="36"/>
  <c r="AE12" i="36" s="1"/>
  <c r="B13" i="36"/>
  <c r="C13" i="36" s="1"/>
  <c r="D13" i="36"/>
  <c r="E13" i="36" s="1"/>
  <c r="J13" i="36"/>
  <c r="K13" i="36" s="1"/>
  <c r="L13" i="36"/>
  <c r="M13" i="36" s="1"/>
  <c r="N13" i="36"/>
  <c r="O13" i="36" s="1"/>
  <c r="P13" i="36"/>
  <c r="Q13" i="36" s="1"/>
  <c r="T13" i="36"/>
  <c r="U13" i="36" s="1"/>
  <c r="V13" i="36"/>
  <c r="W13" i="36" s="1"/>
  <c r="X13" i="36"/>
  <c r="Y13" i="36" s="1"/>
  <c r="Z13" i="36"/>
  <c r="AA13" i="36" s="1"/>
  <c r="AB13" i="36"/>
  <c r="AC13" i="36" s="1"/>
  <c r="AD13" i="36"/>
  <c r="AE13" i="36" s="1"/>
  <c r="C14" i="36"/>
  <c r="E14" i="36"/>
  <c r="J14" i="36"/>
  <c r="K14" i="36" s="1"/>
  <c r="L14" i="36"/>
  <c r="M14" i="36" s="1"/>
  <c r="N14" i="36"/>
  <c r="O14" i="36" s="1"/>
  <c r="P14" i="36"/>
  <c r="Q14" i="36" s="1"/>
  <c r="T14" i="36"/>
  <c r="U14" i="36" s="1"/>
  <c r="V14" i="36"/>
  <c r="W14" i="36" s="1"/>
  <c r="X14" i="36"/>
  <c r="Y14" i="36" s="1"/>
  <c r="Z14" i="36"/>
  <c r="AA14" i="36" s="1"/>
  <c r="AB14" i="36"/>
  <c r="AC14" i="36" s="1"/>
  <c r="AD14" i="36"/>
  <c r="AE14" i="36" s="1"/>
  <c r="C15" i="36"/>
  <c r="E15" i="36"/>
  <c r="J15" i="36"/>
  <c r="K15" i="36" s="1"/>
  <c r="L15" i="36"/>
  <c r="M15" i="36" s="1"/>
  <c r="N15" i="36"/>
  <c r="O15" i="36" s="1"/>
  <c r="P15" i="36"/>
  <c r="Q15" i="36" s="1"/>
  <c r="T15" i="36"/>
  <c r="U15" i="36" s="1"/>
  <c r="V15" i="36"/>
  <c r="W15" i="36" s="1"/>
  <c r="X15" i="36"/>
  <c r="Y15" i="36" s="1"/>
  <c r="Z15" i="36"/>
  <c r="AA15" i="36" s="1"/>
  <c r="AB15" i="36"/>
  <c r="AC15" i="36" s="1"/>
  <c r="AD15" i="36"/>
  <c r="AE15" i="36" s="1"/>
  <c r="C16" i="36"/>
  <c r="E16" i="36"/>
  <c r="J16" i="36"/>
  <c r="K16" i="36" s="1"/>
  <c r="L16" i="36"/>
  <c r="M16" i="36" s="1"/>
  <c r="N16" i="36"/>
  <c r="O16" i="36" s="1"/>
  <c r="P16" i="36"/>
  <c r="Q16" i="36" s="1"/>
  <c r="T16" i="36"/>
  <c r="U16" i="36" s="1"/>
  <c r="V16" i="36"/>
  <c r="W16" i="36" s="1"/>
  <c r="X16" i="36"/>
  <c r="Y16" i="36" s="1"/>
  <c r="Z16" i="36"/>
  <c r="AA16" i="36" s="1"/>
  <c r="AB16" i="36"/>
  <c r="AC16" i="36" s="1"/>
  <c r="AD16" i="36"/>
  <c r="AE16" i="36" s="1"/>
  <c r="J17" i="36"/>
  <c r="K17" i="36" s="1"/>
  <c r="L17" i="36"/>
  <c r="M17" i="36" s="1"/>
  <c r="N17" i="36"/>
  <c r="O17" i="36" s="1"/>
  <c r="P17" i="36"/>
  <c r="Q17" i="36" s="1"/>
  <c r="T17" i="36"/>
  <c r="U17" i="36" s="1"/>
  <c r="V17" i="36"/>
  <c r="W17" i="36" s="1"/>
  <c r="X17" i="36"/>
  <c r="Y17" i="36" s="1"/>
  <c r="Z17" i="36"/>
  <c r="AA17" i="36" s="1"/>
  <c r="AB17" i="36"/>
  <c r="AC17" i="36" s="1"/>
  <c r="AD17" i="36"/>
  <c r="AE17" i="36" s="1"/>
  <c r="J18" i="36"/>
  <c r="K18" i="36" s="1"/>
  <c r="L18" i="36"/>
  <c r="M18" i="36" s="1"/>
  <c r="N18" i="36"/>
  <c r="O18" i="36" s="1"/>
  <c r="P18" i="36"/>
  <c r="Q18" i="36" s="1"/>
  <c r="T18" i="36"/>
  <c r="U18" i="36" s="1"/>
  <c r="V18" i="36"/>
  <c r="W18" i="36" s="1"/>
  <c r="X18" i="36"/>
  <c r="Y18" i="36" s="1"/>
  <c r="Z18" i="36"/>
  <c r="AA18" i="36" s="1"/>
  <c r="AB18" i="36"/>
  <c r="AC18" i="36" s="1"/>
  <c r="AD18" i="36"/>
  <c r="AE18" i="36" s="1"/>
  <c r="J19" i="36"/>
  <c r="K19" i="36" s="1"/>
  <c r="L19" i="36"/>
  <c r="M19" i="36" s="1"/>
  <c r="N19" i="36"/>
  <c r="O19" i="36" s="1"/>
  <c r="P19" i="36"/>
  <c r="Q19" i="36" s="1"/>
  <c r="T19" i="36"/>
  <c r="U19" i="36" s="1"/>
  <c r="V19" i="36"/>
  <c r="W19" i="36" s="1"/>
  <c r="X19" i="36"/>
  <c r="Y19" i="36" s="1"/>
  <c r="Z19" i="36"/>
  <c r="AA19" i="36" s="1"/>
  <c r="AB19" i="36"/>
  <c r="AC19" i="36" s="1"/>
  <c r="AD19" i="36"/>
  <c r="AE19" i="36" s="1"/>
  <c r="L20" i="36"/>
  <c r="N20" i="36"/>
  <c r="P20" i="36"/>
  <c r="T20" i="36"/>
  <c r="V20" i="36"/>
  <c r="X20" i="36"/>
  <c r="Z20" i="36"/>
  <c r="AB20" i="36"/>
  <c r="AD20" i="36"/>
  <c r="F20" i="35"/>
  <c r="H20" i="35"/>
  <c r="R20" i="35"/>
  <c r="F20" i="34"/>
  <c r="H20" i="34"/>
  <c r="R20" i="34"/>
  <c r="B23" i="34"/>
  <c r="R20" i="33"/>
  <c r="B23" i="33"/>
  <c r="B23" i="37" s="1"/>
  <c r="B23" i="32"/>
  <c r="A11" i="31"/>
  <c r="A11" i="32" s="1"/>
  <c r="A11" i="33" s="1"/>
  <c r="A11" i="34" s="1"/>
  <c r="A11" i="35" s="1"/>
  <c r="A11" i="36" s="1"/>
  <c r="A11" i="37" s="1"/>
  <c r="A11" i="38" s="1"/>
  <c r="A12" i="31"/>
  <c r="A12" i="32" s="1"/>
  <c r="A12" i="33" s="1"/>
  <c r="A12" i="34" s="1"/>
  <c r="A12" i="35" s="1"/>
  <c r="A12" i="36" s="1"/>
  <c r="A12" i="37" s="1"/>
  <c r="A12" i="38" s="1"/>
  <c r="A13" i="31"/>
  <c r="A13" i="32" s="1"/>
  <c r="A13" i="33" s="1"/>
  <c r="A13" i="34" s="1"/>
  <c r="A13" i="35" s="1"/>
  <c r="A13" i="36" s="1"/>
  <c r="A13" i="37" s="1"/>
  <c r="A13" i="38" s="1"/>
  <c r="A14" i="31"/>
  <c r="A14" i="32" s="1"/>
  <c r="A14" i="33" s="1"/>
  <c r="A14" i="34" s="1"/>
  <c r="A14" i="35" s="1"/>
  <c r="A14" i="36" s="1"/>
  <c r="A14" i="37" s="1"/>
  <c r="A14" i="38" s="1"/>
  <c r="A15" i="31"/>
  <c r="A15" i="32" s="1"/>
  <c r="A15" i="33" s="1"/>
  <c r="A15" i="34" s="1"/>
  <c r="A15" i="35" s="1"/>
  <c r="A15" i="36" s="1"/>
  <c r="A15" i="37" s="1"/>
  <c r="A15" i="38" s="1"/>
  <c r="A16" i="31"/>
  <c r="A16" i="32" s="1"/>
  <c r="A16" i="33" s="1"/>
  <c r="A16" i="34" s="1"/>
  <c r="A16" i="35" s="1"/>
  <c r="A16" i="36" s="1"/>
  <c r="A16" i="37" s="1"/>
  <c r="A16" i="38" s="1"/>
  <c r="A17" i="31"/>
  <c r="A17" i="32" s="1"/>
  <c r="A17" i="33" s="1"/>
  <c r="A17" i="34" s="1"/>
  <c r="A17" i="35" s="1"/>
  <c r="A17" i="36" s="1"/>
  <c r="A17" i="37" s="1"/>
  <c r="A17" i="38" s="1"/>
  <c r="A18" i="31"/>
  <c r="A18" i="32" s="1"/>
  <c r="A18" i="33" s="1"/>
  <c r="A18" i="34" s="1"/>
  <c r="A18" i="35" s="1"/>
  <c r="A18" i="36" s="1"/>
  <c r="A18" i="37" s="1"/>
  <c r="A18" i="38" s="1"/>
  <c r="A19" i="31"/>
  <c r="A19" i="32" s="1"/>
  <c r="A19" i="33" s="1"/>
  <c r="A19" i="34" s="1"/>
  <c r="A19" i="35" s="1"/>
  <c r="A19" i="36" s="1"/>
  <c r="A19" i="37" s="1"/>
  <c r="A19" i="38" s="1"/>
  <c r="A20" i="31"/>
  <c r="A20" i="32" s="1"/>
  <c r="A20" i="33" s="1"/>
  <c r="A20" i="34" s="1"/>
  <c r="A20" i="35" s="1"/>
  <c r="A20" i="36" s="1"/>
  <c r="A20" i="37" s="1"/>
  <c r="A20" i="38" s="1"/>
  <c r="B23" i="31"/>
  <c r="A3" i="30"/>
  <c r="A3" i="31" s="1"/>
  <c r="A3" i="32" s="1"/>
  <c r="A3" i="33" s="1"/>
  <c r="A3" i="34" s="1"/>
  <c r="A3" i="35" s="1"/>
  <c r="A3" i="36" s="1"/>
  <c r="A3" i="37" s="1"/>
  <c r="A3" i="38" s="1"/>
  <c r="K20" i="37"/>
  <c r="M20" i="37"/>
  <c r="O20" i="37"/>
  <c r="Q20" i="37"/>
  <c r="U20" i="37"/>
  <c r="W20" i="37"/>
  <c r="Y20" i="37"/>
  <c r="AA20" i="37"/>
  <c r="AC20" i="37"/>
  <c r="AE20" i="37"/>
  <c r="A3" i="103"/>
  <c r="N8" i="103"/>
  <c r="N9" i="103"/>
  <c r="N10" i="103"/>
  <c r="C11" i="103"/>
  <c r="D11" i="103"/>
  <c r="E11" i="103"/>
  <c r="F11" i="103"/>
  <c r="G11" i="103"/>
  <c r="H11" i="103"/>
  <c r="I11" i="103"/>
  <c r="J11" i="103"/>
  <c r="K11" i="103"/>
  <c r="L11" i="103"/>
  <c r="M11" i="103"/>
  <c r="N12" i="103"/>
  <c r="N13" i="103"/>
  <c r="N14" i="103"/>
  <c r="N15" i="103"/>
  <c r="N16" i="103"/>
  <c r="N17" i="103"/>
  <c r="N18" i="103"/>
  <c r="C19" i="103"/>
  <c r="D19" i="103"/>
  <c r="E19" i="103"/>
  <c r="F19" i="103"/>
  <c r="G19" i="103"/>
  <c r="H19" i="103"/>
  <c r="I19" i="103"/>
  <c r="J19" i="103"/>
  <c r="K19" i="103"/>
  <c r="L19" i="103"/>
  <c r="M19" i="103"/>
  <c r="N20" i="103"/>
  <c r="N21" i="103"/>
  <c r="N22" i="103"/>
  <c r="N23" i="103"/>
  <c r="L8" i="104"/>
  <c r="L9" i="104"/>
  <c r="L10" i="104"/>
  <c r="L11" i="104"/>
  <c r="L12" i="104"/>
  <c r="L14" i="104"/>
  <c r="L15" i="104"/>
  <c r="L17" i="104"/>
  <c r="L18" i="104"/>
  <c r="L19" i="104"/>
  <c r="L20" i="104"/>
  <c r="L21" i="104"/>
  <c r="A3" i="15"/>
  <c r="B8" i="21"/>
  <c r="C8" i="21"/>
  <c r="D8" i="21"/>
  <c r="E8" i="21"/>
  <c r="F8" i="21"/>
  <c r="G8" i="21"/>
  <c r="H8" i="21"/>
  <c r="I8" i="21"/>
  <c r="J8" i="21"/>
  <c r="B9" i="21"/>
  <c r="C9" i="21"/>
  <c r="D9" i="21"/>
  <c r="E9" i="21"/>
  <c r="F9" i="21"/>
  <c r="G9" i="21"/>
  <c r="H9" i="21"/>
  <c r="I9" i="21"/>
  <c r="J9" i="21"/>
  <c r="B10" i="21"/>
  <c r="C10" i="21"/>
  <c r="D10" i="21"/>
  <c r="E10" i="21"/>
  <c r="F10" i="21"/>
  <c r="G10" i="21"/>
  <c r="H10" i="21"/>
  <c r="I10" i="21"/>
  <c r="J10" i="21"/>
  <c r="B11" i="21"/>
  <c r="C11" i="21"/>
  <c r="D11" i="21"/>
  <c r="E11" i="21"/>
  <c r="F11" i="21"/>
  <c r="G11" i="21"/>
  <c r="H11" i="21"/>
  <c r="I11" i="21"/>
  <c r="J11" i="21"/>
  <c r="B12" i="21"/>
  <c r="C12" i="21"/>
  <c r="D12" i="21"/>
  <c r="E12" i="21"/>
  <c r="F12" i="21"/>
  <c r="G12" i="21"/>
  <c r="H12" i="21"/>
  <c r="J12" i="21"/>
  <c r="B14" i="21"/>
  <c r="C14" i="21"/>
  <c r="D14" i="21"/>
  <c r="E14" i="21"/>
  <c r="F14" i="21"/>
  <c r="G14" i="21"/>
  <c r="H14" i="21"/>
  <c r="I14" i="21"/>
  <c r="J14" i="21"/>
  <c r="B15" i="21"/>
  <c r="C15" i="21"/>
  <c r="D15" i="21"/>
  <c r="E15" i="21"/>
  <c r="F15" i="21"/>
  <c r="G15" i="21"/>
  <c r="H15" i="21"/>
  <c r="I15" i="21"/>
  <c r="J15" i="21"/>
  <c r="B16" i="21"/>
  <c r="C16" i="21"/>
  <c r="D16" i="21"/>
  <c r="E16" i="21"/>
  <c r="F16" i="21"/>
  <c r="G16" i="21"/>
  <c r="H16" i="21"/>
  <c r="I16" i="21"/>
  <c r="J16" i="21"/>
  <c r="B17" i="21"/>
  <c r="C17" i="21"/>
  <c r="D17" i="21"/>
  <c r="E17" i="21"/>
  <c r="F17" i="21"/>
  <c r="G17" i="21"/>
  <c r="H17" i="21"/>
  <c r="I17" i="21"/>
  <c r="J17" i="21"/>
  <c r="B18" i="21"/>
  <c r="C18" i="21"/>
  <c r="D18" i="21"/>
  <c r="E18" i="21"/>
  <c r="F18" i="21"/>
  <c r="G18" i="21"/>
  <c r="H18" i="21"/>
  <c r="I18" i="21"/>
  <c r="J18" i="21"/>
  <c r="B19" i="21"/>
  <c r="C19" i="21"/>
  <c r="D19" i="21"/>
  <c r="E19" i="21"/>
  <c r="F19" i="21"/>
  <c r="G19" i="21"/>
  <c r="H19" i="21"/>
  <c r="I19" i="21"/>
  <c r="J19" i="21"/>
  <c r="B20" i="21"/>
  <c r="C20" i="21"/>
  <c r="D20" i="21"/>
  <c r="E20" i="21"/>
  <c r="F20" i="21"/>
  <c r="G20" i="21"/>
  <c r="H20" i="21"/>
  <c r="I20" i="21"/>
  <c r="B21" i="21"/>
  <c r="C21" i="21"/>
  <c r="D21" i="21"/>
  <c r="E21" i="21"/>
  <c r="F21" i="21"/>
  <c r="G21" i="21"/>
  <c r="H21" i="21"/>
  <c r="I21" i="21"/>
  <c r="J21" i="21"/>
  <c r="B3" i="13"/>
  <c r="A3" i="12"/>
  <c r="K10" i="12"/>
  <c r="D11" i="12"/>
  <c r="K11" i="12"/>
  <c r="D12" i="12"/>
  <c r="K12" i="12"/>
  <c r="D13" i="12"/>
  <c r="D14" i="12"/>
  <c r="K14" i="12"/>
  <c r="D15" i="12"/>
  <c r="K18" i="12"/>
  <c r="B19" i="12"/>
  <c r="K19" i="12"/>
  <c r="B20" i="12"/>
  <c r="K20" i="12"/>
  <c r="B21" i="12"/>
  <c r="K21" i="12"/>
  <c r="K22" i="12"/>
  <c r="K23" i="12"/>
  <c r="D25" i="12"/>
  <c r="E25" i="12"/>
  <c r="F25" i="12"/>
  <c r="G25" i="12"/>
  <c r="H25" i="12"/>
  <c r="I25" i="12"/>
  <c r="J25" i="12"/>
  <c r="B26" i="12"/>
  <c r="K26" i="12"/>
  <c r="B27" i="12"/>
  <c r="K27" i="12"/>
  <c r="H30" i="12"/>
  <c r="K30" i="12"/>
  <c r="D31" i="12"/>
  <c r="F31" i="12"/>
  <c r="J31" i="12"/>
  <c r="K31" i="12"/>
  <c r="D32" i="12"/>
  <c r="F32" i="12"/>
  <c r="G32" i="12"/>
  <c r="J32" i="12"/>
  <c r="K32" i="12"/>
  <c r="D37" i="12"/>
  <c r="E37" i="12"/>
  <c r="F37" i="12"/>
  <c r="G37" i="12"/>
  <c r="H37" i="12"/>
  <c r="I37" i="12"/>
  <c r="J37" i="12"/>
  <c r="B38" i="12"/>
  <c r="K38" i="12"/>
  <c r="B39" i="12"/>
  <c r="K39" i="12"/>
  <c r="B40" i="12"/>
  <c r="K40" i="12"/>
  <c r="B41" i="12"/>
  <c r="K41" i="12"/>
  <c r="K44" i="12"/>
  <c r="K45" i="12"/>
  <c r="K46" i="12"/>
  <c r="K47" i="12"/>
  <c r="K48" i="12"/>
  <c r="K49" i="12"/>
  <c r="K50" i="12"/>
  <c r="K51" i="12"/>
  <c r="K52" i="12"/>
  <c r="K53" i="12"/>
  <c r="K54" i="12"/>
  <c r="K57" i="12"/>
  <c r="D58" i="12"/>
  <c r="K58" i="12"/>
  <c r="K59" i="12"/>
  <c r="K62" i="12"/>
  <c r="D63" i="12"/>
  <c r="K63" i="12"/>
  <c r="D64" i="12"/>
  <c r="K64" i="12"/>
  <c r="D65" i="12"/>
  <c r="K65" i="12"/>
  <c r="K68" i="12"/>
  <c r="K69" i="12"/>
  <c r="J70" i="12"/>
  <c r="K70" i="12"/>
  <c r="J71" i="12"/>
  <c r="K71" i="12"/>
  <c r="D74" i="12"/>
  <c r="G74" i="12"/>
  <c r="K74" i="12"/>
  <c r="D75" i="12"/>
  <c r="G75" i="12"/>
  <c r="K75" i="12"/>
  <c r="D76" i="12"/>
  <c r="G76" i="12"/>
  <c r="K76" i="12"/>
  <c r="D77" i="12"/>
  <c r="G77" i="12"/>
  <c r="K77" i="12"/>
  <c r="D78" i="12"/>
  <c r="G78" i="12"/>
  <c r="K78" i="12"/>
  <c r="D79" i="12"/>
  <c r="G79" i="12"/>
  <c r="K79" i="12"/>
  <c r="D80" i="12"/>
  <c r="G80" i="12"/>
  <c r="K80" i="12"/>
  <c r="D81" i="12"/>
  <c r="G81" i="12"/>
  <c r="K81" i="12"/>
  <c r="D82" i="12"/>
  <c r="G82" i="12"/>
  <c r="K82" i="12"/>
  <c r="D83" i="12"/>
  <c r="G83" i="12"/>
  <c r="K83" i="12"/>
  <c r="A88" i="12"/>
  <c r="D9" i="11"/>
  <c r="E9" i="11"/>
  <c r="F9" i="11"/>
  <c r="G9" i="11"/>
  <c r="H9" i="11"/>
  <c r="I9" i="11"/>
  <c r="J9" i="11"/>
  <c r="K9" i="11"/>
  <c r="L9" i="11"/>
  <c r="B10" i="11"/>
  <c r="B11" i="11"/>
  <c r="B12" i="11"/>
  <c r="B13" i="11"/>
  <c r="B14" i="11"/>
  <c r="B15" i="11"/>
  <c r="D17" i="11"/>
  <c r="E17" i="11"/>
  <c r="F17" i="11"/>
  <c r="G17" i="11"/>
  <c r="H17" i="11"/>
  <c r="I17" i="11"/>
  <c r="J17" i="11"/>
  <c r="K17" i="11"/>
  <c r="L17" i="11"/>
  <c r="B18" i="11"/>
  <c r="B19" i="11"/>
  <c r="B20" i="11"/>
  <c r="B21" i="11"/>
  <c r="B22" i="11"/>
  <c r="B23" i="11"/>
  <c r="D25" i="11"/>
  <c r="E25" i="11"/>
  <c r="F25" i="11"/>
  <c r="G25" i="11"/>
  <c r="H25" i="11"/>
  <c r="I25" i="11"/>
  <c r="J25" i="11"/>
  <c r="K25" i="11"/>
  <c r="L25" i="11"/>
  <c r="B26" i="11"/>
  <c r="B27" i="11"/>
  <c r="D29" i="11"/>
  <c r="E29" i="11"/>
  <c r="F29" i="11"/>
  <c r="G29" i="11"/>
  <c r="H29" i="11"/>
  <c r="I29" i="11"/>
  <c r="J29" i="11"/>
  <c r="K29" i="11"/>
  <c r="L29" i="11"/>
  <c r="B30" i="11"/>
  <c r="B31" i="11"/>
  <c r="B32" i="11"/>
  <c r="D37" i="11"/>
  <c r="E37" i="11"/>
  <c r="F37" i="11"/>
  <c r="G37" i="11"/>
  <c r="H37" i="11"/>
  <c r="I37" i="11"/>
  <c r="J37" i="11"/>
  <c r="K37" i="11"/>
  <c r="L37" i="11"/>
  <c r="B38" i="11"/>
  <c r="B39" i="11"/>
  <c r="B40" i="11"/>
  <c r="B41" i="11"/>
  <c r="D43" i="11"/>
  <c r="E43" i="11"/>
  <c r="F43" i="11"/>
  <c r="G43" i="11"/>
  <c r="H43" i="11"/>
  <c r="I43" i="11"/>
  <c r="J43" i="11"/>
  <c r="K43" i="11"/>
  <c r="L43" i="11"/>
  <c r="B44" i="11"/>
  <c r="B45" i="11"/>
  <c r="B46" i="11"/>
  <c r="B47" i="11"/>
  <c r="B48" i="11"/>
  <c r="B49" i="11"/>
  <c r="B50" i="11"/>
  <c r="B51" i="11"/>
  <c r="B52" i="11"/>
  <c r="B53" i="11"/>
  <c r="B54" i="11"/>
  <c r="D56" i="11"/>
  <c r="E56" i="11"/>
  <c r="F56" i="11"/>
  <c r="G56" i="11"/>
  <c r="H56" i="11"/>
  <c r="I56" i="11"/>
  <c r="J56" i="11"/>
  <c r="K56" i="11"/>
  <c r="L56" i="11"/>
  <c r="B57" i="11"/>
  <c r="B58" i="11"/>
  <c r="B59" i="11"/>
  <c r="D61" i="11"/>
  <c r="E61" i="11"/>
  <c r="F61" i="11"/>
  <c r="G61" i="11"/>
  <c r="H61" i="11"/>
  <c r="I61" i="11"/>
  <c r="J61" i="11"/>
  <c r="K61" i="11"/>
  <c r="L61" i="11"/>
  <c r="B62" i="11"/>
  <c r="B63" i="11"/>
  <c r="B64" i="11"/>
  <c r="B65" i="11"/>
  <c r="D67" i="11"/>
  <c r="E67" i="11"/>
  <c r="F67" i="11"/>
  <c r="G67" i="11"/>
  <c r="H67" i="11"/>
  <c r="I67" i="11"/>
  <c r="J67" i="11"/>
  <c r="K67" i="11"/>
  <c r="L67" i="11"/>
  <c r="B68" i="11"/>
  <c r="B69" i="11"/>
  <c r="B70" i="11"/>
  <c r="B71" i="11"/>
  <c r="D73" i="11"/>
  <c r="E73" i="11"/>
  <c r="F73" i="11"/>
  <c r="G73" i="11"/>
  <c r="H73" i="11"/>
  <c r="I73" i="11"/>
  <c r="J73" i="11"/>
  <c r="K73" i="11"/>
  <c r="L73" i="11"/>
  <c r="B74" i="11"/>
  <c r="B75" i="11"/>
  <c r="B76" i="11"/>
  <c r="B77" i="11"/>
  <c r="B78" i="11"/>
  <c r="B79" i="11"/>
  <c r="B80" i="11"/>
  <c r="B81" i="11"/>
  <c r="B82" i="11"/>
  <c r="B83" i="11"/>
  <c r="F17" i="10"/>
  <c r="F26" i="10"/>
  <c r="M12" i="80" l="1"/>
  <c r="S20" i="44"/>
  <c r="T20" i="44" s="1"/>
  <c r="T15" i="44"/>
  <c r="Y12" i="49"/>
  <c r="Z22" i="50"/>
  <c r="S8" i="50"/>
  <c r="S8" i="53" s="1"/>
  <c r="W20" i="55"/>
  <c r="S20" i="55"/>
  <c r="T41" i="56"/>
  <c r="AE33" i="62"/>
  <c r="AF30" i="62"/>
  <c r="AF26" i="62"/>
  <c r="AF14" i="62"/>
  <c r="C12" i="80"/>
  <c r="R12" i="80"/>
  <c r="L12" i="80"/>
  <c r="G12" i="80"/>
  <c r="P26" i="98"/>
  <c r="G26" i="93" s="1"/>
  <c r="D12" i="80"/>
  <c r="H24" i="103"/>
  <c r="J22" i="45"/>
  <c r="AA27" i="50"/>
  <c r="Q8" i="50"/>
  <c r="X36" i="62"/>
  <c r="AD35" i="62"/>
  <c r="AG32" i="62"/>
  <c r="AE32" i="62"/>
  <c r="AG29" i="62"/>
  <c r="AG28" i="62"/>
  <c r="AE28" i="62"/>
  <c r="AG25" i="62"/>
  <c r="AG24" i="62"/>
  <c r="AE24" i="62"/>
  <c r="AG21" i="62"/>
  <c r="AF19" i="62"/>
  <c r="AE18" i="62"/>
  <c r="AF16" i="62"/>
  <c r="AD16" i="62"/>
  <c r="AG13" i="62"/>
  <c r="AF11" i="62"/>
  <c r="K36" i="62"/>
  <c r="C36" i="62"/>
  <c r="F12" i="80"/>
  <c r="M44" i="92"/>
  <c r="P22" i="98"/>
  <c r="G22" i="93" s="1"/>
  <c r="P20" i="98"/>
  <c r="G20" i="93" s="1"/>
  <c r="J69" i="39"/>
  <c r="R43" i="52"/>
  <c r="R44" i="52" s="1"/>
  <c r="U12" i="56"/>
  <c r="AE30" i="62"/>
  <c r="AF15" i="62"/>
  <c r="AE14" i="62"/>
  <c r="AD12" i="62"/>
  <c r="S12" i="80"/>
  <c r="H12" i="80"/>
  <c r="K12" i="83"/>
  <c r="L24" i="103"/>
  <c r="D24" i="103"/>
  <c r="J77" i="39"/>
  <c r="J71" i="39"/>
  <c r="W29" i="44"/>
  <c r="J10" i="44"/>
  <c r="W12" i="49"/>
  <c r="P8" i="50"/>
  <c r="AC42" i="52"/>
  <c r="AC33" i="55"/>
  <c r="K28" i="57"/>
  <c r="AE35" i="62"/>
  <c r="AG35" i="62"/>
  <c r="AF34" i="62"/>
  <c r="AF29" i="62"/>
  <c r="AF28" i="62"/>
  <c r="AD28" i="62"/>
  <c r="AF25" i="62"/>
  <c r="AF24" i="62"/>
  <c r="AD24" i="62"/>
  <c r="AF21" i="62"/>
  <c r="AE20" i="62"/>
  <c r="AF18" i="62"/>
  <c r="AD18" i="62"/>
  <c r="AG15" i="62"/>
  <c r="AF13" i="62"/>
  <c r="AE12" i="62"/>
  <c r="AF10" i="62"/>
  <c r="AI34" i="70"/>
  <c r="K25" i="73"/>
  <c r="G18" i="76"/>
  <c r="R18" i="77"/>
  <c r="E42" i="78"/>
  <c r="T12" i="80"/>
  <c r="N12" i="80"/>
  <c r="I12" i="80"/>
  <c r="E12" i="80"/>
  <c r="X21" i="81"/>
  <c r="X19" i="81"/>
  <c r="O12" i="83"/>
  <c r="AD27" i="52"/>
  <c r="R24" i="45"/>
  <c r="N24" i="45"/>
  <c r="V29" i="45"/>
  <c r="F29" i="45" s="1"/>
  <c r="N14" i="45"/>
  <c r="J14" i="45"/>
  <c r="V14" i="45"/>
  <c r="V33" i="45"/>
  <c r="R33" i="45"/>
  <c r="F33" i="45" s="1"/>
  <c r="N23" i="45"/>
  <c r="V25" i="45"/>
  <c r="R25" i="45"/>
  <c r="N25" i="45"/>
  <c r="V28" i="45"/>
  <c r="N28" i="45"/>
  <c r="N18" i="45"/>
  <c r="J18" i="45"/>
  <c r="V18" i="45"/>
  <c r="N13" i="45"/>
  <c r="J13" i="45"/>
  <c r="V13" i="45"/>
  <c r="V12" i="45"/>
  <c r="F12" i="45" s="1"/>
  <c r="E15" i="45"/>
  <c r="E20" i="45" s="1"/>
  <c r="N20" i="45" s="1"/>
  <c r="R22" i="45"/>
  <c r="V27" i="45"/>
  <c r="N27" i="45"/>
  <c r="V16" i="45"/>
  <c r="N16" i="45"/>
  <c r="V19" i="45"/>
  <c r="R19" i="45"/>
  <c r="V31" i="45"/>
  <c r="N31" i="45"/>
  <c r="E24" i="43"/>
  <c r="I24" i="43"/>
  <c r="G20" i="44"/>
  <c r="H20" i="44" s="1"/>
  <c r="G34" i="44"/>
  <c r="H34" i="44" s="1"/>
  <c r="F20" i="55"/>
  <c r="AD20" i="50"/>
  <c r="Z17" i="55"/>
  <c r="Z20" i="55"/>
  <c r="I20" i="55"/>
  <c r="Y17" i="55"/>
  <c r="U17" i="55"/>
  <c r="D17" i="55"/>
  <c r="X17" i="55"/>
  <c r="AD42" i="52"/>
  <c r="AD27" i="50"/>
  <c r="R20" i="55"/>
  <c r="AD32" i="50"/>
  <c r="V17" i="55"/>
  <c r="V22" i="50"/>
  <c r="S35" i="56"/>
  <c r="V19" i="56"/>
  <c r="V16" i="56"/>
  <c r="V31" i="56"/>
  <c r="V26" i="56"/>
  <c r="V12" i="56"/>
  <c r="F43" i="73"/>
  <c r="C43" i="73"/>
  <c r="F18" i="76"/>
  <c r="I17" i="76"/>
  <c r="O26" i="78"/>
  <c r="M53" i="92"/>
  <c r="M55" i="92"/>
  <c r="M51" i="92"/>
  <c r="M50" i="92"/>
  <c r="M46" i="92"/>
  <c r="P16" i="98"/>
  <c r="G16" i="93" s="1"/>
  <c r="M52" i="92"/>
  <c r="M48" i="92"/>
  <c r="M59" i="92"/>
  <c r="M45" i="92"/>
  <c r="M47" i="92"/>
  <c r="M43" i="92"/>
  <c r="Z18" i="48"/>
  <c r="L16" i="104"/>
  <c r="AA18" i="48"/>
  <c r="Z14" i="48"/>
  <c r="AB27" i="50"/>
  <c r="N8" i="50"/>
  <c r="N8" i="52" s="1"/>
  <c r="AD32" i="52"/>
  <c r="F28" i="10"/>
  <c r="L22" i="104"/>
  <c r="L23" i="104" s="1"/>
  <c r="J75" i="39"/>
  <c r="T19" i="40"/>
  <c r="D14" i="41"/>
  <c r="D45" i="41"/>
  <c r="G13" i="43"/>
  <c r="F18" i="43"/>
  <c r="F33" i="43" s="1"/>
  <c r="H38" i="43" s="1"/>
  <c r="AA14" i="48"/>
  <c r="X12" i="49"/>
  <c r="T12" i="49"/>
  <c r="AD36" i="59"/>
  <c r="I13" i="43"/>
  <c r="AD17" i="50"/>
  <c r="K25" i="12"/>
  <c r="J66" i="39"/>
  <c r="J70" i="39"/>
  <c r="J74" i="39"/>
  <c r="J68" i="39"/>
  <c r="J72" i="39"/>
  <c r="J76" i="39"/>
  <c r="J73" i="39"/>
  <c r="H18" i="43"/>
  <c r="I18" i="43" s="1"/>
  <c r="V35" i="56"/>
  <c r="S12" i="56"/>
  <c r="S21" i="56" s="1"/>
  <c r="AK18" i="57"/>
  <c r="AK27" i="57" s="1"/>
  <c r="M27" i="57"/>
  <c r="M28" i="57" s="1"/>
  <c r="Y36" i="62"/>
  <c r="M36" i="62"/>
  <c r="AE10" i="62"/>
  <c r="O36" i="62"/>
  <c r="G36" i="62"/>
  <c r="D29" i="67"/>
  <c r="O19" i="67" s="1"/>
  <c r="O32" i="67"/>
  <c r="H7" i="72"/>
  <c r="H63" i="72"/>
  <c r="H18" i="76"/>
  <c r="D18" i="76"/>
  <c r="Q16" i="77"/>
  <c r="R16" i="77"/>
  <c r="D22" i="40"/>
  <c r="P34" i="44"/>
  <c r="Q34" i="44" s="1"/>
  <c r="W19" i="44"/>
  <c r="U15" i="44"/>
  <c r="U20" i="44" s="1"/>
  <c r="J31" i="45"/>
  <c r="J27" i="45"/>
  <c r="N22" i="45"/>
  <c r="F22" i="45" s="1"/>
  <c r="R16" i="45"/>
  <c r="T12" i="45"/>
  <c r="L12" i="45"/>
  <c r="D12" i="45" s="1"/>
  <c r="U12" i="49"/>
  <c r="C27" i="55"/>
  <c r="M17" i="55"/>
  <c r="AD10" i="62"/>
  <c r="N36" i="62"/>
  <c r="J36" i="62"/>
  <c r="B36" i="62"/>
  <c r="G29" i="67"/>
  <c r="R19" i="67" s="1"/>
  <c r="R32" i="67"/>
  <c r="C29" i="67"/>
  <c r="N19" i="67" s="1"/>
  <c r="N32" i="67"/>
  <c r="AG13" i="70"/>
  <c r="AE34" i="70"/>
  <c r="C18" i="76"/>
  <c r="P23" i="81"/>
  <c r="X23" i="81"/>
  <c r="P16" i="81"/>
  <c r="X16" i="81"/>
  <c r="P26" i="97"/>
  <c r="F26" i="93" s="1"/>
  <c r="P24" i="97"/>
  <c r="F24" i="93" s="1"/>
  <c r="P12" i="97"/>
  <c r="F12" i="93" s="1"/>
  <c r="P10" i="97"/>
  <c r="F10" i="93" s="1"/>
  <c r="P13" i="98"/>
  <c r="G13" i="93" s="1"/>
  <c r="AA36" i="62"/>
  <c r="W36" i="62"/>
  <c r="AG10" i="70"/>
  <c r="AF34" i="70"/>
  <c r="Q12" i="77"/>
  <c r="R12" i="77"/>
  <c r="Q22" i="40"/>
  <c r="I22" i="40"/>
  <c r="F22" i="40"/>
  <c r="W17" i="44"/>
  <c r="W13" i="44"/>
  <c r="E26" i="45"/>
  <c r="E34" i="45" s="1"/>
  <c r="AC32" i="52"/>
  <c r="X20" i="55"/>
  <c r="P20" i="55"/>
  <c r="U35" i="56"/>
  <c r="T12" i="56"/>
  <c r="T21" i="56" s="1"/>
  <c r="T42" i="56" s="1"/>
  <c r="Z36" i="62"/>
  <c r="V36" i="62"/>
  <c r="K13" i="76"/>
  <c r="K18" i="76" s="1"/>
  <c r="I16" i="76"/>
  <c r="K9" i="76"/>
  <c r="I19" i="77"/>
  <c r="U26" i="80"/>
  <c r="U12" i="80" s="1"/>
  <c r="Q26" i="80"/>
  <c r="Q12" i="80" s="1"/>
  <c r="J26" i="80"/>
  <c r="F26" i="80"/>
  <c r="P24" i="81"/>
  <c r="X24" i="81"/>
  <c r="P12" i="98"/>
  <c r="G12" i="93" s="1"/>
  <c r="C28" i="98"/>
  <c r="Z43" i="52"/>
  <c r="Z44" i="52" s="1"/>
  <c r="J43" i="52"/>
  <c r="J44" i="52" s="1"/>
  <c r="AG23" i="62"/>
  <c r="K11" i="76"/>
  <c r="R17" i="77"/>
  <c r="R13" i="77"/>
  <c r="X10" i="77"/>
  <c r="M56" i="92"/>
  <c r="P10" i="96"/>
  <c r="E10" i="93" s="1"/>
  <c r="P25" i="97"/>
  <c r="F25" i="93" s="1"/>
  <c r="P23" i="97"/>
  <c r="F23" i="93" s="1"/>
  <c r="P11" i="97"/>
  <c r="F11" i="93" s="1"/>
  <c r="P19" i="98"/>
  <c r="G19" i="93" s="1"/>
  <c r="AA13" i="50"/>
  <c r="AA22" i="50" s="1"/>
  <c r="V43" i="52"/>
  <c r="V44" i="52" s="1"/>
  <c r="W17" i="55"/>
  <c r="N27" i="57"/>
  <c r="N28" i="57" s="1"/>
  <c r="AE47" i="62"/>
  <c r="AD23" i="62"/>
  <c r="S36" i="62"/>
  <c r="J24" i="66"/>
  <c r="AG33" i="70"/>
  <c r="AG16" i="70"/>
  <c r="AG12" i="70"/>
  <c r="U38" i="71"/>
  <c r="H43" i="73"/>
  <c r="P27" i="98"/>
  <c r="G27" i="93" s="1"/>
  <c r="P25" i="98"/>
  <c r="G25" i="93" s="1"/>
  <c r="P17" i="98"/>
  <c r="G17" i="93" s="1"/>
  <c r="U36" i="62"/>
  <c r="AG36" i="59"/>
  <c r="AG36" i="60"/>
  <c r="AF36" i="59"/>
  <c r="AF36" i="60"/>
  <c r="AD36" i="60"/>
  <c r="AF36" i="61"/>
  <c r="AF42" i="62"/>
  <c r="AC36" i="62"/>
  <c r="AD36" i="58"/>
  <c r="C15" i="45"/>
  <c r="L15" i="45" s="1"/>
  <c r="T14" i="45"/>
  <c r="P14" i="45"/>
  <c r="L14" i="45"/>
  <c r="AE46" i="62"/>
  <c r="AD44" i="62"/>
  <c r="AD40" i="62"/>
  <c r="AE45" i="62"/>
  <c r="AE41" i="62"/>
  <c r="AF47" i="62"/>
  <c r="AD47" i="62"/>
  <c r="AF43" i="62"/>
  <c r="AD43" i="62"/>
  <c r="AD42" i="62"/>
  <c r="AF39" i="62"/>
  <c r="AD39" i="62"/>
  <c r="AE36" i="58"/>
  <c r="AF36" i="58"/>
  <c r="AE43" i="62"/>
  <c r="AE39" i="62"/>
  <c r="AF44" i="62"/>
  <c r="AE44" i="62"/>
  <c r="AF40" i="62"/>
  <c r="AE40" i="62"/>
  <c r="H36" i="62"/>
  <c r="F36" i="62"/>
  <c r="AF46" i="62"/>
  <c r="AD46" i="62"/>
  <c r="AF45" i="62"/>
  <c r="AD45" i="62"/>
  <c r="AE42" i="62"/>
  <c r="AF41" i="62"/>
  <c r="AD41" i="62"/>
  <c r="AE23" i="62"/>
  <c r="AF31" i="62"/>
  <c r="AD31" i="62"/>
  <c r="AF23" i="62"/>
  <c r="N21" i="56"/>
  <c r="AD42" i="54"/>
  <c r="AD36" i="54"/>
  <c r="AD32" i="54"/>
  <c r="AD20" i="54"/>
  <c r="AD17" i="54"/>
  <c r="AD13" i="54"/>
  <c r="AD42" i="53"/>
  <c r="AD36" i="53"/>
  <c r="AD32" i="53"/>
  <c r="AD20" i="53"/>
  <c r="AD17" i="53"/>
  <c r="AD13" i="53"/>
  <c r="AD11" i="55"/>
  <c r="F43" i="52"/>
  <c r="F44" i="52" s="1"/>
  <c r="N43" i="52"/>
  <c r="N44" i="52" s="1"/>
  <c r="AD36" i="52"/>
  <c r="AD20" i="52"/>
  <c r="N20" i="55"/>
  <c r="AD17" i="52"/>
  <c r="AD13" i="52"/>
  <c r="AD21" i="55"/>
  <c r="AD42" i="51"/>
  <c r="AD36" i="51"/>
  <c r="AD32" i="51"/>
  <c r="F43" i="51"/>
  <c r="AD20" i="51"/>
  <c r="F22" i="51"/>
  <c r="AD17" i="51"/>
  <c r="AD13" i="51"/>
  <c r="AD12" i="55"/>
  <c r="V43" i="50"/>
  <c r="AD37" i="55"/>
  <c r="AD35" i="55"/>
  <c r="Z43" i="50"/>
  <c r="Z44" i="50" s="1"/>
  <c r="R43" i="50"/>
  <c r="AD23" i="55"/>
  <c r="AD26" i="55"/>
  <c r="AD25" i="55"/>
  <c r="AD18" i="55"/>
  <c r="AD14" i="55"/>
  <c r="N43" i="50"/>
  <c r="J43" i="50"/>
  <c r="AD36" i="50"/>
  <c r="F43" i="50"/>
  <c r="AD19" i="55"/>
  <c r="F17" i="55"/>
  <c r="H17" i="55"/>
  <c r="AB36" i="54"/>
  <c r="AB32" i="54"/>
  <c r="AB27" i="54"/>
  <c r="AB13" i="54"/>
  <c r="AB22" i="54" s="1"/>
  <c r="D42" i="55"/>
  <c r="AC42" i="54"/>
  <c r="AC36" i="54"/>
  <c r="AA36" i="54"/>
  <c r="AC32" i="54"/>
  <c r="AA32" i="54"/>
  <c r="AC27" i="54"/>
  <c r="AA27" i="54"/>
  <c r="AC20" i="54"/>
  <c r="AC17" i="54"/>
  <c r="AC13" i="54"/>
  <c r="AA13" i="54"/>
  <c r="AA22" i="54" s="1"/>
  <c r="T20" i="55"/>
  <c r="S17" i="55"/>
  <c r="Q20" i="55"/>
  <c r="O20" i="55"/>
  <c r="Q17" i="55"/>
  <c r="O17" i="55"/>
  <c r="AB11" i="55"/>
  <c r="K32" i="55"/>
  <c r="AC12" i="55"/>
  <c r="H42" i="55"/>
  <c r="AB10" i="55"/>
  <c r="AC42" i="53"/>
  <c r="AC36" i="53"/>
  <c r="AA36" i="53"/>
  <c r="AC32" i="53"/>
  <c r="AA32" i="53"/>
  <c r="AC27" i="53"/>
  <c r="AA27" i="53"/>
  <c r="AC20" i="53"/>
  <c r="AC17" i="53"/>
  <c r="AC13" i="53"/>
  <c r="AA13" i="53"/>
  <c r="AA22" i="53" s="1"/>
  <c r="AB36" i="53"/>
  <c r="AB32" i="53"/>
  <c r="AB27" i="53"/>
  <c r="AB13" i="53"/>
  <c r="AB22" i="53" s="1"/>
  <c r="M20" i="55"/>
  <c r="K20" i="55"/>
  <c r="AC36" i="52"/>
  <c r="AA36" i="52"/>
  <c r="AC27" i="52"/>
  <c r="AA27" i="52"/>
  <c r="AC20" i="52"/>
  <c r="AC13" i="52"/>
  <c r="AA13" i="52"/>
  <c r="AA22" i="52" s="1"/>
  <c r="AB36" i="52"/>
  <c r="AB27" i="52"/>
  <c r="AC17" i="52"/>
  <c r="AB13" i="52"/>
  <c r="AB22" i="52" s="1"/>
  <c r="AB9" i="55"/>
  <c r="AC31" i="55"/>
  <c r="AC28" i="55"/>
  <c r="AC32" i="55" s="1"/>
  <c r="AA23" i="55"/>
  <c r="T17" i="55"/>
  <c r="AC41" i="55"/>
  <c r="AC40" i="55"/>
  <c r="AC42" i="55" s="1"/>
  <c r="AA40" i="55"/>
  <c r="AA42" i="55" s="1"/>
  <c r="AA37" i="55"/>
  <c r="AA29" i="55"/>
  <c r="AA26" i="55"/>
  <c r="AA27" i="55" s="1"/>
  <c r="AC19" i="55"/>
  <c r="AC15" i="55"/>
  <c r="AA16" i="55"/>
  <c r="AA12" i="55"/>
  <c r="AB36" i="51"/>
  <c r="AC32" i="51"/>
  <c r="AA32" i="51"/>
  <c r="AB27" i="51"/>
  <c r="AC20" i="51"/>
  <c r="AC13" i="51"/>
  <c r="AA13" i="51"/>
  <c r="AA22" i="51" s="1"/>
  <c r="AC42" i="51"/>
  <c r="AC36" i="51"/>
  <c r="AA36" i="51"/>
  <c r="AB32" i="51"/>
  <c r="AC27" i="51"/>
  <c r="AA27" i="51"/>
  <c r="AC17" i="51"/>
  <c r="AB13" i="51"/>
  <c r="AB22" i="51" s="1"/>
  <c r="AC37" i="55"/>
  <c r="AB34" i="55"/>
  <c r="AB35" i="55"/>
  <c r="AB18" i="55"/>
  <c r="AC26" i="55"/>
  <c r="AB24" i="55"/>
  <c r="AB14" i="55"/>
  <c r="T42" i="55"/>
  <c r="AB25" i="55"/>
  <c r="AB21" i="55"/>
  <c r="AA19" i="55"/>
  <c r="AC16" i="55"/>
  <c r="AB38" i="55"/>
  <c r="AA31" i="55"/>
  <c r="AC23" i="55"/>
  <c r="AC29" i="55"/>
  <c r="AA28" i="55"/>
  <c r="AA32" i="55" s="1"/>
  <c r="AA15" i="55"/>
  <c r="AC38" i="55"/>
  <c r="AA38" i="55"/>
  <c r="AB31" i="55"/>
  <c r="AB32" i="55" s="1"/>
  <c r="AB28" i="55"/>
  <c r="AB23" i="55"/>
  <c r="AC21" i="55"/>
  <c r="AA21" i="55"/>
  <c r="G20" i="55"/>
  <c r="AB19" i="55"/>
  <c r="AC18" i="55"/>
  <c r="AA18" i="55"/>
  <c r="AB15" i="55"/>
  <c r="AC14" i="55"/>
  <c r="AA14" i="55"/>
  <c r="AC13" i="50"/>
  <c r="AB37" i="55"/>
  <c r="AC35" i="55"/>
  <c r="AA35" i="55"/>
  <c r="AC34" i="55"/>
  <c r="AC36" i="55" s="1"/>
  <c r="AA34" i="55"/>
  <c r="AB29" i="55"/>
  <c r="AB26" i="55"/>
  <c r="AC25" i="55"/>
  <c r="AA25" i="55"/>
  <c r="AC24" i="55"/>
  <c r="AA24" i="55"/>
  <c r="AB12" i="55"/>
  <c r="AC11" i="55"/>
  <c r="AA11" i="55"/>
  <c r="AC10" i="55"/>
  <c r="AA10" i="55"/>
  <c r="AC9" i="55"/>
  <c r="AA9" i="55"/>
  <c r="J8" i="51"/>
  <c r="AB40" i="55"/>
  <c r="AB42" i="55" s="1"/>
  <c r="AB42" i="50"/>
  <c r="AB36" i="50"/>
  <c r="AB13" i="50"/>
  <c r="AB22" i="50" s="1"/>
  <c r="O8" i="52"/>
  <c r="K8" i="52"/>
  <c r="G8" i="52"/>
  <c r="E20" i="55"/>
  <c r="C20" i="55"/>
  <c r="AB16" i="55"/>
  <c r="AC36" i="50"/>
  <c r="AA36" i="50"/>
  <c r="AC43" i="50"/>
  <c r="AC17" i="50"/>
  <c r="Q8" i="52"/>
  <c r="M8" i="52"/>
  <c r="I8" i="52"/>
  <c r="N43" i="78"/>
  <c r="N59" i="78"/>
  <c r="I8" i="78"/>
  <c r="G42" i="78"/>
  <c r="H8" i="78"/>
  <c r="F42" i="78"/>
  <c r="R11" i="77"/>
  <c r="X18" i="77"/>
  <c r="O18" i="77"/>
  <c r="X17" i="77"/>
  <c r="O17" i="77"/>
  <c r="X16" i="77"/>
  <c r="O16" i="77"/>
  <c r="X15" i="77"/>
  <c r="O15" i="77"/>
  <c r="X14" i="77"/>
  <c r="O14" i="77"/>
  <c r="X13" i="77"/>
  <c r="O13" i="77"/>
  <c r="X12" i="77"/>
  <c r="X11" i="77"/>
  <c r="P25" i="96"/>
  <c r="E25" i="93" s="1"/>
  <c r="P24" i="96"/>
  <c r="E24" i="93" s="1"/>
  <c r="P23" i="96"/>
  <c r="E23" i="93" s="1"/>
  <c r="P22" i="96"/>
  <c r="E22" i="93" s="1"/>
  <c r="P21" i="96"/>
  <c r="E21" i="93" s="1"/>
  <c r="P20" i="96"/>
  <c r="E20" i="93" s="1"/>
  <c r="P19" i="96"/>
  <c r="E19" i="93" s="1"/>
  <c r="P18" i="96"/>
  <c r="E18" i="93" s="1"/>
  <c r="P17" i="96"/>
  <c r="E17" i="93" s="1"/>
  <c r="P16" i="96"/>
  <c r="E16" i="93" s="1"/>
  <c r="P15" i="96"/>
  <c r="E15" i="93" s="1"/>
  <c r="P12" i="96"/>
  <c r="E12" i="93" s="1"/>
  <c r="P11" i="96"/>
  <c r="E11" i="93" s="1"/>
  <c r="P27" i="95"/>
  <c r="P22" i="95"/>
  <c r="D22" i="93" s="1"/>
  <c r="P17" i="95"/>
  <c r="D17" i="93" s="1"/>
  <c r="P25" i="83"/>
  <c r="W30" i="44"/>
  <c r="W12" i="44"/>
  <c r="W33" i="44"/>
  <c r="W32" i="44"/>
  <c r="W31" i="44"/>
  <c r="W28" i="44"/>
  <c r="W27" i="44"/>
  <c r="W25" i="44"/>
  <c r="W24" i="44"/>
  <c r="W23" i="44"/>
  <c r="W22" i="44"/>
  <c r="W18" i="44"/>
  <c r="W16" i="44"/>
  <c r="W14" i="44"/>
  <c r="D32" i="43"/>
  <c r="E32" i="43" s="1"/>
  <c r="E13" i="43"/>
  <c r="E22" i="40"/>
  <c r="E11" i="15"/>
  <c r="F11" i="15" s="1"/>
  <c r="I21" i="15" s="1"/>
  <c r="B25" i="12"/>
  <c r="C11" i="15" s="1"/>
  <c r="R22" i="40"/>
  <c r="P22" i="40"/>
  <c r="J22" i="40"/>
  <c r="H22" i="40"/>
  <c r="T12" i="40"/>
  <c r="AD9" i="55"/>
  <c r="AD27" i="54"/>
  <c r="AD27" i="53"/>
  <c r="AD27" i="51"/>
  <c r="C36" i="55"/>
  <c r="Z42" i="55"/>
  <c r="N42" i="55"/>
  <c r="X42" i="55"/>
  <c r="P42" i="55"/>
  <c r="L42" i="55"/>
  <c r="W27" i="55"/>
  <c r="X36" i="55"/>
  <c r="T36" i="55"/>
  <c r="P36" i="55"/>
  <c r="L36" i="55"/>
  <c r="H36" i="55"/>
  <c r="D36" i="55"/>
  <c r="M32" i="55"/>
  <c r="I27" i="55"/>
  <c r="K17" i="55"/>
  <c r="AC13" i="55"/>
  <c r="Y13" i="55"/>
  <c r="W13" i="55"/>
  <c r="U13" i="55"/>
  <c r="S13" i="55"/>
  <c r="Q13" i="55"/>
  <c r="O13" i="55"/>
  <c r="M13" i="55"/>
  <c r="K13" i="55"/>
  <c r="I13" i="55"/>
  <c r="I22" i="55" s="1"/>
  <c r="G13" i="55"/>
  <c r="E13" i="55"/>
  <c r="C13" i="55"/>
  <c r="Y36" i="55"/>
  <c r="W36" i="55"/>
  <c r="U36" i="55"/>
  <c r="S36" i="55"/>
  <c r="Q36" i="55"/>
  <c r="O36" i="55"/>
  <c r="M36" i="55"/>
  <c r="K36" i="55"/>
  <c r="I36" i="55"/>
  <c r="G36" i="55"/>
  <c r="E36" i="55"/>
  <c r="W32" i="55"/>
  <c r="U32" i="55"/>
  <c r="G32" i="55"/>
  <c r="I17" i="55"/>
  <c r="X13" i="55"/>
  <c r="X22" i="55" s="1"/>
  <c r="T13" i="55"/>
  <c r="T22" i="55" s="1"/>
  <c r="P13" i="55"/>
  <c r="L13" i="55"/>
  <c r="H13" i="55"/>
  <c r="H22" i="55" s="1"/>
  <c r="D13" i="55"/>
  <c r="D22" i="55" s="1"/>
  <c r="N17" i="55"/>
  <c r="AD15" i="55"/>
  <c r="V42" i="55"/>
  <c r="Z36" i="55"/>
  <c r="N36" i="55"/>
  <c r="V36" i="55"/>
  <c r="R36" i="55"/>
  <c r="AD34" i="55"/>
  <c r="Z44" i="54"/>
  <c r="F44" i="53"/>
  <c r="N22" i="50"/>
  <c r="F22" i="50"/>
  <c r="N13" i="55"/>
  <c r="N22" i="55" s="1"/>
  <c r="Z13" i="55"/>
  <c r="V13" i="55"/>
  <c r="R13" i="55"/>
  <c r="AD10" i="55"/>
  <c r="AD13" i="50"/>
  <c r="F13" i="55"/>
  <c r="Y24" i="81"/>
  <c r="W24" i="81"/>
  <c r="Y23" i="81"/>
  <c r="P16" i="82"/>
  <c r="V12" i="85"/>
  <c r="F18" i="91" s="1"/>
  <c r="K26" i="85"/>
  <c r="K12" i="85" s="1"/>
  <c r="V14" i="80"/>
  <c r="M59" i="95"/>
  <c r="P26" i="95"/>
  <c r="D26" i="93" s="1"/>
  <c r="P15" i="95"/>
  <c r="D15" i="93" s="1"/>
  <c r="P10" i="95"/>
  <c r="D10" i="93" s="1"/>
  <c r="D27" i="93"/>
  <c r="P25" i="95"/>
  <c r="D25" i="93" s="1"/>
  <c r="P21" i="95"/>
  <c r="D21" i="93" s="1"/>
  <c r="P19" i="95"/>
  <c r="D19" i="93" s="1"/>
  <c r="P18" i="95"/>
  <c r="D18" i="93" s="1"/>
  <c r="P16" i="95"/>
  <c r="D16" i="93" s="1"/>
  <c r="P14" i="95"/>
  <c r="P12" i="95"/>
  <c r="D12" i="93" s="1"/>
  <c r="P11" i="95"/>
  <c r="D11" i="93" s="1"/>
  <c r="P10" i="94"/>
  <c r="C10" i="93" s="1"/>
  <c r="P26" i="96"/>
  <c r="E26" i="93" s="1"/>
  <c r="C28" i="96"/>
  <c r="P14" i="96"/>
  <c r="E14" i="93" s="1"/>
  <c r="P13" i="96"/>
  <c r="E13" i="93" s="1"/>
  <c r="G32" i="43"/>
  <c r="G24" i="43"/>
  <c r="H32" i="43"/>
  <c r="C33" i="43"/>
  <c r="G18" i="43"/>
  <c r="D18" i="43"/>
  <c r="M34" i="44"/>
  <c r="N34" i="44" s="1"/>
  <c r="J20" i="44"/>
  <c r="K20" i="44" s="1"/>
  <c r="D20" i="44"/>
  <c r="E20" i="44" s="1"/>
  <c r="P20" i="44"/>
  <c r="Q20" i="44" s="1"/>
  <c r="P27" i="97"/>
  <c r="F27" i="93" s="1"/>
  <c r="R21" i="56"/>
  <c r="F21" i="56"/>
  <c r="H24" i="66"/>
  <c r="W23" i="81"/>
  <c r="Y16" i="81"/>
  <c r="X20" i="81"/>
  <c r="W20" i="81"/>
  <c r="Y20" i="81"/>
  <c r="P23" i="82"/>
  <c r="P19" i="82"/>
  <c r="Y16" i="82"/>
  <c r="W16" i="82"/>
  <c r="P15" i="82"/>
  <c r="P12" i="82" s="1"/>
  <c r="E18" i="89"/>
  <c r="V16" i="80"/>
  <c r="V15" i="80"/>
  <c r="Y23" i="82"/>
  <c r="W23" i="82"/>
  <c r="P17" i="82"/>
  <c r="V19" i="80"/>
  <c r="Y19" i="82"/>
  <c r="W19" i="82"/>
  <c r="V12" i="82"/>
  <c r="F18" i="88" s="1"/>
  <c r="O26" i="80"/>
  <c r="Y26" i="80" s="1"/>
  <c r="X12" i="84"/>
  <c r="P16" i="83"/>
  <c r="Y17" i="83"/>
  <c r="W17" i="83"/>
  <c r="P17" i="83"/>
  <c r="O12" i="82"/>
  <c r="W12" i="82" s="1"/>
  <c r="G18" i="88" s="1"/>
  <c r="P25" i="82"/>
  <c r="K12" i="82"/>
  <c r="Y21" i="81"/>
  <c r="W21" i="81"/>
  <c r="Y19" i="81"/>
  <c r="W19" i="81"/>
  <c r="V23" i="80"/>
  <c r="V12" i="81"/>
  <c r="F18" i="87" s="1"/>
  <c r="O22" i="80"/>
  <c r="W22" i="80" s="1"/>
  <c r="Y22" i="81"/>
  <c r="W22" i="81"/>
  <c r="O12" i="81"/>
  <c r="E18" i="87" s="1"/>
  <c r="Y25" i="81"/>
  <c r="W25" i="81"/>
  <c r="M60" i="97"/>
  <c r="Z13" i="48"/>
  <c r="P15" i="98"/>
  <c r="G15" i="93" s="1"/>
  <c r="P14" i="98"/>
  <c r="G14" i="93" s="1"/>
  <c r="K37" i="73"/>
  <c r="K19" i="73"/>
  <c r="I43" i="73"/>
  <c r="K31" i="73"/>
  <c r="G43" i="73"/>
  <c r="E43" i="73"/>
  <c r="K13" i="73"/>
  <c r="K50" i="73"/>
  <c r="O59" i="78"/>
  <c r="O55" i="78" s="1"/>
  <c r="L13" i="104"/>
  <c r="M24" i="103"/>
  <c r="J24" i="103"/>
  <c r="F24" i="103"/>
  <c r="N11" i="103"/>
  <c r="D41" i="41"/>
  <c r="Z17" i="48"/>
  <c r="B37" i="12"/>
  <c r="C14" i="15" s="1"/>
  <c r="D14" i="15" s="1"/>
  <c r="E14" i="15"/>
  <c r="Z23" i="48"/>
  <c r="B81" i="12"/>
  <c r="L85" i="11"/>
  <c r="B79" i="12"/>
  <c r="F85" i="11"/>
  <c r="B73" i="11"/>
  <c r="P20" i="22" s="1"/>
  <c r="AE20" i="38" s="1"/>
  <c r="H23" i="72"/>
  <c r="H22" i="72"/>
  <c r="B67" i="11"/>
  <c r="B61" i="11"/>
  <c r="C22" i="10" s="1"/>
  <c r="H21" i="72"/>
  <c r="H75" i="72" s="1"/>
  <c r="N20" i="22"/>
  <c r="K85" i="11"/>
  <c r="J85" i="11"/>
  <c r="H85" i="11"/>
  <c r="B56" i="11"/>
  <c r="M20" i="22" s="1"/>
  <c r="H19" i="72"/>
  <c r="H73" i="72" s="1"/>
  <c r="D85" i="11"/>
  <c r="B53" i="12"/>
  <c r="B47" i="12"/>
  <c r="B51" i="12"/>
  <c r="B43" i="12" s="1"/>
  <c r="C15" i="15" s="1"/>
  <c r="I85" i="11"/>
  <c r="G85" i="11"/>
  <c r="B43" i="11"/>
  <c r="L20" i="22" s="1"/>
  <c r="H18" i="72"/>
  <c r="H72" i="72" s="1"/>
  <c r="E85" i="11"/>
  <c r="B37" i="11"/>
  <c r="C19" i="10" s="1"/>
  <c r="H15" i="72"/>
  <c r="H69" i="72" s="1"/>
  <c r="H13" i="72"/>
  <c r="H67" i="72" s="1"/>
  <c r="B29" i="11"/>
  <c r="H12" i="72"/>
  <c r="H66" i="72" s="1"/>
  <c r="B25" i="11"/>
  <c r="I17" i="12"/>
  <c r="G17" i="12"/>
  <c r="E17" i="12"/>
  <c r="G34" i="11"/>
  <c r="K34" i="11"/>
  <c r="K87" i="11" s="1"/>
  <c r="I34" i="11"/>
  <c r="I87" i="11" s="1"/>
  <c r="F34" i="11"/>
  <c r="F87" i="11" s="1"/>
  <c r="D34" i="11"/>
  <c r="D87" i="11" s="1"/>
  <c r="K17" i="12"/>
  <c r="L34" i="11"/>
  <c r="L87" i="11" s="1"/>
  <c r="K12" i="74" s="1"/>
  <c r="P12" i="74" s="1"/>
  <c r="J34" i="11"/>
  <c r="H34" i="11"/>
  <c r="H10" i="72"/>
  <c r="H64" i="72" s="1"/>
  <c r="B17" i="11"/>
  <c r="E34" i="11"/>
  <c r="B9" i="11"/>
  <c r="F20" i="22" s="1"/>
  <c r="K41" i="73"/>
  <c r="K39" i="73"/>
  <c r="J43" i="73"/>
  <c r="K40" i="73"/>
  <c r="K42" i="73"/>
  <c r="K38" i="73"/>
  <c r="D43" i="73"/>
  <c r="N13" i="74"/>
  <c r="L13" i="74"/>
  <c r="M19" i="79"/>
  <c r="B19" i="79"/>
  <c r="L19" i="79" s="1"/>
  <c r="O43" i="78"/>
  <c r="O48" i="78"/>
  <c r="N48" i="78"/>
  <c r="N55" i="78"/>
  <c r="O12" i="77"/>
  <c r="O11" i="77"/>
  <c r="O10" i="77"/>
  <c r="V25" i="80"/>
  <c r="V24" i="80"/>
  <c r="O17" i="80"/>
  <c r="W17" i="80" s="1"/>
  <c r="W16" i="81"/>
  <c r="Y12" i="81"/>
  <c r="K14" i="80"/>
  <c r="K22" i="80"/>
  <c r="P22" i="80" s="1"/>
  <c r="K17" i="80"/>
  <c r="Y22" i="80"/>
  <c r="V21" i="80"/>
  <c r="V20" i="80"/>
  <c r="O20" i="80"/>
  <c r="X20" i="80" s="1"/>
  <c r="Y25" i="82"/>
  <c r="W25" i="82"/>
  <c r="Y17" i="82"/>
  <c r="W17" i="82"/>
  <c r="Y15" i="82"/>
  <c r="W15" i="82"/>
  <c r="O24" i="80"/>
  <c r="Y24" i="80" s="1"/>
  <c r="K24" i="80"/>
  <c r="K20" i="80"/>
  <c r="X12" i="83"/>
  <c r="Y16" i="83"/>
  <c r="W16" i="83"/>
  <c r="Y12" i="83"/>
  <c r="W12" i="83"/>
  <c r="G18" i="89" s="1"/>
  <c r="D18" i="86"/>
  <c r="Y12" i="84"/>
  <c r="W12" i="84"/>
  <c r="G18" i="90" s="1"/>
  <c r="W26" i="80"/>
  <c r="V26" i="85"/>
  <c r="O12" i="85"/>
  <c r="O26" i="85"/>
  <c r="P26" i="85"/>
  <c r="P12" i="85" s="1"/>
  <c r="P27" i="94"/>
  <c r="C27" i="93" s="1"/>
  <c r="P25" i="94"/>
  <c r="C25" i="93" s="1"/>
  <c r="P23" i="94"/>
  <c r="C23" i="93" s="1"/>
  <c r="P22" i="94"/>
  <c r="C22" i="93" s="1"/>
  <c r="P21" i="94"/>
  <c r="C21" i="93" s="1"/>
  <c r="P20" i="94"/>
  <c r="C20" i="93" s="1"/>
  <c r="P19" i="94"/>
  <c r="C19" i="93" s="1"/>
  <c r="P18" i="94"/>
  <c r="C18" i="93" s="1"/>
  <c r="P17" i="94"/>
  <c r="C17" i="93" s="1"/>
  <c r="P15" i="94"/>
  <c r="C15" i="93" s="1"/>
  <c r="P14" i="94"/>
  <c r="C14" i="93" s="1"/>
  <c r="P13" i="94"/>
  <c r="C13" i="93" s="1"/>
  <c r="P12" i="94"/>
  <c r="C12" i="93" s="1"/>
  <c r="P11" i="94"/>
  <c r="C11" i="93" s="1"/>
  <c r="M42" i="92"/>
  <c r="P27" i="96"/>
  <c r="E27" i="93" s="1"/>
  <c r="P22" i="97"/>
  <c r="F22" i="93" s="1"/>
  <c r="P21" i="97"/>
  <c r="F21" i="93" s="1"/>
  <c r="P20" i="97"/>
  <c r="F20" i="93" s="1"/>
  <c r="P19" i="97"/>
  <c r="F19" i="93" s="1"/>
  <c r="P18" i="97"/>
  <c r="F18" i="93" s="1"/>
  <c r="P17" i="97"/>
  <c r="F17" i="93" s="1"/>
  <c r="P16" i="97"/>
  <c r="F16" i="93" s="1"/>
  <c r="P15" i="97"/>
  <c r="F15" i="93" s="1"/>
  <c r="P14" i="97"/>
  <c r="F14" i="93" s="1"/>
  <c r="P13" i="97"/>
  <c r="F13" i="93" s="1"/>
  <c r="AG36" i="61"/>
  <c r="I36" i="62"/>
  <c r="E36" i="62"/>
  <c r="AG47" i="62"/>
  <c r="AG31" i="62"/>
  <c r="AG36" i="58"/>
  <c r="AD36" i="61"/>
  <c r="AE36" i="61"/>
  <c r="AE36" i="60"/>
  <c r="AE36" i="59"/>
  <c r="AJ18" i="57"/>
  <c r="AI10" i="57"/>
  <c r="AI14" i="57" s="1"/>
  <c r="AJ21" i="57"/>
  <c r="AJ27" i="57" s="1"/>
  <c r="AI21" i="57"/>
  <c r="AI27" i="57" s="1"/>
  <c r="AJ10" i="57"/>
  <c r="AI18" i="57"/>
  <c r="AJ14" i="57"/>
  <c r="AK14" i="57"/>
  <c r="R41" i="56"/>
  <c r="V40" i="56"/>
  <c r="J21" i="56"/>
  <c r="S41" i="56"/>
  <c r="U40" i="56"/>
  <c r="U41" i="56" s="1"/>
  <c r="U21" i="56"/>
  <c r="R42" i="55"/>
  <c r="Z32" i="55"/>
  <c r="V32" i="55"/>
  <c r="R17" i="55"/>
  <c r="Z44" i="53"/>
  <c r="Q27" i="55"/>
  <c r="Q43" i="55" s="1"/>
  <c r="P17" i="55"/>
  <c r="S27" i="55"/>
  <c r="G17" i="55"/>
  <c r="G27" i="55"/>
  <c r="L27" i="55"/>
  <c r="E17" i="55"/>
  <c r="E32" i="55"/>
  <c r="C32" i="55"/>
  <c r="Y32" i="55"/>
  <c r="Y27" i="55"/>
  <c r="S32" i="55"/>
  <c r="U27" i="55"/>
  <c r="P32" i="55"/>
  <c r="O27" i="55"/>
  <c r="I32" i="55"/>
  <c r="C17" i="55"/>
  <c r="E42" i="55"/>
  <c r="D32" i="55"/>
  <c r="E27" i="55"/>
  <c r="Z27" i="55"/>
  <c r="V27" i="55"/>
  <c r="R27" i="55"/>
  <c r="R22" i="50"/>
  <c r="J22" i="50"/>
  <c r="F27" i="55"/>
  <c r="Y42" i="55"/>
  <c r="W42" i="55"/>
  <c r="X27" i="55"/>
  <c r="X32" i="55"/>
  <c r="U42" i="55"/>
  <c r="S42" i="55"/>
  <c r="T32" i="55"/>
  <c r="T43" i="55" s="1"/>
  <c r="T27" i="55"/>
  <c r="O22" i="55"/>
  <c r="Q42" i="55"/>
  <c r="O42" i="55"/>
  <c r="Q32" i="55"/>
  <c r="O32" i="55"/>
  <c r="P27" i="55"/>
  <c r="M42" i="55"/>
  <c r="K42" i="55"/>
  <c r="L32" i="55"/>
  <c r="M27" i="55"/>
  <c r="K27" i="55"/>
  <c r="L17" i="55"/>
  <c r="L22" i="55" s="1"/>
  <c r="I42" i="55"/>
  <c r="G42" i="55"/>
  <c r="H32" i="55"/>
  <c r="H27" i="55"/>
  <c r="H43" i="55" s="1"/>
  <c r="AC17" i="55"/>
  <c r="N8" i="51"/>
  <c r="J8" i="52"/>
  <c r="J8" i="53"/>
  <c r="J8" i="55"/>
  <c r="N8" i="53"/>
  <c r="P8" i="51"/>
  <c r="L8" i="51"/>
  <c r="H8" i="51"/>
  <c r="Q8" i="53"/>
  <c r="O8" i="53"/>
  <c r="M8" i="53"/>
  <c r="K8" i="53"/>
  <c r="I8" i="53"/>
  <c r="G8" i="53"/>
  <c r="P8" i="54"/>
  <c r="L8" i="54"/>
  <c r="H8" i="54"/>
  <c r="D27" i="55"/>
  <c r="Q8" i="55"/>
  <c r="O8" i="55"/>
  <c r="M8" i="55"/>
  <c r="K8" i="55"/>
  <c r="I8" i="55"/>
  <c r="G8" i="55"/>
  <c r="Q8" i="51"/>
  <c r="O8" i="51"/>
  <c r="M8" i="51"/>
  <c r="K8" i="51"/>
  <c r="I8" i="51"/>
  <c r="G8" i="51"/>
  <c r="P8" i="52"/>
  <c r="L8" i="52"/>
  <c r="H8" i="52"/>
  <c r="P8" i="53"/>
  <c r="L8" i="53"/>
  <c r="H8" i="53"/>
  <c r="F17" i="45"/>
  <c r="F23" i="45"/>
  <c r="F32" i="45"/>
  <c r="F30" i="45"/>
  <c r="T24" i="45"/>
  <c r="P24" i="45"/>
  <c r="L24" i="45"/>
  <c r="T22" i="45"/>
  <c r="P22" i="45"/>
  <c r="L22" i="45"/>
  <c r="T33" i="45"/>
  <c r="P33" i="45"/>
  <c r="L33" i="45"/>
  <c r="D33" i="45" s="1"/>
  <c r="T31" i="45"/>
  <c r="P31" i="45"/>
  <c r="L31" i="45"/>
  <c r="T29" i="45"/>
  <c r="P29" i="45"/>
  <c r="L29" i="45"/>
  <c r="T27" i="45"/>
  <c r="P27" i="45"/>
  <c r="L27" i="45"/>
  <c r="T18" i="45"/>
  <c r="P18" i="45"/>
  <c r="L18" i="45"/>
  <c r="T16" i="45"/>
  <c r="P16" i="45"/>
  <c r="L16" i="45"/>
  <c r="P15" i="45"/>
  <c r="U34" i="45"/>
  <c r="Q34" i="45"/>
  <c r="M34" i="45"/>
  <c r="I34" i="45"/>
  <c r="T32" i="45"/>
  <c r="P32" i="45"/>
  <c r="L32" i="45"/>
  <c r="T30" i="45"/>
  <c r="P30" i="45"/>
  <c r="L30" i="45"/>
  <c r="T28" i="45"/>
  <c r="P28" i="45"/>
  <c r="L28" i="45"/>
  <c r="C26" i="45"/>
  <c r="T25" i="45"/>
  <c r="P25" i="45"/>
  <c r="L25" i="45"/>
  <c r="T23" i="45"/>
  <c r="P23" i="45"/>
  <c r="L23" i="45"/>
  <c r="C20" i="45"/>
  <c r="T19" i="45"/>
  <c r="P19" i="45"/>
  <c r="L19" i="45"/>
  <c r="T17" i="45"/>
  <c r="P17" i="45"/>
  <c r="L17" i="45"/>
  <c r="H15" i="45"/>
  <c r="T13" i="45"/>
  <c r="P13" i="45"/>
  <c r="L13" i="45"/>
  <c r="D18" i="45"/>
  <c r="T26" i="45"/>
  <c r="T20" i="45"/>
  <c r="T15" i="45"/>
  <c r="D15" i="45" s="1"/>
  <c r="S34" i="44"/>
  <c r="V26" i="44"/>
  <c r="V34" i="44" s="1"/>
  <c r="D34" i="44"/>
  <c r="G35" i="44"/>
  <c r="H35" i="44" s="1"/>
  <c r="V15" i="44"/>
  <c r="V20" i="44" s="1"/>
  <c r="U26" i="44"/>
  <c r="U34" i="44" s="1"/>
  <c r="C22" i="40"/>
  <c r="T20" i="40"/>
  <c r="L22" i="40"/>
  <c r="T13" i="40"/>
  <c r="P20" i="39"/>
  <c r="P19" i="39"/>
  <c r="P18" i="39"/>
  <c r="P17" i="39"/>
  <c r="P15" i="39"/>
  <c r="P14" i="39"/>
  <c r="P13" i="39"/>
  <c r="P12" i="39"/>
  <c r="P11" i="39"/>
  <c r="N19" i="103"/>
  <c r="K24" i="103"/>
  <c r="I24" i="103"/>
  <c r="G24" i="103"/>
  <c r="E24" i="103"/>
  <c r="C24" i="103"/>
  <c r="G22" i="40"/>
  <c r="P16" i="39"/>
  <c r="T10" i="40"/>
  <c r="M22" i="40"/>
  <c r="K22" i="40"/>
  <c r="R20" i="38"/>
  <c r="P9" i="39"/>
  <c r="L9" i="106" s="1"/>
  <c r="T18" i="40"/>
  <c r="T11" i="40"/>
  <c r="O22" i="40"/>
  <c r="T17" i="40"/>
  <c r="S22" i="40"/>
  <c r="T15" i="40"/>
  <c r="T21" i="40"/>
  <c r="T14" i="40"/>
  <c r="T16" i="40"/>
  <c r="N22" i="40"/>
  <c r="T55" i="40"/>
  <c r="W24" i="80"/>
  <c r="W20" i="80"/>
  <c r="B77" i="12"/>
  <c r="H73" i="12"/>
  <c r="F73" i="12"/>
  <c r="F85" i="12" s="1"/>
  <c r="B70" i="12"/>
  <c r="F67" i="12"/>
  <c r="B65" i="12"/>
  <c r="J61" i="12"/>
  <c r="D61" i="12"/>
  <c r="H56" i="12"/>
  <c r="F56" i="12"/>
  <c r="E16" i="15" s="1"/>
  <c r="H43" i="12"/>
  <c r="E15" i="15" s="1"/>
  <c r="B45" i="12"/>
  <c r="J29" i="12"/>
  <c r="H29" i="12"/>
  <c r="F29" i="12"/>
  <c r="F34" i="12" s="1"/>
  <c r="D29" i="12"/>
  <c r="B23" i="12"/>
  <c r="J17" i="12"/>
  <c r="J34" i="12" s="1"/>
  <c r="H17" i="12"/>
  <c r="F17" i="12"/>
  <c r="D17" i="12"/>
  <c r="B14" i="12"/>
  <c r="B12" i="12"/>
  <c r="K9" i="12"/>
  <c r="I9" i="12"/>
  <c r="G9" i="12"/>
  <c r="E9" i="12"/>
  <c r="K25" i="80"/>
  <c r="O23" i="80"/>
  <c r="W23" i="80" s="1"/>
  <c r="K21" i="80"/>
  <c r="O19" i="80"/>
  <c r="W19" i="80" s="1"/>
  <c r="K16" i="80"/>
  <c r="O15" i="80"/>
  <c r="W15" i="80" s="1"/>
  <c r="B83" i="12"/>
  <c r="J73" i="12"/>
  <c r="D73" i="12"/>
  <c r="J67" i="12"/>
  <c r="H67" i="12"/>
  <c r="D67" i="12"/>
  <c r="H61" i="12"/>
  <c r="F61" i="12"/>
  <c r="J56" i="12"/>
  <c r="D56" i="12"/>
  <c r="B49" i="12"/>
  <c r="J43" i="12"/>
  <c r="F43" i="12"/>
  <c r="B82" i="12"/>
  <c r="B80" i="12"/>
  <c r="B78" i="12"/>
  <c r="B76" i="12"/>
  <c r="K73" i="12"/>
  <c r="I73" i="12"/>
  <c r="G73" i="12"/>
  <c r="B74" i="12"/>
  <c r="B71" i="12"/>
  <c r="K67" i="12"/>
  <c r="I67" i="12"/>
  <c r="G67" i="12"/>
  <c r="E18" i="15" s="1"/>
  <c r="E67" i="12"/>
  <c r="B64" i="12"/>
  <c r="K61" i="12"/>
  <c r="I61" i="12"/>
  <c r="G61" i="12"/>
  <c r="B62" i="12"/>
  <c r="B59" i="12"/>
  <c r="K56" i="12"/>
  <c r="I56" i="12"/>
  <c r="G56" i="12"/>
  <c r="B57" i="12"/>
  <c r="B54" i="12"/>
  <c r="B52" i="12"/>
  <c r="B50" i="12"/>
  <c r="B48" i="12"/>
  <c r="B46" i="12"/>
  <c r="K43" i="12"/>
  <c r="I43" i="12"/>
  <c r="G43" i="12"/>
  <c r="B44" i="12"/>
  <c r="K37" i="12"/>
  <c r="B32" i="12"/>
  <c r="K29" i="12"/>
  <c r="I29" i="12"/>
  <c r="G29" i="12"/>
  <c r="B30" i="12"/>
  <c r="B22" i="12"/>
  <c r="B15" i="12"/>
  <c r="B13" i="12"/>
  <c r="J9" i="12"/>
  <c r="H9" i="12"/>
  <c r="F9" i="12"/>
  <c r="E9" i="15" s="1"/>
  <c r="B11" i="12"/>
  <c r="J20" i="21"/>
  <c r="I12" i="21"/>
  <c r="D43" i="41"/>
  <c r="D39" i="41"/>
  <c r="D35" i="41"/>
  <c r="R32" i="55"/>
  <c r="N32" i="55"/>
  <c r="F13" i="74"/>
  <c r="U18" i="77"/>
  <c r="U17" i="77"/>
  <c r="U16" i="77"/>
  <c r="U15" i="77"/>
  <c r="U14" i="77"/>
  <c r="U13" i="77"/>
  <c r="U12" i="77"/>
  <c r="U11" i="77"/>
  <c r="U10" i="77"/>
  <c r="V26" i="80"/>
  <c r="O25" i="80"/>
  <c r="W25" i="80" s="1"/>
  <c r="K23" i="80"/>
  <c r="V22" i="80"/>
  <c r="O21" i="80"/>
  <c r="W21" i="80" s="1"/>
  <c r="K19" i="80"/>
  <c r="V17" i="80"/>
  <c r="O16" i="80"/>
  <c r="W16" i="80" s="1"/>
  <c r="K15" i="80"/>
  <c r="C60" i="92"/>
  <c r="F15" i="36"/>
  <c r="G15" i="36" s="1"/>
  <c r="R13" i="36"/>
  <c r="S13" i="36" s="1"/>
  <c r="F13" i="36"/>
  <c r="G13" i="36" s="1"/>
  <c r="R11" i="36"/>
  <c r="S11" i="36" s="1"/>
  <c r="F11" i="36"/>
  <c r="G11" i="36" s="1"/>
  <c r="R20" i="36"/>
  <c r="F20" i="36"/>
  <c r="R19" i="36"/>
  <c r="S19" i="36" s="1"/>
  <c r="F19" i="36"/>
  <c r="G19" i="36" s="1"/>
  <c r="R17" i="36"/>
  <c r="S17" i="36" s="1"/>
  <c r="F17" i="36"/>
  <c r="G17" i="36" s="1"/>
  <c r="R15" i="36"/>
  <c r="S15" i="36" s="1"/>
  <c r="P26" i="94"/>
  <c r="C26" i="93" s="1"/>
  <c r="P24" i="94"/>
  <c r="C24" i="93" s="1"/>
  <c r="M57" i="98"/>
  <c r="H28" i="98"/>
  <c r="H28" i="97"/>
  <c r="F10" i="68"/>
  <c r="P20" i="95"/>
  <c r="D20" i="93" s="1"/>
  <c r="P23" i="95"/>
  <c r="D23" i="93" s="1"/>
  <c r="P13" i="95"/>
  <c r="D13" i="93" s="1"/>
  <c r="P24" i="95"/>
  <c r="D24" i="93" s="1"/>
  <c r="F21" i="68"/>
  <c r="F20" i="68"/>
  <c r="F22" i="68"/>
  <c r="F15" i="68"/>
  <c r="Y19" i="48"/>
  <c r="AA19" i="48" s="1"/>
  <c r="X19" i="48"/>
  <c r="Z19" i="48" s="1"/>
  <c r="D60" i="92"/>
  <c r="M60" i="96"/>
  <c r="H28" i="96"/>
  <c r="C28" i="95"/>
  <c r="H28" i="95"/>
  <c r="H27" i="92"/>
  <c r="C27" i="92"/>
  <c r="H26" i="92"/>
  <c r="C26" i="92"/>
  <c r="H25" i="92"/>
  <c r="C25" i="92"/>
  <c r="H24" i="92"/>
  <c r="C24" i="92"/>
  <c r="H23" i="92"/>
  <c r="C23" i="92"/>
  <c r="H22" i="92"/>
  <c r="C22" i="92"/>
  <c r="H21" i="92"/>
  <c r="C21" i="92"/>
  <c r="H20" i="92"/>
  <c r="C20" i="92"/>
  <c r="D28" i="92"/>
  <c r="H19" i="92"/>
  <c r="C19" i="92"/>
  <c r="H18" i="92"/>
  <c r="N28" i="92"/>
  <c r="F28" i="92"/>
  <c r="C18" i="92"/>
  <c r="K60" i="92"/>
  <c r="H17" i="92"/>
  <c r="C17" i="92"/>
  <c r="J60" i="92"/>
  <c r="L60" i="92"/>
  <c r="H60" i="92"/>
  <c r="F60" i="92"/>
  <c r="P16" i="94"/>
  <c r="C16" i="93" s="1"/>
  <c r="J28" i="92"/>
  <c r="H16" i="92"/>
  <c r="C16" i="92"/>
  <c r="I60" i="92"/>
  <c r="H15" i="92"/>
  <c r="G28" i="92"/>
  <c r="C15" i="92"/>
  <c r="O28" i="92"/>
  <c r="K28" i="92"/>
  <c r="L28" i="92"/>
  <c r="H14" i="92"/>
  <c r="M28" i="92"/>
  <c r="E28" i="92"/>
  <c r="C14" i="92"/>
  <c r="G60" i="92"/>
  <c r="H13" i="92"/>
  <c r="C13" i="92"/>
  <c r="E60" i="92"/>
  <c r="M59" i="94"/>
  <c r="H12" i="92"/>
  <c r="C28" i="94"/>
  <c r="C12" i="92"/>
  <c r="H28" i="94"/>
  <c r="H11" i="92"/>
  <c r="I28" i="92"/>
  <c r="C11" i="92"/>
  <c r="H10" i="92"/>
  <c r="C10" i="92"/>
  <c r="H20" i="38"/>
  <c r="F20" i="38"/>
  <c r="C21" i="39"/>
  <c r="N51" i="39"/>
  <c r="P10" i="39"/>
  <c r="H21" i="39"/>
  <c r="K19" i="21"/>
  <c r="K17" i="21"/>
  <c r="J13" i="64"/>
  <c r="J5" i="64"/>
  <c r="Y13" i="48"/>
  <c r="AA13" i="48" s="1"/>
  <c r="E20" i="48"/>
  <c r="N41" i="56"/>
  <c r="F41" i="56"/>
  <c r="J41" i="56"/>
  <c r="Z44" i="51"/>
  <c r="AD42" i="50"/>
  <c r="AD41" i="55"/>
  <c r="F42" i="55"/>
  <c r="V16" i="48"/>
  <c r="V20" i="48" s="1"/>
  <c r="V24" i="48" s="1"/>
  <c r="AD40" i="55"/>
  <c r="AD38" i="55"/>
  <c r="N16" i="48"/>
  <c r="N20" i="48" s="1"/>
  <c r="N24" i="48" s="1"/>
  <c r="F18" i="57"/>
  <c r="F36" i="55"/>
  <c r="F50" i="46"/>
  <c r="Z18" i="57"/>
  <c r="Z27" i="57" s="1"/>
  <c r="V44" i="51"/>
  <c r="R44" i="53"/>
  <c r="AD33" i="55"/>
  <c r="N44" i="53"/>
  <c r="AD29" i="55"/>
  <c r="V44" i="53"/>
  <c r="R44" i="54"/>
  <c r="R44" i="51"/>
  <c r="N44" i="54"/>
  <c r="J44" i="53"/>
  <c r="J44" i="51"/>
  <c r="F44" i="54"/>
  <c r="AD28" i="55"/>
  <c r="F32" i="55"/>
  <c r="N27" i="55"/>
  <c r="I16" i="48"/>
  <c r="I20" i="48" s="1"/>
  <c r="K12" i="48"/>
  <c r="AA12" i="48" s="1"/>
  <c r="R18" i="57"/>
  <c r="F20" i="46"/>
  <c r="K17" i="48"/>
  <c r="AA17" i="48" s="1"/>
  <c r="R16" i="48"/>
  <c r="R20" i="48" s="1"/>
  <c r="R24" i="48" s="1"/>
  <c r="J20" i="46"/>
  <c r="Z65" i="63"/>
  <c r="E16" i="102" s="1"/>
  <c r="G16" i="102" s="1"/>
  <c r="AD24" i="55"/>
  <c r="K32" i="46"/>
  <c r="X16" i="48"/>
  <c r="T16" i="48"/>
  <c r="T20" i="48" s="1"/>
  <c r="T24" i="48" s="1"/>
  <c r="P16" i="48"/>
  <c r="P20" i="48" s="1"/>
  <c r="P24" i="48" s="1"/>
  <c r="L16" i="48"/>
  <c r="L20" i="48" s="1"/>
  <c r="L24" i="48" s="1"/>
  <c r="G16" i="48"/>
  <c r="G20" i="48" s="1"/>
  <c r="C16" i="48"/>
  <c r="C20" i="48" s="1"/>
  <c r="R10" i="57"/>
  <c r="R14" i="57" s="1"/>
  <c r="J23" i="64"/>
  <c r="J19" i="64"/>
  <c r="J17" i="64"/>
  <c r="C91" i="65"/>
  <c r="C89" i="65"/>
  <c r="C87" i="65"/>
  <c r="C85" i="65"/>
  <c r="C83" i="65"/>
  <c r="C81" i="65"/>
  <c r="C79" i="65"/>
  <c r="C77" i="65"/>
  <c r="C75" i="65"/>
  <c r="L16" i="46"/>
  <c r="H20" i="46"/>
  <c r="D20" i="46"/>
  <c r="J65" i="63"/>
  <c r="E9" i="102" s="1"/>
  <c r="G9" i="102" s="1"/>
  <c r="J44" i="54"/>
  <c r="V18" i="57"/>
  <c r="J18" i="57"/>
  <c r="J12" i="48"/>
  <c r="Z12" i="48" s="1"/>
  <c r="K40" i="46"/>
  <c r="K36" i="46"/>
  <c r="K16" i="46"/>
  <c r="I20" i="46"/>
  <c r="G20" i="46"/>
  <c r="E20" i="46"/>
  <c r="C20" i="46"/>
  <c r="Z15" i="48"/>
  <c r="W16" i="48"/>
  <c r="W20" i="48" s="1"/>
  <c r="U16" i="48"/>
  <c r="U20" i="48" s="1"/>
  <c r="S16" i="48"/>
  <c r="S20" i="48" s="1"/>
  <c r="Q16" i="48"/>
  <c r="Q20" i="48" s="1"/>
  <c r="O16" i="48"/>
  <c r="O20" i="48" s="1"/>
  <c r="M16" i="48"/>
  <c r="M20" i="48" s="1"/>
  <c r="Z11" i="48"/>
  <c r="H16" i="48"/>
  <c r="H20" i="48" s="1"/>
  <c r="H24" i="48" s="1"/>
  <c r="F16" i="48"/>
  <c r="F20" i="48" s="1"/>
  <c r="F24" i="48" s="1"/>
  <c r="D20" i="48"/>
  <c r="D24" i="48" s="1"/>
  <c r="B16" i="48"/>
  <c r="B20" i="48" s="1"/>
  <c r="B24" i="48" s="1"/>
  <c r="R21" i="57"/>
  <c r="F21" i="57"/>
  <c r="AL22" i="57" s="1"/>
  <c r="H23" i="67" s="1"/>
  <c r="C15" i="102" s="1"/>
  <c r="R65" i="63"/>
  <c r="E11" i="102" s="1"/>
  <c r="G11" i="102" s="1"/>
  <c r="J49" i="64"/>
  <c r="J46" i="64"/>
  <c r="D45" i="64"/>
  <c r="J8" i="64"/>
  <c r="J7" i="64"/>
  <c r="D5" i="64"/>
  <c r="I5" i="64" s="1"/>
  <c r="C73" i="65"/>
  <c r="C71" i="65"/>
  <c r="C69" i="65"/>
  <c r="C67" i="65"/>
  <c r="C65" i="65"/>
  <c r="C63" i="65"/>
  <c r="C61" i="65"/>
  <c r="C59" i="65"/>
  <c r="C55" i="65"/>
  <c r="C53" i="65"/>
  <c r="C51" i="65"/>
  <c r="C49" i="65"/>
  <c r="C47" i="65"/>
  <c r="C45" i="65"/>
  <c r="C43" i="65"/>
  <c r="C41" i="65"/>
  <c r="C39" i="65"/>
  <c r="C37" i="65"/>
  <c r="C35" i="65"/>
  <c r="C29" i="65"/>
  <c r="C24" i="65"/>
  <c r="C20" i="65"/>
  <c r="H17" i="67"/>
  <c r="C12" i="102" s="1"/>
  <c r="D13" i="64"/>
  <c r="I13" i="64" s="1"/>
  <c r="D12" i="64"/>
  <c r="K11" i="46"/>
  <c r="K58" i="46"/>
  <c r="E60" i="46"/>
  <c r="K49" i="46"/>
  <c r="J50" i="46"/>
  <c r="K26" i="46"/>
  <c r="L19" i="46"/>
  <c r="L11" i="46"/>
  <c r="R14" i="47"/>
  <c r="K11" i="48"/>
  <c r="AA11" i="48" s="1"/>
  <c r="H26" i="67"/>
  <c r="H18" i="67"/>
  <c r="C13" i="102" s="1"/>
  <c r="Z10" i="57"/>
  <c r="Z14" i="57" s="1"/>
  <c r="F10" i="57"/>
  <c r="F14" i="57" s="1"/>
  <c r="AD65" i="63"/>
  <c r="E15" i="102" s="1"/>
  <c r="G15" i="102" s="1"/>
  <c r="V65" i="63"/>
  <c r="E18" i="102" s="1"/>
  <c r="G18" i="102" s="1"/>
  <c r="N65" i="63"/>
  <c r="E8" i="102" s="1"/>
  <c r="G8" i="102" s="1"/>
  <c r="F65" i="63"/>
  <c r="E6" i="102" s="1"/>
  <c r="G6" i="102" s="1"/>
  <c r="J40" i="64"/>
  <c r="J30" i="64"/>
  <c r="J27" i="64"/>
  <c r="D23" i="64"/>
  <c r="I23" i="64" s="1"/>
  <c r="C18" i="65"/>
  <c r="C16" i="65"/>
  <c r="AA15" i="48"/>
  <c r="G60" i="46"/>
  <c r="K47" i="46"/>
  <c r="D50" i="46"/>
  <c r="H12" i="67"/>
  <c r="C8" i="102" s="1"/>
  <c r="F51" i="64"/>
  <c r="J33" i="64"/>
  <c r="D30" i="64"/>
  <c r="I30" i="64" s="1"/>
  <c r="D29" i="64"/>
  <c r="D19" i="64"/>
  <c r="I19" i="64" s="1"/>
  <c r="J10" i="64"/>
  <c r="D8" i="64"/>
  <c r="I8" i="64" s="1"/>
  <c r="B20" i="15"/>
  <c r="C60" i="46"/>
  <c r="H50" i="46"/>
  <c r="K34" i="46"/>
  <c r="K56" i="46"/>
  <c r="K38" i="46"/>
  <c r="K28" i="46"/>
  <c r="H27" i="67"/>
  <c r="C18" i="102" s="1"/>
  <c r="V21" i="57"/>
  <c r="J21" i="57"/>
  <c r="AD27" i="57"/>
  <c r="AD10" i="57"/>
  <c r="AD14" i="57" s="1"/>
  <c r="V10" i="57"/>
  <c r="V14" i="57" s="1"/>
  <c r="J10" i="57"/>
  <c r="J14" i="57" s="1"/>
  <c r="AB65" i="63"/>
  <c r="E14" i="102" s="1"/>
  <c r="G14" i="102" s="1"/>
  <c r="X65" i="63"/>
  <c r="E17" i="102" s="1"/>
  <c r="G17" i="102" s="1"/>
  <c r="T65" i="63"/>
  <c r="E12" i="102" s="1"/>
  <c r="G12" i="102" s="1"/>
  <c r="P65" i="63"/>
  <c r="E13" i="102" s="1"/>
  <c r="G13" i="102" s="1"/>
  <c r="L65" i="63"/>
  <c r="E10" i="102" s="1"/>
  <c r="G10" i="102" s="1"/>
  <c r="H65" i="63"/>
  <c r="E7" i="102" s="1"/>
  <c r="G7" i="102" s="1"/>
  <c r="D49" i="64"/>
  <c r="I49" i="64" s="1"/>
  <c r="J42" i="64"/>
  <c r="D40" i="64"/>
  <c r="I40" i="64" s="1"/>
  <c r="D39" i="64"/>
  <c r="D38" i="64"/>
  <c r="C14" i="65"/>
  <c r="N44" i="51"/>
  <c r="B13" i="15"/>
  <c r="J60" i="46"/>
  <c r="H60" i="46"/>
  <c r="F60" i="46"/>
  <c r="K57" i="46"/>
  <c r="K48" i="46"/>
  <c r="I50" i="46"/>
  <c r="G50" i="46"/>
  <c r="E50" i="46"/>
  <c r="C50" i="46"/>
  <c r="I37" i="46"/>
  <c r="J13" i="47" s="1"/>
  <c r="K39" i="46"/>
  <c r="G37" i="46"/>
  <c r="J12" i="47" s="1"/>
  <c r="C37" i="46"/>
  <c r="J10" i="47" s="1"/>
  <c r="I33" i="46"/>
  <c r="K35" i="46"/>
  <c r="G33" i="46"/>
  <c r="C33" i="46"/>
  <c r="I30" i="46"/>
  <c r="E30" i="46"/>
  <c r="K29" i="46"/>
  <c r="R22" i="47"/>
  <c r="K11" i="47" s="1"/>
  <c r="R23" i="47"/>
  <c r="B54" i="63"/>
  <c r="B65" i="63" s="1"/>
  <c r="B15" i="102"/>
  <c r="B14" i="102"/>
  <c r="B16" i="102"/>
  <c r="B17" i="102"/>
  <c r="B18" i="102"/>
  <c r="B12" i="102"/>
  <c r="B11" i="102"/>
  <c r="B13" i="102"/>
  <c r="B8" i="102"/>
  <c r="B10" i="102"/>
  <c r="B9" i="102"/>
  <c r="B7" i="102"/>
  <c r="B6" i="102"/>
  <c r="C48" i="63"/>
  <c r="C47" i="63"/>
  <c r="C46" i="63"/>
  <c r="C45" i="63"/>
  <c r="C44" i="63"/>
  <c r="C43" i="63"/>
  <c r="C42" i="63"/>
  <c r="C41" i="63"/>
  <c r="C40" i="63"/>
  <c r="C39" i="63"/>
  <c r="C38" i="63"/>
  <c r="C37" i="63"/>
  <c r="C36" i="63"/>
  <c r="C35" i="63"/>
  <c r="C34" i="63"/>
  <c r="C33" i="63"/>
  <c r="C32" i="63"/>
  <c r="C31" i="63"/>
  <c r="C30" i="63"/>
  <c r="C29" i="63"/>
  <c r="C28" i="63"/>
  <c r="C27" i="63"/>
  <c r="C26" i="63"/>
  <c r="C25" i="63"/>
  <c r="C24" i="63"/>
  <c r="C23" i="63"/>
  <c r="C22" i="63"/>
  <c r="C21" i="63"/>
  <c r="C20" i="63"/>
  <c r="C19" i="63"/>
  <c r="C18" i="63"/>
  <c r="C17" i="63"/>
  <c r="C16" i="63"/>
  <c r="C15" i="63"/>
  <c r="C14" i="63"/>
  <c r="C13" i="63"/>
  <c r="C12" i="63"/>
  <c r="C11" i="63"/>
  <c r="C10" i="63"/>
  <c r="C9" i="63"/>
  <c r="C8" i="63"/>
  <c r="C7" i="63"/>
  <c r="C6" i="63"/>
  <c r="C5" i="63"/>
  <c r="D50" i="64"/>
  <c r="C51" i="64"/>
  <c r="D41" i="64"/>
  <c r="I41" i="64" s="1"/>
  <c r="D31" i="64"/>
  <c r="I31" i="64" s="1"/>
  <c r="D25" i="64"/>
  <c r="I25" i="64" s="1"/>
  <c r="D24" i="64"/>
  <c r="D20" i="64"/>
  <c r="I20" i="64" s="1"/>
  <c r="D15" i="64"/>
  <c r="I15" i="64" s="1"/>
  <c r="D14" i="64"/>
  <c r="D9" i="64"/>
  <c r="I9" i="64" s="1"/>
  <c r="D6" i="64"/>
  <c r="I6" i="64" s="1"/>
  <c r="C57" i="65"/>
  <c r="G7" i="65"/>
  <c r="C22" i="65"/>
  <c r="C12" i="65"/>
  <c r="E7" i="65"/>
  <c r="K59" i="46"/>
  <c r="K46" i="46"/>
  <c r="I25" i="46"/>
  <c r="K27" i="46"/>
  <c r="G25" i="46"/>
  <c r="C25" i="46"/>
  <c r="R7" i="47"/>
  <c r="D48" i="63"/>
  <c r="D47" i="63"/>
  <c r="D46" i="63"/>
  <c r="D45" i="63"/>
  <c r="D44" i="63"/>
  <c r="D43" i="63"/>
  <c r="D42" i="63"/>
  <c r="D41" i="63"/>
  <c r="D40" i="63"/>
  <c r="D39" i="63"/>
  <c r="D38" i="63"/>
  <c r="D37" i="63"/>
  <c r="D36" i="63"/>
  <c r="D35" i="63"/>
  <c r="D34" i="63"/>
  <c r="D33" i="63"/>
  <c r="D32" i="63"/>
  <c r="D31" i="63"/>
  <c r="D30" i="63"/>
  <c r="D29" i="63"/>
  <c r="D28" i="63"/>
  <c r="D27" i="63"/>
  <c r="D26" i="63"/>
  <c r="D25" i="63"/>
  <c r="D24" i="63"/>
  <c r="D23" i="63"/>
  <c r="D22" i="63"/>
  <c r="D21" i="63"/>
  <c r="D20" i="63"/>
  <c r="D19" i="63"/>
  <c r="D18" i="63"/>
  <c r="D17" i="63"/>
  <c r="D16" i="63"/>
  <c r="D15" i="63"/>
  <c r="D14" i="63"/>
  <c r="D13" i="63"/>
  <c r="D12" i="63"/>
  <c r="D11" i="63"/>
  <c r="D10" i="63"/>
  <c r="D9" i="63"/>
  <c r="D8" i="63"/>
  <c r="D7" i="63"/>
  <c r="D6" i="63"/>
  <c r="D5" i="63"/>
  <c r="D48" i="64"/>
  <c r="I48" i="64" s="1"/>
  <c r="G51" i="64"/>
  <c r="D47" i="64"/>
  <c r="D46" i="64"/>
  <c r="I46" i="64" s="1"/>
  <c r="D44" i="64"/>
  <c r="I44" i="64" s="1"/>
  <c r="D42" i="64"/>
  <c r="I42" i="64" s="1"/>
  <c r="D37" i="64"/>
  <c r="I37" i="64" s="1"/>
  <c r="D36" i="64"/>
  <c r="D35" i="64"/>
  <c r="D34" i="64"/>
  <c r="D33" i="64"/>
  <c r="I33" i="64" s="1"/>
  <c r="D32" i="64"/>
  <c r="D28" i="64"/>
  <c r="I28" i="64" s="1"/>
  <c r="D27" i="64"/>
  <c r="I27" i="64" s="1"/>
  <c r="D26" i="64"/>
  <c r="D22" i="64"/>
  <c r="I22" i="64" s="1"/>
  <c r="D21" i="64"/>
  <c r="J20" i="64"/>
  <c r="D18" i="64"/>
  <c r="I18" i="64" s="1"/>
  <c r="D17" i="64"/>
  <c r="I17" i="64" s="1"/>
  <c r="D16" i="64"/>
  <c r="D11" i="64"/>
  <c r="I11" i="64" s="1"/>
  <c r="D10" i="64"/>
  <c r="I10" i="64" s="1"/>
  <c r="D7" i="64"/>
  <c r="I7" i="64" s="1"/>
  <c r="F19" i="102"/>
  <c r="C90" i="65"/>
  <c r="C88" i="65"/>
  <c r="C86" i="65"/>
  <c r="C84" i="65"/>
  <c r="C82" i="65"/>
  <c r="C80" i="65"/>
  <c r="C78" i="65"/>
  <c r="C76" i="65"/>
  <c r="C74" i="65"/>
  <c r="C72" i="65"/>
  <c r="C70" i="65"/>
  <c r="C68" i="65"/>
  <c r="C66" i="65"/>
  <c r="C64" i="65"/>
  <c r="C62" i="65"/>
  <c r="C60" i="65"/>
  <c r="C58" i="65"/>
  <c r="C56" i="65"/>
  <c r="C54" i="65"/>
  <c r="C52" i="65"/>
  <c r="C50" i="65"/>
  <c r="C48" i="65"/>
  <c r="C46" i="65"/>
  <c r="C44" i="65"/>
  <c r="C42" i="65"/>
  <c r="C40" i="65"/>
  <c r="C38" i="65"/>
  <c r="C36" i="65"/>
  <c r="C33" i="65"/>
  <c r="C25" i="65"/>
  <c r="C23" i="65"/>
  <c r="C21" i="65"/>
  <c r="C19" i="65"/>
  <c r="C17" i="65"/>
  <c r="C15" i="65"/>
  <c r="C13" i="65"/>
  <c r="F7" i="65"/>
  <c r="C11" i="65"/>
  <c r="C10" i="65"/>
  <c r="C9" i="65"/>
  <c r="D7" i="65"/>
  <c r="E37" i="46"/>
  <c r="J11" i="47" s="1"/>
  <c r="E33" i="46"/>
  <c r="E25" i="46"/>
  <c r="H24" i="67"/>
  <c r="C16" i="102" s="1"/>
  <c r="H21" i="67"/>
  <c r="H14" i="67"/>
  <c r="C10" i="102" s="1"/>
  <c r="H16" i="67"/>
  <c r="H13" i="67"/>
  <c r="C9" i="102" s="1"/>
  <c r="D60" i="46"/>
  <c r="K31" i="46"/>
  <c r="R21" i="47"/>
  <c r="K10" i="47" s="1"/>
  <c r="H25" i="67"/>
  <c r="C17" i="102" s="1"/>
  <c r="AG27" i="57"/>
  <c r="AG28" i="57" s="1"/>
  <c r="H10" i="67"/>
  <c r="C7" i="102" s="1"/>
  <c r="E51" i="64"/>
  <c r="J48" i="64"/>
  <c r="J44" i="64"/>
  <c r="J41" i="64"/>
  <c r="J37" i="64"/>
  <c r="J31" i="64"/>
  <c r="J28" i="64"/>
  <c r="J25" i="64"/>
  <c r="J22" i="64"/>
  <c r="J18" i="64"/>
  <c r="J15" i="64"/>
  <c r="J11" i="64"/>
  <c r="J9" i="64"/>
  <c r="J6" i="64"/>
  <c r="C8" i="65"/>
  <c r="H76" i="72"/>
  <c r="H77" i="72"/>
  <c r="E17" i="15"/>
  <c r="B69" i="12"/>
  <c r="D43" i="12"/>
  <c r="B10" i="12"/>
  <c r="D9" i="12"/>
  <c r="B75" i="12"/>
  <c r="E73" i="12"/>
  <c r="B68" i="12"/>
  <c r="B63" i="12"/>
  <c r="E61" i="12"/>
  <c r="B58" i="12"/>
  <c r="B56" i="12" s="1"/>
  <c r="C16" i="15" s="1"/>
  <c r="E56" i="12"/>
  <c r="E43" i="12"/>
  <c r="B31" i="12"/>
  <c r="B29" i="12" s="1"/>
  <c r="C12" i="15" s="1"/>
  <c r="E29" i="12"/>
  <c r="B18" i="12"/>
  <c r="B17" i="12" s="1"/>
  <c r="C10" i="15" s="1"/>
  <c r="F14" i="15"/>
  <c r="I23" i="15" s="1"/>
  <c r="AA20" i="30"/>
  <c r="Y20" i="30"/>
  <c r="AE20" i="34"/>
  <c r="AA20" i="34"/>
  <c r="W20" i="34"/>
  <c r="Q20" i="34"/>
  <c r="M20" i="34"/>
  <c r="AE20" i="35"/>
  <c r="AA20" i="35"/>
  <c r="W20" i="35"/>
  <c r="AE20" i="36"/>
  <c r="AC20" i="36"/>
  <c r="AA20" i="36"/>
  <c r="Y20" i="36"/>
  <c r="W20" i="36"/>
  <c r="U20" i="36"/>
  <c r="Q20" i="36"/>
  <c r="O20" i="36"/>
  <c r="M20" i="36"/>
  <c r="K20" i="36"/>
  <c r="R18" i="36"/>
  <c r="S18" i="36" s="1"/>
  <c r="F18" i="36"/>
  <c r="G18" i="36" s="1"/>
  <c r="H16" i="36"/>
  <c r="I16" i="36" s="1"/>
  <c r="R14" i="36"/>
  <c r="S14" i="36" s="1"/>
  <c r="F14" i="36"/>
  <c r="G14" i="36" s="1"/>
  <c r="H12" i="36"/>
  <c r="I12" i="36" s="1"/>
  <c r="S12" i="67"/>
  <c r="AA20" i="38"/>
  <c r="R20" i="30"/>
  <c r="S20" i="33" s="1"/>
  <c r="H20" i="30"/>
  <c r="F20" i="30"/>
  <c r="AC20" i="34"/>
  <c r="Y20" i="34"/>
  <c r="U20" i="34"/>
  <c r="O20" i="34"/>
  <c r="K20" i="34"/>
  <c r="B23" i="35"/>
  <c r="B23" i="38" s="1"/>
  <c r="AC20" i="35"/>
  <c r="Y20" i="35"/>
  <c r="U20" i="35"/>
  <c r="O20" i="35"/>
  <c r="K20" i="35"/>
  <c r="B23" i="36"/>
  <c r="H20" i="36"/>
  <c r="H18" i="36"/>
  <c r="I18" i="36" s="1"/>
  <c r="R16" i="36"/>
  <c r="S16" i="36" s="1"/>
  <c r="F16" i="36"/>
  <c r="G16" i="36" s="1"/>
  <c r="H14" i="36"/>
  <c r="I14" i="36" s="1"/>
  <c r="R12" i="36"/>
  <c r="S12" i="36" s="1"/>
  <c r="F12" i="36"/>
  <c r="G12" i="36" s="1"/>
  <c r="F44" i="41"/>
  <c r="F42" i="41"/>
  <c r="F40" i="41"/>
  <c r="F38" i="41"/>
  <c r="F36" i="41"/>
  <c r="F34" i="41"/>
  <c r="D33" i="41"/>
  <c r="F32" i="41"/>
  <c r="D31" i="41"/>
  <c r="F30" i="41"/>
  <c r="D29" i="41"/>
  <c r="F28" i="41"/>
  <c r="D27" i="41"/>
  <c r="F26" i="41"/>
  <c r="D25" i="41"/>
  <c r="F24" i="41"/>
  <c r="D23" i="41"/>
  <c r="F22" i="41"/>
  <c r="D21" i="41"/>
  <c r="F20" i="41"/>
  <c r="D19" i="41"/>
  <c r="F18" i="41"/>
  <c r="D17" i="41"/>
  <c r="F16" i="41"/>
  <c r="D15" i="41"/>
  <c r="F14" i="41"/>
  <c r="AD16" i="55"/>
  <c r="X16" i="80"/>
  <c r="H19" i="36"/>
  <c r="I19" i="36" s="1"/>
  <c r="H17" i="36"/>
  <c r="I17" i="36" s="1"/>
  <c r="H15" i="36"/>
  <c r="I15" i="36" s="1"/>
  <c r="H13" i="36"/>
  <c r="I13" i="36" s="1"/>
  <c r="H11" i="36"/>
  <c r="I11" i="36" s="1"/>
  <c r="F45" i="41"/>
  <c r="D44" i="41"/>
  <c r="F43" i="41"/>
  <c r="D42" i="41"/>
  <c r="F41" i="41"/>
  <c r="D40" i="41"/>
  <c r="F39" i="41"/>
  <c r="D38" i="41"/>
  <c r="F37" i="41"/>
  <c r="D36" i="41"/>
  <c r="F35" i="41"/>
  <c r="D34" i="41"/>
  <c r="F33" i="41"/>
  <c r="D32" i="41"/>
  <c r="F31" i="41"/>
  <c r="D30" i="41"/>
  <c r="F29" i="41"/>
  <c r="D28" i="41"/>
  <c r="F27" i="41"/>
  <c r="D26" i="41"/>
  <c r="F25" i="41"/>
  <c r="D24" i="41"/>
  <c r="F23" i="41"/>
  <c r="D22" i="41"/>
  <c r="F21" i="41"/>
  <c r="D20" i="41"/>
  <c r="F19" i="41"/>
  <c r="D18" i="41"/>
  <c r="F17" i="41"/>
  <c r="D16" i="41"/>
  <c r="H74" i="72"/>
  <c r="G16" i="75"/>
  <c r="L12" i="75" s="1"/>
  <c r="O14" i="80"/>
  <c r="A3" i="84"/>
  <c r="A3" i="82"/>
  <c r="A3" i="83"/>
  <c r="AE20" i="30" l="1"/>
  <c r="S14" i="67"/>
  <c r="D29" i="45"/>
  <c r="D24" i="45"/>
  <c r="C24" i="10"/>
  <c r="B24" i="10" s="1"/>
  <c r="D24" i="10" s="1"/>
  <c r="G24" i="10" s="1"/>
  <c r="D11" i="15"/>
  <c r="AD22" i="50"/>
  <c r="Z22" i="55"/>
  <c r="AB43" i="50"/>
  <c r="AA43" i="52"/>
  <c r="AA43" i="54"/>
  <c r="AA44" i="54" s="1"/>
  <c r="V44" i="50"/>
  <c r="C43" i="55"/>
  <c r="F16" i="45"/>
  <c r="S8" i="51"/>
  <c r="S8" i="55"/>
  <c r="C7" i="56" s="1"/>
  <c r="K7" i="56" s="1"/>
  <c r="M43" i="55"/>
  <c r="E43" i="55"/>
  <c r="P12" i="83"/>
  <c r="W43" i="55"/>
  <c r="W44" i="55" s="1"/>
  <c r="AA36" i="55"/>
  <c r="AA17" i="55"/>
  <c r="AB36" i="55"/>
  <c r="AD36" i="62"/>
  <c r="D14" i="45"/>
  <c r="K26" i="80"/>
  <c r="P26" i="80" s="1"/>
  <c r="P12" i="81"/>
  <c r="F18" i="45"/>
  <c r="F25" i="45"/>
  <c r="P8" i="55"/>
  <c r="T8" i="50"/>
  <c r="Q8" i="54"/>
  <c r="U8" i="50"/>
  <c r="S8" i="54"/>
  <c r="W8" i="50"/>
  <c r="B73" i="12"/>
  <c r="C19" i="15" s="1"/>
  <c r="D19" i="15" s="1"/>
  <c r="E12" i="15"/>
  <c r="E19" i="15"/>
  <c r="S8" i="52"/>
  <c r="X43" i="55"/>
  <c r="X44" i="55" s="1"/>
  <c r="L43" i="55"/>
  <c r="L44" i="55" s="1"/>
  <c r="R22" i="55"/>
  <c r="AG36" i="62"/>
  <c r="AA43" i="50"/>
  <c r="AA44" i="50" s="1"/>
  <c r="AE36" i="62"/>
  <c r="F19" i="45"/>
  <c r="J12" i="80"/>
  <c r="K12" i="80" s="1"/>
  <c r="X19" i="80"/>
  <c r="X22" i="80"/>
  <c r="X23" i="80"/>
  <c r="X24" i="80"/>
  <c r="X21" i="80"/>
  <c r="P23" i="80"/>
  <c r="X26" i="80"/>
  <c r="P15" i="80"/>
  <c r="P24" i="80"/>
  <c r="F24" i="45"/>
  <c r="F14" i="45"/>
  <c r="R26" i="45"/>
  <c r="F28" i="45"/>
  <c r="F13" i="45"/>
  <c r="R15" i="45"/>
  <c r="V15" i="45"/>
  <c r="N15" i="45"/>
  <c r="J15" i="45"/>
  <c r="V20" i="45"/>
  <c r="J26" i="45"/>
  <c r="V26" i="45"/>
  <c r="F27" i="45"/>
  <c r="J20" i="45"/>
  <c r="E35" i="45"/>
  <c r="F31" i="45"/>
  <c r="W26" i="44"/>
  <c r="M35" i="44"/>
  <c r="N35" i="44" s="1"/>
  <c r="W20" i="44"/>
  <c r="T44" i="55"/>
  <c r="O43" i="55"/>
  <c r="O44" i="55" s="1"/>
  <c r="P22" i="55"/>
  <c r="M22" i="55"/>
  <c r="M44" i="55" s="1"/>
  <c r="U22" i="55"/>
  <c r="AA13" i="55"/>
  <c r="S22" i="55"/>
  <c r="C22" i="55"/>
  <c r="C44" i="55" s="1"/>
  <c r="G43" i="55"/>
  <c r="I43" i="55"/>
  <c r="I44" i="55" s="1"/>
  <c r="AC20" i="55"/>
  <c r="AC22" i="55" s="1"/>
  <c r="D43" i="55"/>
  <c r="D44" i="55" s="1"/>
  <c r="S43" i="55"/>
  <c r="G22" i="55"/>
  <c r="Q22" i="55"/>
  <c r="Q44" i="55" s="1"/>
  <c r="Y22" i="55"/>
  <c r="AB20" i="55"/>
  <c r="AB27" i="55"/>
  <c r="AB43" i="55" s="1"/>
  <c r="AC27" i="55"/>
  <c r="AB13" i="55"/>
  <c r="AD36" i="55"/>
  <c r="AD22" i="52"/>
  <c r="AD20" i="55"/>
  <c r="AD22" i="54"/>
  <c r="AD43" i="52"/>
  <c r="V22" i="55"/>
  <c r="AD22" i="53"/>
  <c r="AD17" i="55"/>
  <c r="F22" i="55"/>
  <c r="F44" i="50"/>
  <c r="AD43" i="54"/>
  <c r="AD43" i="51"/>
  <c r="N44" i="50"/>
  <c r="F44" i="51"/>
  <c r="R44" i="50"/>
  <c r="J44" i="50"/>
  <c r="R42" i="56"/>
  <c r="V21" i="56"/>
  <c r="V41" i="56"/>
  <c r="N42" i="56"/>
  <c r="J42" i="56"/>
  <c r="AG34" i="70"/>
  <c r="H25" i="72"/>
  <c r="I18" i="76"/>
  <c r="P21" i="80"/>
  <c r="X17" i="80"/>
  <c r="X25" i="80"/>
  <c r="G28" i="93"/>
  <c r="H22" i="93"/>
  <c r="F28" i="93"/>
  <c r="H12" i="93"/>
  <c r="P20" i="92"/>
  <c r="H21" i="93"/>
  <c r="M60" i="92"/>
  <c r="H11" i="93"/>
  <c r="P28" i="96"/>
  <c r="H20" i="93"/>
  <c r="H27" i="93"/>
  <c r="P16" i="92"/>
  <c r="S31" i="67"/>
  <c r="D13" i="102"/>
  <c r="D10" i="102"/>
  <c r="D7" i="102"/>
  <c r="B41" i="63"/>
  <c r="B41" i="64" s="1"/>
  <c r="H41" i="64" s="1"/>
  <c r="B10" i="63"/>
  <c r="B10" i="64" s="1"/>
  <c r="H10" i="64" s="1"/>
  <c r="K37" i="46"/>
  <c r="J14" i="47" s="1"/>
  <c r="N24" i="103"/>
  <c r="P26" i="92"/>
  <c r="P24" i="92"/>
  <c r="P12" i="92"/>
  <c r="H25" i="93"/>
  <c r="P14" i="92"/>
  <c r="K30" i="46"/>
  <c r="B33" i="63"/>
  <c r="B33" i="64" s="1"/>
  <c r="H33" i="64" s="1"/>
  <c r="B37" i="63"/>
  <c r="B37" i="64" s="1"/>
  <c r="H37" i="64" s="1"/>
  <c r="B45" i="63"/>
  <c r="B45" i="64" s="1"/>
  <c r="B26" i="63"/>
  <c r="B26" i="64" s="1"/>
  <c r="K33" i="46"/>
  <c r="D9" i="102"/>
  <c r="D16" i="102"/>
  <c r="E19" i="102"/>
  <c r="G19" i="102" s="1"/>
  <c r="B35" i="63"/>
  <c r="B35" i="64" s="1"/>
  <c r="B39" i="63"/>
  <c r="B39" i="64" s="1"/>
  <c r="B43" i="63"/>
  <c r="B43" i="64" s="1"/>
  <c r="B47" i="63"/>
  <c r="B47" i="64" s="1"/>
  <c r="P16" i="80"/>
  <c r="P25" i="80"/>
  <c r="B61" i="12"/>
  <c r="C17" i="15" s="1"/>
  <c r="D17" i="15" s="1"/>
  <c r="D34" i="12"/>
  <c r="D87" i="12" s="1"/>
  <c r="F42" i="56"/>
  <c r="G66" i="39"/>
  <c r="H16" i="93"/>
  <c r="E28" i="93"/>
  <c r="K34" i="12"/>
  <c r="P35" i="44"/>
  <c r="Q35" i="44" s="1"/>
  <c r="D30" i="45"/>
  <c r="D16" i="45"/>
  <c r="D27" i="45"/>
  <c r="D22" i="45"/>
  <c r="K43" i="55"/>
  <c r="X12" i="82"/>
  <c r="W12" i="81"/>
  <c r="G18" i="87" s="1"/>
  <c r="X12" i="81"/>
  <c r="H15" i="93"/>
  <c r="AC22" i="50"/>
  <c r="AC44" i="50" s="1"/>
  <c r="AC43" i="52"/>
  <c r="AC43" i="54"/>
  <c r="AF36" i="62"/>
  <c r="B67" i="12"/>
  <c r="C18" i="15" s="1"/>
  <c r="D18" i="15" s="1"/>
  <c r="R27" i="57"/>
  <c r="R28" i="57" s="1"/>
  <c r="Y16" i="48"/>
  <c r="Y20" i="48" s="1"/>
  <c r="P11" i="92"/>
  <c r="P15" i="92"/>
  <c r="P17" i="80"/>
  <c r="AB17" i="55"/>
  <c r="AA20" i="55"/>
  <c r="AA22" i="55" s="1"/>
  <c r="AA43" i="53"/>
  <c r="AA44" i="53" s="1"/>
  <c r="N8" i="55"/>
  <c r="R8" i="50"/>
  <c r="E34" i="12"/>
  <c r="D85" i="12"/>
  <c r="K20" i="46"/>
  <c r="X20" i="48"/>
  <c r="X24" i="48" s="1"/>
  <c r="N43" i="55"/>
  <c r="N44" i="55" s="1"/>
  <c r="H23" i="93"/>
  <c r="P28" i="97"/>
  <c r="E10" i="15"/>
  <c r="E13" i="15" s="1"/>
  <c r="E24" i="10"/>
  <c r="J21" i="10" s="1"/>
  <c r="H44" i="55"/>
  <c r="D19" i="45"/>
  <c r="D23" i="45"/>
  <c r="R20" i="45"/>
  <c r="F20" i="45" s="1"/>
  <c r="D31" i="45"/>
  <c r="N8" i="54"/>
  <c r="P43" i="55"/>
  <c r="U43" i="55"/>
  <c r="U44" i="55" s="1"/>
  <c r="W22" i="55"/>
  <c r="AD43" i="53"/>
  <c r="AB43" i="52"/>
  <c r="AB44" i="52" s="1"/>
  <c r="AC43" i="53"/>
  <c r="N26" i="45"/>
  <c r="J78" i="39"/>
  <c r="H13" i="93"/>
  <c r="Y12" i="82"/>
  <c r="E18" i="88"/>
  <c r="D18" i="102"/>
  <c r="B14" i="63"/>
  <c r="B14" i="64" s="1"/>
  <c r="B18" i="63"/>
  <c r="B18" i="64" s="1"/>
  <c r="H18" i="64" s="1"/>
  <c r="B22" i="63"/>
  <c r="B22" i="64" s="1"/>
  <c r="H22" i="64" s="1"/>
  <c r="B30" i="63"/>
  <c r="B30" i="64" s="1"/>
  <c r="H30" i="64" s="1"/>
  <c r="AI28" i="57"/>
  <c r="AA44" i="52"/>
  <c r="J16" i="48"/>
  <c r="J20" i="48" s="1"/>
  <c r="J24" i="48" s="1"/>
  <c r="C51" i="63"/>
  <c r="B19" i="102"/>
  <c r="K25" i="46"/>
  <c r="Z43" i="55"/>
  <c r="AD22" i="51"/>
  <c r="D15" i="102"/>
  <c r="AD43" i="50"/>
  <c r="AD44" i="50" s="1"/>
  <c r="AL10" i="57"/>
  <c r="AL14" i="57" s="1"/>
  <c r="AL21" i="57"/>
  <c r="AL18" i="57"/>
  <c r="AK28" i="57"/>
  <c r="U42" i="56"/>
  <c r="AB43" i="54"/>
  <c r="AB44" i="54" s="1"/>
  <c r="S44" i="55"/>
  <c r="AC22" i="54"/>
  <c r="AC22" i="53"/>
  <c r="AC44" i="53" s="1"/>
  <c r="AB43" i="53"/>
  <c r="AB44" i="53" s="1"/>
  <c r="AC22" i="52"/>
  <c r="AC44" i="52" s="1"/>
  <c r="Y43" i="55"/>
  <c r="AC43" i="51"/>
  <c r="AA43" i="51"/>
  <c r="AA44" i="51" s="1"/>
  <c r="AC22" i="51"/>
  <c r="AC44" i="51" s="1"/>
  <c r="AB43" i="51"/>
  <c r="AB44" i="51" s="1"/>
  <c r="AB44" i="50"/>
  <c r="K8" i="78"/>
  <c r="I42" i="78"/>
  <c r="H42" i="78"/>
  <c r="J8" i="78"/>
  <c r="H28" i="92"/>
  <c r="P28" i="98"/>
  <c r="H17" i="93"/>
  <c r="H19" i="93"/>
  <c r="P19" i="80"/>
  <c r="G20" i="37"/>
  <c r="G20" i="33"/>
  <c r="I20" i="37"/>
  <c r="I20" i="33"/>
  <c r="G67" i="39"/>
  <c r="L10" i="106"/>
  <c r="G72" i="39"/>
  <c r="L16" i="106"/>
  <c r="G68" i="39"/>
  <c r="L11" i="106"/>
  <c r="G70" i="39"/>
  <c r="L13" i="106"/>
  <c r="G71" i="39"/>
  <c r="L15" i="106"/>
  <c r="G75" i="39"/>
  <c r="L18" i="106"/>
  <c r="G77" i="39"/>
  <c r="L20" i="106"/>
  <c r="G69" i="39"/>
  <c r="L12" i="106"/>
  <c r="G73" i="39"/>
  <c r="L14" i="106"/>
  <c r="G74" i="39"/>
  <c r="L17" i="106"/>
  <c r="G76" i="39"/>
  <c r="L19" i="106"/>
  <c r="B9" i="12"/>
  <c r="C9" i="15" s="1"/>
  <c r="C13" i="15" s="1"/>
  <c r="K20" i="22"/>
  <c r="B19" i="10"/>
  <c r="D19" i="10" s="1"/>
  <c r="G19" i="10" s="1"/>
  <c r="B6" i="63"/>
  <c r="B6" i="64" s="1"/>
  <c r="H6" i="64" s="1"/>
  <c r="B8" i="63"/>
  <c r="B8" i="64" s="1"/>
  <c r="H8" i="64" s="1"/>
  <c r="B12" i="63"/>
  <c r="B12" i="64" s="1"/>
  <c r="B16" i="63"/>
  <c r="B16" i="64" s="1"/>
  <c r="B20" i="63"/>
  <c r="B20" i="64" s="1"/>
  <c r="H20" i="64" s="1"/>
  <c r="B24" i="63"/>
  <c r="B24" i="64" s="1"/>
  <c r="B28" i="63"/>
  <c r="B28" i="64" s="1"/>
  <c r="H28" i="64" s="1"/>
  <c r="B32" i="63"/>
  <c r="B32" i="64" s="1"/>
  <c r="B34" i="63"/>
  <c r="B34" i="64" s="1"/>
  <c r="B36" i="63"/>
  <c r="B36" i="64" s="1"/>
  <c r="B38" i="63"/>
  <c r="B38" i="64" s="1"/>
  <c r="B40" i="63"/>
  <c r="B40" i="64" s="1"/>
  <c r="H40" i="64" s="1"/>
  <c r="B42" i="63"/>
  <c r="B42" i="64" s="1"/>
  <c r="H42" i="64" s="1"/>
  <c r="B44" i="63"/>
  <c r="B44" i="64" s="1"/>
  <c r="H44" i="64" s="1"/>
  <c r="B46" i="63"/>
  <c r="B46" i="64" s="1"/>
  <c r="H46" i="64" s="1"/>
  <c r="B48" i="63"/>
  <c r="B48" i="64" s="1"/>
  <c r="H48" i="64" s="1"/>
  <c r="V27" i="57"/>
  <c r="V28" i="57" s="1"/>
  <c r="AD27" i="55"/>
  <c r="F43" i="55"/>
  <c r="R43" i="55"/>
  <c r="R44" i="55" s="1"/>
  <c r="V43" i="55"/>
  <c r="H18" i="93"/>
  <c r="AD32" i="55"/>
  <c r="E22" i="55"/>
  <c r="E44" i="55" s="1"/>
  <c r="K22" i="55"/>
  <c r="J44" i="55"/>
  <c r="AD13" i="55"/>
  <c r="P20" i="80"/>
  <c r="Y20" i="80"/>
  <c r="D14" i="93"/>
  <c r="H14" i="93" s="1"/>
  <c r="J51" i="64"/>
  <c r="B7" i="63"/>
  <c r="B7" i="64" s="1"/>
  <c r="B9" i="63"/>
  <c r="B9" i="64" s="1"/>
  <c r="H9" i="64" s="1"/>
  <c r="B11" i="63"/>
  <c r="B11" i="64" s="1"/>
  <c r="H11" i="64" s="1"/>
  <c r="B13" i="63"/>
  <c r="B13" i="64" s="1"/>
  <c r="B15" i="63"/>
  <c r="B15" i="64" s="1"/>
  <c r="H15" i="64" s="1"/>
  <c r="B17" i="63"/>
  <c r="B17" i="64" s="1"/>
  <c r="H17" i="64" s="1"/>
  <c r="B19" i="63"/>
  <c r="B19" i="64" s="1"/>
  <c r="H19" i="64" s="1"/>
  <c r="B21" i="63"/>
  <c r="B21" i="64" s="1"/>
  <c r="B23" i="63"/>
  <c r="B23" i="64" s="1"/>
  <c r="H23" i="64" s="1"/>
  <c r="B25" i="63"/>
  <c r="B25" i="64" s="1"/>
  <c r="H25" i="64" s="1"/>
  <c r="B27" i="63"/>
  <c r="B27" i="64" s="1"/>
  <c r="H27" i="64" s="1"/>
  <c r="B29" i="63"/>
  <c r="B29" i="64" s="1"/>
  <c r="B31" i="63"/>
  <c r="B31" i="64" s="1"/>
  <c r="H31" i="64" s="1"/>
  <c r="R24" i="47"/>
  <c r="K14" i="47" s="1"/>
  <c r="P10" i="92"/>
  <c r="P22" i="92"/>
  <c r="C28" i="92"/>
  <c r="P28" i="95"/>
  <c r="P18" i="92"/>
  <c r="K50" i="46"/>
  <c r="G88" i="46" s="1"/>
  <c r="C28" i="93"/>
  <c r="P28" i="94"/>
  <c r="I32" i="43"/>
  <c r="H33" i="43"/>
  <c r="G33" i="43"/>
  <c r="I38" i="43" s="1"/>
  <c r="E18" i="43"/>
  <c r="D33" i="43"/>
  <c r="J35" i="44"/>
  <c r="K35" i="44" s="1"/>
  <c r="Y17" i="80"/>
  <c r="O12" i="80"/>
  <c r="X12" i="80" s="1"/>
  <c r="X15" i="80"/>
  <c r="Y19" i="80"/>
  <c r="K43" i="73"/>
  <c r="I20" i="36"/>
  <c r="I34" i="12"/>
  <c r="H34" i="12"/>
  <c r="G34" i="12"/>
  <c r="H87" i="11"/>
  <c r="K9" i="74" s="1"/>
  <c r="P9" i="74" s="1"/>
  <c r="G87" i="11"/>
  <c r="E87" i="11"/>
  <c r="X19" i="79"/>
  <c r="O20" i="22"/>
  <c r="C23" i="10"/>
  <c r="B22" i="10"/>
  <c r="D22" i="10" s="1"/>
  <c r="G22" i="10" s="1"/>
  <c r="F87" i="12"/>
  <c r="J87" i="11"/>
  <c r="K11" i="74" s="1"/>
  <c r="P11" i="74" s="1"/>
  <c r="B85" i="11"/>
  <c r="R19" i="79" s="1"/>
  <c r="S19" i="79" s="1"/>
  <c r="C21" i="10"/>
  <c r="S11" i="67"/>
  <c r="S28" i="67" s="1"/>
  <c r="K16" i="21"/>
  <c r="Y20" i="38"/>
  <c r="C20" i="10"/>
  <c r="K15" i="21"/>
  <c r="W20" i="38"/>
  <c r="W20" i="30"/>
  <c r="S10" i="67"/>
  <c r="I20" i="22"/>
  <c r="C15" i="10"/>
  <c r="B15" i="10" s="1"/>
  <c r="D15" i="10" s="1"/>
  <c r="G15" i="10" s="1"/>
  <c r="H20" i="22"/>
  <c r="C14" i="10"/>
  <c r="G20" i="22"/>
  <c r="C13" i="10"/>
  <c r="B34" i="11"/>
  <c r="U19" i="79" s="1"/>
  <c r="V19" i="79" s="1"/>
  <c r="C12" i="10"/>
  <c r="K20" i="38"/>
  <c r="K20" i="30"/>
  <c r="S4" i="67"/>
  <c r="K8" i="21"/>
  <c r="J27" i="57"/>
  <c r="J28" i="57" s="1"/>
  <c r="F27" i="57"/>
  <c r="F28" i="57" s="1"/>
  <c r="F24" i="68"/>
  <c r="Y21" i="80"/>
  <c r="Y15" i="80"/>
  <c r="Y23" i="80"/>
  <c r="W26" i="85"/>
  <c r="Y26" i="85"/>
  <c r="X26" i="85"/>
  <c r="E18" i="91"/>
  <c r="W12" i="85"/>
  <c r="G18" i="91" s="1"/>
  <c r="Y12" i="85"/>
  <c r="X12" i="85"/>
  <c r="P25" i="92"/>
  <c r="Z28" i="57"/>
  <c r="B5" i="63"/>
  <c r="B5" i="64" s="1"/>
  <c r="D12" i="102"/>
  <c r="S29" i="67"/>
  <c r="AJ28" i="57"/>
  <c r="S42" i="56"/>
  <c r="AC43" i="55"/>
  <c r="AA43" i="55"/>
  <c r="D51" i="63"/>
  <c r="D17" i="102"/>
  <c r="D8" i="102"/>
  <c r="D13" i="45"/>
  <c r="D17" i="45"/>
  <c r="D25" i="45"/>
  <c r="D28" i="45"/>
  <c r="D32" i="45"/>
  <c r="L20" i="45"/>
  <c r="H20" i="45"/>
  <c r="P20" i="45"/>
  <c r="N34" i="45"/>
  <c r="M35" i="45"/>
  <c r="V34" i="45"/>
  <c r="U35" i="45"/>
  <c r="L26" i="45"/>
  <c r="C34" i="45"/>
  <c r="H26" i="45"/>
  <c r="P26" i="45"/>
  <c r="J34" i="45"/>
  <c r="I35" i="45"/>
  <c r="R34" i="45"/>
  <c r="Q35" i="45"/>
  <c r="T34" i="44"/>
  <c r="S35" i="44"/>
  <c r="T35" i="44" s="1"/>
  <c r="W34" i="44"/>
  <c r="V35" i="44"/>
  <c r="E34" i="44"/>
  <c r="D35" i="44"/>
  <c r="E35" i="44" s="1"/>
  <c r="W15" i="44"/>
  <c r="U35" i="44"/>
  <c r="T22" i="40"/>
  <c r="L13" i="75"/>
  <c r="H10" i="93"/>
  <c r="H26" i="93"/>
  <c r="Y16" i="80"/>
  <c r="Y25" i="80"/>
  <c r="I85" i="12"/>
  <c r="J85" i="12"/>
  <c r="J87" i="12" s="1"/>
  <c r="V12" i="80"/>
  <c r="F18" i="86" s="1"/>
  <c r="L9" i="75"/>
  <c r="G85" i="12"/>
  <c r="G87" i="12" s="1"/>
  <c r="K85" i="12"/>
  <c r="K87" i="12" s="1"/>
  <c r="H85" i="12"/>
  <c r="H24" i="93"/>
  <c r="Z16" i="48"/>
  <c r="Z20" i="48" s="1"/>
  <c r="Z24" i="48" s="1"/>
  <c r="P13" i="92"/>
  <c r="L20" i="46"/>
  <c r="P27" i="92"/>
  <c r="P23" i="92"/>
  <c r="P21" i="92"/>
  <c r="P19" i="92"/>
  <c r="P17" i="92"/>
  <c r="P21" i="39"/>
  <c r="C7" i="65"/>
  <c r="B21" i="15"/>
  <c r="K16" i="48"/>
  <c r="K20" i="48" s="1"/>
  <c r="D51" i="64"/>
  <c r="I51" i="64" s="1"/>
  <c r="AD42" i="55"/>
  <c r="AD28" i="57"/>
  <c r="AA16" i="48"/>
  <c r="AA20" i="48" s="1"/>
  <c r="K60" i="46"/>
  <c r="F99" i="46" s="1"/>
  <c r="H20" i="67"/>
  <c r="H19" i="67"/>
  <c r="C11" i="102"/>
  <c r="D11" i="102" s="1"/>
  <c r="H9" i="67"/>
  <c r="H49" i="64"/>
  <c r="B34" i="12"/>
  <c r="P14" i="80"/>
  <c r="P12" i="80" s="1"/>
  <c r="X14" i="80"/>
  <c r="G20" i="35"/>
  <c r="G20" i="34"/>
  <c r="S20" i="37"/>
  <c r="S20" i="35"/>
  <c r="S20" i="34"/>
  <c r="K7" i="57"/>
  <c r="O7" i="57"/>
  <c r="S7" i="56"/>
  <c r="W7" i="57" s="1"/>
  <c r="D9" i="15"/>
  <c r="F9" i="15"/>
  <c r="I19" i="15" s="1"/>
  <c r="D16" i="15"/>
  <c r="F16" i="15"/>
  <c r="I25" i="15" s="1"/>
  <c r="F18" i="15"/>
  <c r="I27" i="15" s="1"/>
  <c r="D12" i="15"/>
  <c r="F12" i="15"/>
  <c r="I22" i="15" s="1"/>
  <c r="F19" i="15"/>
  <c r="I28" i="15" s="1"/>
  <c r="W14" i="80"/>
  <c r="L11" i="75"/>
  <c r="L15" i="75"/>
  <c r="L10" i="75"/>
  <c r="L14" i="75"/>
  <c r="E85" i="12"/>
  <c r="S20" i="36"/>
  <c r="E15" i="10"/>
  <c r="J15" i="10" s="1"/>
  <c r="I20" i="35"/>
  <c r="I20" i="34"/>
  <c r="D15" i="15"/>
  <c r="F15" i="15"/>
  <c r="I24" i="15" s="1"/>
  <c r="E20" i="15"/>
  <c r="F17" i="15"/>
  <c r="I26" i="15" s="1"/>
  <c r="Y14" i="80"/>
  <c r="L8" i="75"/>
  <c r="G20" i="36"/>
  <c r="AB22" i="55" l="1"/>
  <c r="F10" i="15"/>
  <c r="I20" i="15" s="1"/>
  <c r="J20" i="22"/>
  <c r="S20" i="38" s="1"/>
  <c r="K44" i="55"/>
  <c r="W8" i="54"/>
  <c r="AA8" i="50"/>
  <c r="W8" i="53"/>
  <c r="W8" i="55"/>
  <c r="G7" i="56" s="1"/>
  <c r="W8" i="51"/>
  <c r="W8" i="52"/>
  <c r="T8" i="55"/>
  <c r="D7" i="56" s="1"/>
  <c r="X8" i="50"/>
  <c r="T8" i="53"/>
  <c r="T8" i="51"/>
  <c r="T8" i="54"/>
  <c r="T8" i="52"/>
  <c r="Z44" i="55"/>
  <c r="C7" i="57"/>
  <c r="K8" i="74"/>
  <c r="P8" i="74" s="1"/>
  <c r="AC44" i="54"/>
  <c r="U8" i="54"/>
  <c r="Y8" i="50"/>
  <c r="U8" i="55"/>
  <c r="E7" i="56" s="1"/>
  <c r="U8" i="51"/>
  <c r="U8" i="52"/>
  <c r="U8" i="53"/>
  <c r="G78" i="39"/>
  <c r="K66" i="39" s="1"/>
  <c r="W12" i="80"/>
  <c r="G18" i="86" s="1"/>
  <c r="Y12" i="80"/>
  <c r="E18" i="86"/>
  <c r="F15" i="45"/>
  <c r="R35" i="45"/>
  <c r="V35" i="45"/>
  <c r="F26" i="45"/>
  <c r="J35" i="45"/>
  <c r="N35" i="45"/>
  <c r="AC44" i="55"/>
  <c r="P44" i="55"/>
  <c r="Y44" i="55"/>
  <c r="G44" i="55"/>
  <c r="AD44" i="52"/>
  <c r="AD44" i="51"/>
  <c r="AD44" i="54"/>
  <c r="AD44" i="53"/>
  <c r="F44" i="55"/>
  <c r="V44" i="55"/>
  <c r="AD22" i="55"/>
  <c r="V42" i="56"/>
  <c r="C88" i="46"/>
  <c r="F88" i="46"/>
  <c r="E88" i="46"/>
  <c r="I88" i="46"/>
  <c r="H28" i="93"/>
  <c r="J11" i="93" s="1"/>
  <c r="AA44" i="55"/>
  <c r="C20" i="15"/>
  <c r="C21" i="15" s="1"/>
  <c r="R8" i="54"/>
  <c r="V8" i="50"/>
  <c r="R8" i="53"/>
  <c r="R8" i="52"/>
  <c r="R8" i="55"/>
  <c r="R8" i="51"/>
  <c r="D10" i="15"/>
  <c r="AB44" i="55"/>
  <c r="H87" i="12"/>
  <c r="I87" i="12"/>
  <c r="D28" i="93"/>
  <c r="D26" i="45"/>
  <c r="E20" i="22"/>
  <c r="AD43" i="55"/>
  <c r="AL27" i="57"/>
  <c r="AL28" i="57" s="1"/>
  <c r="M8" i="78"/>
  <c r="K42" i="78"/>
  <c r="L8" i="78"/>
  <c r="J42" i="78"/>
  <c r="L21" i="106"/>
  <c r="D20" i="22"/>
  <c r="S20" i="30"/>
  <c r="K14" i="21"/>
  <c r="S9" i="67"/>
  <c r="U20" i="38"/>
  <c r="U20" i="30"/>
  <c r="E19" i="10"/>
  <c r="J16" i="10" s="1"/>
  <c r="B87" i="11"/>
  <c r="J88" i="46"/>
  <c r="B51" i="63"/>
  <c r="H5" i="64"/>
  <c r="B51" i="64"/>
  <c r="H51" i="64" s="1"/>
  <c r="H88" i="46"/>
  <c r="D88" i="46"/>
  <c r="P28" i="92"/>
  <c r="I33" i="43"/>
  <c r="I39" i="43" s="1"/>
  <c r="H39" i="43"/>
  <c r="E33" i="43"/>
  <c r="I37" i="43" s="1"/>
  <c r="H37" i="43"/>
  <c r="W35" i="44"/>
  <c r="B85" i="12"/>
  <c r="B23" i="10"/>
  <c r="D23" i="10" s="1"/>
  <c r="G23" i="10" s="1"/>
  <c r="V19" i="77"/>
  <c r="Z19" i="79"/>
  <c r="Y19" i="79"/>
  <c r="AC20" i="38"/>
  <c r="AC20" i="30"/>
  <c r="K18" i="21"/>
  <c r="S13" i="67"/>
  <c r="E22" i="10"/>
  <c r="J19" i="10" s="1"/>
  <c r="T19" i="79"/>
  <c r="P19" i="77"/>
  <c r="B21" i="10"/>
  <c r="D21" i="10" s="1"/>
  <c r="G21" i="10" s="1"/>
  <c r="B20" i="10"/>
  <c r="C26" i="10"/>
  <c r="S7" i="67"/>
  <c r="S23" i="67" s="1"/>
  <c r="K11" i="21"/>
  <c r="Q20" i="38"/>
  <c r="Q20" i="30"/>
  <c r="K10" i="21"/>
  <c r="O20" i="30"/>
  <c r="O20" i="38"/>
  <c r="S6" i="67"/>
  <c r="S22" i="67" s="1"/>
  <c r="B14" i="10"/>
  <c r="D14" i="10" s="1"/>
  <c r="G14" i="10" s="1"/>
  <c r="S19" i="77"/>
  <c r="O19" i="79"/>
  <c r="W19" i="79"/>
  <c r="S5" i="67"/>
  <c r="M20" i="30"/>
  <c r="M20" i="38"/>
  <c r="K9" i="21"/>
  <c r="B13" i="10"/>
  <c r="D13" i="10" s="1"/>
  <c r="G13" i="10" s="1"/>
  <c r="B12" i="10"/>
  <c r="C17" i="10"/>
  <c r="D20" i="45"/>
  <c r="F34" i="45"/>
  <c r="L34" i="45"/>
  <c r="C35" i="45"/>
  <c r="T34" i="45"/>
  <c r="H34" i="45"/>
  <c r="P34" i="45"/>
  <c r="H71" i="72"/>
  <c r="H49" i="72"/>
  <c r="H79" i="72" s="1"/>
  <c r="H99" i="46"/>
  <c r="D99" i="46"/>
  <c r="C99" i="46"/>
  <c r="G99" i="46"/>
  <c r="E99" i="46"/>
  <c r="I99" i="46"/>
  <c r="J99" i="46"/>
  <c r="S25" i="67"/>
  <c r="H22" i="67"/>
  <c r="S27" i="67" s="1"/>
  <c r="C14" i="102"/>
  <c r="D14" i="102" s="1"/>
  <c r="H11" i="67"/>
  <c r="C6" i="102"/>
  <c r="D20" i="15"/>
  <c r="F20" i="15"/>
  <c r="AA7" i="57"/>
  <c r="AE7" i="57" s="1"/>
  <c r="AI7" i="57"/>
  <c r="B8" i="58" s="1"/>
  <c r="E87" i="12"/>
  <c r="D13" i="15"/>
  <c r="E21" i="15"/>
  <c r="F13" i="15"/>
  <c r="K13" i="74" l="1"/>
  <c r="P13" i="74" s="1"/>
  <c r="X8" i="55"/>
  <c r="H7" i="56" s="1"/>
  <c r="AB8" i="50"/>
  <c r="X8" i="53"/>
  <c r="X8" i="51"/>
  <c r="X8" i="54"/>
  <c r="X8" i="52"/>
  <c r="O7" i="56"/>
  <c r="S7" i="57" s="1"/>
  <c r="G7" i="57"/>
  <c r="K20" i="21"/>
  <c r="Y8" i="54"/>
  <c r="AC8" i="50"/>
  <c r="Y8" i="52"/>
  <c r="Y8" i="53"/>
  <c r="Y8" i="55"/>
  <c r="I7" i="56" s="1"/>
  <c r="Y8" i="51"/>
  <c r="AA8" i="54"/>
  <c r="AA8" i="52"/>
  <c r="AA8" i="53"/>
  <c r="AA8" i="55"/>
  <c r="AA8" i="51"/>
  <c r="E7" i="57"/>
  <c r="M7" i="56"/>
  <c r="D7" i="57"/>
  <c r="L7" i="56"/>
  <c r="K70" i="39"/>
  <c r="K68" i="39"/>
  <c r="K73" i="39"/>
  <c r="K76" i="39"/>
  <c r="K71" i="39"/>
  <c r="K74" i="39"/>
  <c r="K77" i="39"/>
  <c r="K69" i="39"/>
  <c r="K72" i="39"/>
  <c r="K75" i="39"/>
  <c r="K67" i="39"/>
  <c r="F35" i="45"/>
  <c r="AD44" i="55"/>
  <c r="J26" i="93"/>
  <c r="J25" i="93"/>
  <c r="J12" i="93"/>
  <c r="J14" i="93"/>
  <c r="J18" i="93"/>
  <c r="J15" i="93"/>
  <c r="J16" i="93"/>
  <c r="J27" i="93"/>
  <c r="J24" i="93"/>
  <c r="J10" i="93"/>
  <c r="J17" i="93"/>
  <c r="J23" i="93"/>
  <c r="J21" i="93"/>
  <c r="J13" i="93"/>
  <c r="J22" i="93"/>
  <c r="J19" i="93"/>
  <c r="J20" i="93"/>
  <c r="L28" i="106"/>
  <c r="G20" i="30"/>
  <c r="L39" i="106"/>
  <c r="L37" i="106"/>
  <c r="L40" i="106"/>
  <c r="I20" i="38"/>
  <c r="I20" i="30"/>
  <c r="L38" i="106"/>
  <c r="L31" i="106"/>
  <c r="V8" i="55"/>
  <c r="F7" i="56" s="1"/>
  <c r="Z8" i="50"/>
  <c r="V8" i="53"/>
  <c r="V8" i="52"/>
  <c r="V8" i="51"/>
  <c r="V8" i="54"/>
  <c r="L34" i="106"/>
  <c r="B87" i="12"/>
  <c r="G72" i="41"/>
  <c r="H20" i="41" s="1"/>
  <c r="K12" i="21"/>
  <c r="L35" i="106"/>
  <c r="L36" i="106"/>
  <c r="L33" i="106"/>
  <c r="L30" i="106"/>
  <c r="G20" i="38"/>
  <c r="L29" i="106"/>
  <c r="L32" i="106"/>
  <c r="O8" i="78"/>
  <c r="O42" i="78" s="1"/>
  <c r="M42" i="78"/>
  <c r="N8" i="78"/>
  <c r="N42" i="78" s="1"/>
  <c r="L42" i="78"/>
  <c r="K21" i="21"/>
  <c r="K88" i="46"/>
  <c r="S30" i="67"/>
  <c r="S15" i="67"/>
  <c r="W19" i="77"/>
  <c r="X19" i="77"/>
  <c r="E23" i="10"/>
  <c r="J20" i="10" s="1"/>
  <c r="Q19" i="77"/>
  <c r="R19" i="77"/>
  <c r="E21" i="10"/>
  <c r="J18" i="10" s="1"/>
  <c r="C28" i="10"/>
  <c r="D20" i="10"/>
  <c r="B26" i="10"/>
  <c r="D26" i="10" s="1"/>
  <c r="G26" i="10" s="1"/>
  <c r="E14" i="10"/>
  <c r="J14" i="10" s="1"/>
  <c r="U19" i="77"/>
  <c r="T19" i="77"/>
  <c r="E13" i="10"/>
  <c r="J13" i="10" s="1"/>
  <c r="S21" i="67"/>
  <c r="S8" i="67"/>
  <c r="Q19" i="79"/>
  <c r="P19" i="79"/>
  <c r="M19" i="77"/>
  <c r="D12" i="10"/>
  <c r="B17" i="10"/>
  <c r="H16" i="41"/>
  <c r="H24" i="41"/>
  <c r="H28" i="41"/>
  <c r="H32" i="41"/>
  <c r="H40" i="41"/>
  <c r="H44" i="41"/>
  <c r="H17" i="41"/>
  <c r="H25" i="41"/>
  <c r="H29" i="41"/>
  <c r="H33" i="41"/>
  <c r="H41" i="41"/>
  <c r="H45" i="41"/>
  <c r="H14" i="41"/>
  <c r="H22" i="41"/>
  <c r="H26" i="41"/>
  <c r="H30" i="41"/>
  <c r="H38" i="41"/>
  <c r="H42" i="41"/>
  <c r="H15" i="41"/>
  <c r="H19" i="41"/>
  <c r="H23" i="41"/>
  <c r="H27" i="41"/>
  <c r="H31" i="41"/>
  <c r="H35" i="41"/>
  <c r="H39" i="41"/>
  <c r="H43" i="41"/>
  <c r="D34" i="45"/>
  <c r="L35" i="45"/>
  <c r="H35" i="45"/>
  <c r="T35" i="45"/>
  <c r="P35" i="45"/>
  <c r="K99" i="46"/>
  <c r="C19" i="102"/>
  <c r="D19" i="102" s="1"/>
  <c r="D6" i="102"/>
  <c r="H28" i="67"/>
  <c r="S32" i="67" s="1"/>
  <c r="H15" i="67"/>
  <c r="S20" i="67"/>
  <c r="D21" i="15"/>
  <c r="F21" i="15"/>
  <c r="I17" i="15" s="1"/>
  <c r="F8" i="58"/>
  <c r="B8" i="59"/>
  <c r="B8" i="60" s="1"/>
  <c r="B8" i="61" s="1"/>
  <c r="B8" i="62" s="1"/>
  <c r="AC8" i="54" l="1"/>
  <c r="AC8" i="53"/>
  <c r="AC8" i="52"/>
  <c r="AC8" i="55"/>
  <c r="AC8" i="51"/>
  <c r="H34" i="41"/>
  <c r="H18" i="41"/>
  <c r="H37" i="41"/>
  <c r="H21" i="41"/>
  <c r="H36" i="41"/>
  <c r="M7" i="57"/>
  <c r="Q7" i="57"/>
  <c r="U7" i="56"/>
  <c r="Y7" i="57" s="1"/>
  <c r="Q7" i="56"/>
  <c r="U7" i="57" s="1"/>
  <c r="I7" i="57"/>
  <c r="AB8" i="55"/>
  <c r="AB8" i="54"/>
  <c r="AB8" i="51"/>
  <c r="AB8" i="53"/>
  <c r="AB8" i="52"/>
  <c r="H7" i="57"/>
  <c r="P7" i="56"/>
  <c r="T7" i="57" s="1"/>
  <c r="L7" i="57"/>
  <c r="P7" i="57"/>
  <c r="T7" i="56"/>
  <c r="X7" i="57" s="1"/>
  <c r="K78" i="39"/>
  <c r="J28" i="93"/>
  <c r="Z8" i="54"/>
  <c r="AD8" i="50"/>
  <c r="Z8" i="52"/>
  <c r="Z8" i="51"/>
  <c r="Z8" i="55"/>
  <c r="J7" i="56" s="1"/>
  <c r="Z8" i="53"/>
  <c r="N7" i="56"/>
  <c r="F7" i="57"/>
  <c r="S3" i="67"/>
  <c r="G20" i="10"/>
  <c r="E20" i="10"/>
  <c r="J17" i="10" s="1"/>
  <c r="E26" i="10"/>
  <c r="N19" i="77"/>
  <c r="O19" i="77"/>
  <c r="G12" i="10"/>
  <c r="E12" i="10"/>
  <c r="J12" i="10" s="1"/>
  <c r="D17" i="10"/>
  <c r="B28" i="10"/>
  <c r="D28" i="10" s="1"/>
  <c r="D35" i="45"/>
  <c r="H29" i="67"/>
  <c r="S24" i="67"/>
  <c r="J8" i="58"/>
  <c r="F8" i="59"/>
  <c r="F8" i="60" s="1"/>
  <c r="F8" i="61" s="1"/>
  <c r="F8" i="62" s="1"/>
  <c r="AB7" i="57" l="1"/>
  <c r="AF7" i="57" s="1"/>
  <c r="AJ7" i="57"/>
  <c r="C8" i="58" s="1"/>
  <c r="AC7" i="57"/>
  <c r="AG7" i="57" s="1"/>
  <c r="AK7" i="57"/>
  <c r="D8" i="58" s="1"/>
  <c r="R7" i="56"/>
  <c r="V7" i="57" s="1"/>
  <c r="J7" i="57"/>
  <c r="S19" i="67"/>
  <c r="N7" i="57"/>
  <c r="R7" i="57"/>
  <c r="V7" i="56"/>
  <c r="Z7" i="57" s="1"/>
  <c r="AD8" i="55"/>
  <c r="AD8" i="52"/>
  <c r="AD8" i="51"/>
  <c r="AD8" i="54"/>
  <c r="AD8" i="53"/>
  <c r="G17" i="10"/>
  <c r="E17" i="10"/>
  <c r="G28" i="10"/>
  <c r="E28" i="10"/>
  <c r="N8" i="58"/>
  <c r="R8" i="58" s="1"/>
  <c r="J8" i="59"/>
  <c r="J8" i="60" s="1"/>
  <c r="J8" i="61" s="1"/>
  <c r="J8" i="62" s="1"/>
  <c r="D8" i="59" l="1"/>
  <c r="D8" i="60" s="1"/>
  <c r="D8" i="61" s="1"/>
  <c r="D8" i="62" s="1"/>
  <c r="H8" i="58"/>
  <c r="C8" i="59"/>
  <c r="C8" i="60" s="1"/>
  <c r="C8" i="61" s="1"/>
  <c r="C8" i="62" s="1"/>
  <c r="G8" i="58"/>
  <c r="AL7" i="57"/>
  <c r="E8" i="58" s="1"/>
  <c r="AD7" i="57"/>
  <c r="AH7" i="57" s="1"/>
  <c r="V8" i="58"/>
  <c r="AD8" i="58"/>
  <c r="AD8" i="59" s="1"/>
  <c r="AD8" i="60" s="1"/>
  <c r="AD8" i="61" s="1"/>
  <c r="AD8" i="62" s="1"/>
  <c r="N8" i="59"/>
  <c r="K8" i="58" l="1"/>
  <c r="G8" i="59"/>
  <c r="G8" i="60" s="1"/>
  <c r="G8" i="61" s="1"/>
  <c r="G8" i="62" s="1"/>
  <c r="H8" i="59"/>
  <c r="H8" i="60" s="1"/>
  <c r="H8" i="61" s="1"/>
  <c r="H8" i="62" s="1"/>
  <c r="L8" i="58"/>
  <c r="N8" i="60"/>
  <c r="R8" i="59"/>
  <c r="I8" i="58"/>
  <c r="E8" i="59"/>
  <c r="E8" i="60" s="1"/>
  <c r="E8" i="61" s="1"/>
  <c r="E8" i="62" s="1"/>
  <c r="N8" i="61"/>
  <c r="N8" i="62" s="1"/>
  <c r="R8" i="62" s="1"/>
  <c r="R8" i="60"/>
  <c r="V8" i="59"/>
  <c r="V8" i="60" s="1"/>
  <c r="Z8" i="58"/>
  <c r="Z8" i="59" s="1"/>
  <c r="L8" i="59" l="1"/>
  <c r="L8" i="60" s="1"/>
  <c r="L8" i="61" s="1"/>
  <c r="L8" i="62" s="1"/>
  <c r="P8" i="58"/>
  <c r="O8" i="58"/>
  <c r="K8" i="59"/>
  <c r="K8" i="60" s="1"/>
  <c r="K8" i="61" s="1"/>
  <c r="K8" i="62" s="1"/>
  <c r="R8" i="61"/>
  <c r="I8" i="59"/>
  <c r="I8" i="60" s="1"/>
  <c r="I8" i="61" s="1"/>
  <c r="I8" i="62" s="1"/>
  <c r="M8" i="58"/>
  <c r="Z8" i="60"/>
  <c r="Z8" i="61" s="1"/>
  <c r="Z8" i="62" s="1"/>
  <c r="V8" i="61"/>
  <c r="V8" i="62" s="1"/>
  <c r="T8" i="58" l="1"/>
  <c r="P8" i="59"/>
  <c r="X8" i="58"/>
  <c r="AF8" i="58"/>
  <c r="AF8" i="59" s="1"/>
  <c r="AF8" i="60" s="1"/>
  <c r="AF8" i="61" s="1"/>
  <c r="AF8" i="62" s="1"/>
  <c r="S8" i="58"/>
  <c r="O8" i="59"/>
  <c r="AE8" i="58"/>
  <c r="AE8" i="59" s="1"/>
  <c r="AE8" i="60" s="1"/>
  <c r="AE8" i="61" s="1"/>
  <c r="AE8" i="62" s="1"/>
  <c r="W8" i="58"/>
  <c r="M8" i="59"/>
  <c r="M8" i="60" s="1"/>
  <c r="M8" i="61" s="1"/>
  <c r="M8" i="62" s="1"/>
  <c r="Q8" i="58"/>
  <c r="W8" i="59" l="1"/>
  <c r="W8" i="60" s="1"/>
  <c r="AA8" i="58"/>
  <c r="AA8" i="59" s="1"/>
  <c r="S8" i="59"/>
  <c r="O8" i="60"/>
  <c r="T8" i="59"/>
  <c r="P8" i="60"/>
  <c r="X8" i="59"/>
  <c r="X8" i="60" s="1"/>
  <c r="AB8" i="58"/>
  <c r="AB8" i="59" s="1"/>
  <c r="AC8" i="58"/>
  <c r="AC8" i="59" s="1"/>
  <c r="Q8" i="59"/>
  <c r="AG8" i="58"/>
  <c r="AG8" i="59" s="1"/>
  <c r="AG8" i="60" s="1"/>
  <c r="AG8" i="61" s="1"/>
  <c r="AG8" i="62" s="1"/>
  <c r="U8" i="58"/>
  <c r="Y8" i="58"/>
  <c r="Y8" i="59" s="1"/>
  <c r="Y8" i="60" s="1"/>
  <c r="S8" i="60" l="1"/>
  <c r="O8" i="61"/>
  <c r="X8" i="61"/>
  <c r="X8" i="62" s="1"/>
  <c r="AB8" i="60"/>
  <c r="AB8" i="61" s="1"/>
  <c r="AB8" i="62" s="1"/>
  <c r="T8" i="60"/>
  <c r="P8" i="61"/>
  <c r="W8" i="61"/>
  <c r="W8" i="62" s="1"/>
  <c r="AA8" i="60"/>
  <c r="AA8" i="61" s="1"/>
  <c r="AA8" i="62" s="1"/>
  <c r="U8" i="59"/>
  <c r="Q8" i="60"/>
  <c r="AC8" i="60"/>
  <c r="AC8" i="61" s="1"/>
  <c r="AC8" i="62" s="1"/>
  <c r="Y8" i="61"/>
  <c r="Y8" i="62" s="1"/>
  <c r="S8" i="61" l="1"/>
  <c r="O8" i="62"/>
  <c r="S8" i="62" s="1"/>
  <c r="T8" i="61"/>
  <c r="P8" i="62"/>
  <c r="T8" i="62" s="1"/>
  <c r="U8" i="60"/>
  <c r="Q8" i="61"/>
  <c r="U8" i="61" l="1"/>
  <c r="Q8" i="62"/>
  <c r="U8" i="62" s="1"/>
</calcChain>
</file>

<file path=xl/sharedStrings.xml><?xml version="1.0" encoding="utf-8"?>
<sst xmlns="http://schemas.openxmlformats.org/spreadsheetml/2006/main" count="4987" uniqueCount="1598">
  <si>
    <t>POLICONSUMO</t>
  </si>
  <si>
    <t>TRASTORNOS DE ANSIEDAD</t>
  </si>
  <si>
    <t>ALZHEIMER Y OTRAS DEMENCIAS</t>
  </si>
  <si>
    <t>ESQUIZOFRENIA</t>
  </si>
  <si>
    <t>TRASTORNOS DE LA CONDUCTA ALIMENTARIA</t>
  </si>
  <si>
    <t>RETRASO MENTAL</t>
  </si>
  <si>
    <t>TRASTORNO DE PERSONALIDAD</t>
  </si>
  <si>
    <t>TRASTORNO GENERALIZADOS DEL DESARROLLO</t>
  </si>
  <si>
    <t>CONS.  Y
POSTAS</t>
  </si>
  <si>
    <t>Nota:  Pob.  Menor  de  20  años</t>
  </si>
  <si>
    <t>PREVENTIVAS  menores  de  20  años</t>
  </si>
  <si>
    <t>TASA  PREVENCION*  ODONTOLOGICA  EN  USUARIOS  DEL  SISTEMA  HABITANTE  AÑO 
EN  MENORES    20  AÑOS    ATENCION  PRIMARIA</t>
  </si>
  <si>
    <t xml:space="preserve">SERVICIO SALUD  ACONCAGUA  </t>
  </si>
  <si>
    <t>CONSULTORIOS
 Y  POSTAS</t>
  </si>
  <si>
    <t>*Nota  :  Prevención  considera las  acciones  de  :</t>
  </si>
  <si>
    <t xml:space="preserve">           -  Aplicación  de  sellante</t>
  </si>
  <si>
    <t xml:space="preserve">           -  Fluoración  tópica</t>
  </si>
  <si>
    <t xml:space="preserve">           -  Pulido  coronario</t>
  </si>
  <si>
    <t xml:space="preserve">           -  Pulpotomia </t>
  </si>
  <si>
    <t>ATENCIONES DE URGENCIA  SEGUN ESTABLECIMIENTOS</t>
  </si>
  <si>
    <t>E S T A B L E C I M I E N T O S</t>
  </si>
  <si>
    <t xml:space="preserve"> FUNCIONARIO</t>
  </si>
  <si>
    <t xml:space="preserve"> GRUPO</t>
  </si>
  <si>
    <t>H. SAN  FELIPE</t>
  </si>
  <si>
    <t>H. LOS ANDES</t>
  </si>
  <si>
    <t>H. LLAY- LLAY</t>
  </si>
  <si>
    <t>H. PUTAENDO</t>
  </si>
  <si>
    <t>SAPU
L.ANDES</t>
  </si>
  <si>
    <t>SAPU
S. FELIPE</t>
  </si>
  <si>
    <t xml:space="preserve"> INFANTIL</t>
  </si>
  <si>
    <t xml:space="preserve"> ADOLESCENTE</t>
  </si>
  <si>
    <t xml:space="preserve"> MUJER</t>
  </si>
  <si>
    <t xml:space="preserve"> ADULTO</t>
  </si>
  <si>
    <t xml:space="preserve"> ADULTO MAYOR</t>
  </si>
  <si>
    <t xml:space="preserve"> ENFERMERA</t>
  </si>
  <si>
    <t xml:space="preserve"> MATRONA</t>
  </si>
  <si>
    <t xml:space="preserve"> AUXILIAR</t>
  </si>
  <si>
    <t xml:space="preserve">INDICE  CONSULTA MEDICA  DE URGENCIA </t>
  </si>
  <si>
    <t xml:space="preserve">SERVICIO DE SALUD   ACONCAGUA    </t>
  </si>
  <si>
    <t>CONSULTAS MEDICAS</t>
  </si>
  <si>
    <t>INDICE DE CONSULTA</t>
  </si>
  <si>
    <t>ATENCIONES MEDICAS DE URGENCIA  SEGUN ESTABLECIMIENTOS</t>
  </si>
  <si>
    <t>HOSP. SAN  FELIPE</t>
  </si>
  <si>
    <t>H.SAN CAMILO</t>
  </si>
  <si>
    <t>HOSP. LOS  ANDES</t>
  </si>
  <si>
    <t>H.LOS ANDES</t>
  </si>
  <si>
    <t>HOSP. LLAY  LLAY</t>
  </si>
  <si>
    <t>H.LLAY-LLAY</t>
  </si>
  <si>
    <t>HOSP. PSIQUIATRICO</t>
  </si>
  <si>
    <t>H.PSIQ.</t>
  </si>
  <si>
    <t>HOSP.  PUTAENDO</t>
  </si>
  <si>
    <t>SAPU  SAN  FELIPE</t>
  </si>
  <si>
    <t>SAPU S.F.</t>
  </si>
  <si>
    <t>SAPU  LOS  ANDES</t>
  </si>
  <si>
    <t>SAPU L.A.</t>
  </si>
  <si>
    <t>CONS. MUNICIPALES</t>
  </si>
  <si>
    <t>MUNIC.</t>
  </si>
  <si>
    <t>INTERVENCIONES  QUIRURGICAS  ELECTIVAS  Y   URGENCIAS</t>
  </si>
  <si>
    <t xml:space="preserve">  INTERVENCIONES
  QUIRURGICAS</t>
  </si>
  <si>
    <t>HOSP. SAN
 FELIPE</t>
  </si>
  <si>
    <t>HOSP. LOS
ANDES</t>
  </si>
  <si>
    <t>HOSP. 
PSIQUIA.</t>
  </si>
  <si>
    <t>D.A.P.</t>
  </si>
  <si>
    <t xml:space="preserve"> ELECTIVAS MAYORES</t>
  </si>
  <si>
    <t>CON MÉDICOS EN HORARIO NORMAL</t>
  </si>
  <si>
    <t xml:space="preserve"> NO AMBULATORIAS</t>
  </si>
  <si>
    <t>CON MÉDICOS A HONORARIOS U OTRA MODALIDAD</t>
  </si>
  <si>
    <t xml:space="preserve"> AMBULATORIAS</t>
  </si>
  <si>
    <t>URGENCIAS</t>
  </si>
  <si>
    <t>NO AMBULATORIAS  MAYORES</t>
  </si>
  <si>
    <t>MAYOR AMBULATORIAS</t>
  </si>
  <si>
    <t>MENORES</t>
  </si>
  <si>
    <t xml:space="preserve"> MENORES</t>
  </si>
  <si>
    <t>PERFIL DE INTERVENCIONES  QUIRURGICAS</t>
  </si>
  <si>
    <t>MAYORES  ELECTIVAS Y URGENCIAS</t>
  </si>
  <si>
    <t>SERVICIO  DE  SALUD   ACONCAGUA</t>
  </si>
  <si>
    <t>SERVICIO DE SALUD</t>
  </si>
  <si>
    <t>HOSP. SAN CAMILO</t>
  </si>
  <si>
    <t>ELECTIVA</t>
  </si>
  <si>
    <t>POB.</t>
  </si>
  <si>
    <t>T/E</t>
  </si>
  <si>
    <t>T/U</t>
  </si>
  <si>
    <t xml:space="preserve">                            </t>
  </si>
  <si>
    <t>POR  ESTABLECIMIENTOS</t>
  </si>
  <si>
    <t xml:space="preserve">  INTERVENCIONES</t>
  </si>
  <si>
    <t>HOSP. PUTAENDO</t>
  </si>
  <si>
    <t>A.  PRIMARIA</t>
  </si>
  <si>
    <t xml:space="preserve"> CIR. OFTALMICA</t>
  </si>
  <si>
    <t xml:space="preserve"> CIR. OTORRINOLOGICA</t>
  </si>
  <si>
    <t xml:space="preserve"> CIR. DE LA CABEZA Y CUELLO</t>
  </si>
  <si>
    <t xml:space="preserve"> CIR. PLASTICA Y REPARAD.</t>
  </si>
  <si>
    <t xml:space="preserve"> TEGUMENTOS</t>
  </si>
  <si>
    <t xml:space="preserve"> CIR. CARDIOVASCULAR</t>
  </si>
  <si>
    <t xml:space="preserve"> CIR. TORAXICA</t>
  </si>
  <si>
    <t xml:space="preserve"> CIR. ABDOMINAL</t>
  </si>
  <si>
    <t xml:space="preserve"> CIR. PROCTOLOGICA</t>
  </si>
  <si>
    <t xml:space="preserve"> CIR. UROLOGICA Y SUP.</t>
  </si>
  <si>
    <t xml:space="preserve"> CIR. DE LA MAMA</t>
  </si>
  <si>
    <t xml:space="preserve"> CIR. GINECOLOGICA</t>
  </si>
  <si>
    <t xml:space="preserve"> CIR. OBSTETRICA</t>
  </si>
  <si>
    <t xml:space="preserve"> TRAUMATOLOGIA Y ORTOP.</t>
  </si>
  <si>
    <t xml:space="preserve"> ODONTOLOGIA</t>
  </si>
  <si>
    <t xml:space="preserve"> RETIRO ELEMENTOS OSTEO.</t>
  </si>
  <si>
    <t xml:space="preserve"> T O T A L   INT.  QUIR.</t>
  </si>
  <si>
    <t xml:space="preserve"> ABREU</t>
  </si>
  <si>
    <t xml:space="preserve"> ANESTESIA  EPIDURAL</t>
  </si>
  <si>
    <t xml:space="preserve"> CUR. SIMPLE  AMBULATORIA</t>
  </si>
  <si>
    <t>PROCEDIMIENTO DE PODOLOGÍA</t>
  </si>
  <si>
    <t xml:space="preserve"> AUTOCUIDADO PACIEN. DID</t>
  </si>
  <si>
    <t xml:space="preserve"> OXIGENOTERAPIA DOMICILIO</t>
  </si>
  <si>
    <t xml:space="preserve"> SUB- TOTAL  LABORATORIO</t>
  </si>
  <si>
    <t xml:space="preserve"> HEMATOLOGICOS</t>
  </si>
  <si>
    <t xml:space="preserve"> BIOQUIMICOS</t>
  </si>
  <si>
    <t xml:space="preserve"> HORMONALES</t>
  </si>
  <si>
    <t xml:space="preserve"> INMUNOLOGICOS</t>
  </si>
  <si>
    <t xml:space="preserve"> MICROBIOLOGICOS</t>
  </si>
  <si>
    <t xml:space="preserve"> a) Bacteria  y Hongos</t>
  </si>
  <si>
    <t xml:space="preserve"> b) Parásitos</t>
  </si>
  <si>
    <t xml:space="preserve"> c) Virus</t>
  </si>
  <si>
    <t xml:space="preserve"> PROC. DE DETER. DIRECTA</t>
  </si>
  <si>
    <t xml:space="preserve"> EXA.  DE  DEPOSICIONES</t>
  </si>
  <si>
    <t xml:space="preserve"> ORINA</t>
  </si>
  <si>
    <t xml:space="preserve"> SUB- TOTAL  IMAGENOLOGIA</t>
  </si>
  <si>
    <t xml:space="preserve"> RADIOLOGICOS SIMPLES</t>
  </si>
  <si>
    <t xml:space="preserve"> RADIOLOGICOS COMPLEJOS</t>
  </si>
  <si>
    <t xml:space="preserve"> TOMOGRAFIA AXIAL  COMP.</t>
  </si>
  <si>
    <t xml:space="preserve"> ULTRASONOGRAFIA</t>
  </si>
  <si>
    <t>Cirugía de Mamas con  Patología</t>
  </si>
  <si>
    <t>Ginecología c/pat. Cerv</t>
  </si>
  <si>
    <t>Oftalmología en UAPO</t>
  </si>
  <si>
    <t>Hematología Oncológica</t>
  </si>
  <si>
    <t>VIH/SIDA</t>
  </si>
  <si>
    <t xml:space="preserve"> ECOTOMOGRAFIAS</t>
  </si>
  <si>
    <t xml:space="preserve"> SUB- TOTAL  ANAT. PATOLOG.</t>
  </si>
  <si>
    <t xml:space="preserve"> PROC.  DE  ORTOPEDIA</t>
  </si>
  <si>
    <t xml:space="preserve"> HEMODIALISIS CON BICARBONATO MENSUAL</t>
  </si>
  <si>
    <t xml:space="preserve"> HEMODIALISIS CON BICARBONATO  SESIÓN</t>
  </si>
  <si>
    <t xml:space="preserve"> EXAMENES  DE LABORATORIO E IMAGENOLOGIA  SEGUN AÑOS Y ESTABLECIMIENTOS</t>
  </si>
  <si>
    <t>(tasa x 100Hbs.)</t>
  </si>
  <si>
    <t>LABORATORIO  A.P.</t>
  </si>
  <si>
    <t>E.DIAG</t>
  </si>
  <si>
    <t>IMAG</t>
  </si>
  <si>
    <t>T/D</t>
  </si>
  <si>
    <t>T/ I</t>
  </si>
  <si>
    <r>
      <t xml:space="preserve">  SIMPLE     </t>
    </r>
    <r>
      <rPr>
        <sz val="8"/>
        <rFont val="Arial"/>
        <family val="2"/>
      </rPr>
      <t xml:space="preserve"> </t>
    </r>
  </si>
  <si>
    <r>
      <t xml:space="preserve"> </t>
    </r>
    <r>
      <rPr>
        <sz val="8"/>
        <rFont val="Arial"/>
        <family val="2"/>
      </rPr>
      <t>EUTOCICO</t>
    </r>
  </si>
  <si>
    <r>
      <t xml:space="preserve"> NO  PROF. (</t>
    </r>
    <r>
      <rPr>
        <sz val="6"/>
        <rFont val="Arial"/>
        <family val="2"/>
      </rPr>
      <t xml:space="preserve">FUERA  DE SERV. </t>
    </r>
    <r>
      <rPr>
        <sz val="8"/>
        <rFont val="Arial"/>
        <family val="2"/>
      </rPr>
      <t>)</t>
    </r>
  </si>
  <si>
    <t>CONSOLIDADO EGRESOS HOSPITALARIOS</t>
  </si>
  <si>
    <t xml:space="preserve">         MOVIMIENTO      DE        HOSPITALIZADOS</t>
  </si>
  <si>
    <t>INGRESO-EGRESO</t>
  </si>
  <si>
    <t xml:space="preserve">     DIAS DE CAMA   </t>
  </si>
  <si>
    <t xml:space="preserve">  DIAS DE EGRESADOS</t>
  </si>
  <si>
    <t xml:space="preserve">    INDICADORES</t>
  </si>
  <si>
    <t>SERVICIOS</t>
  </si>
  <si>
    <t>EXIS.</t>
  </si>
  <si>
    <t>INGRESOS</t>
  </si>
  <si>
    <t xml:space="preserve">     EGRESOS</t>
  </si>
  <si>
    <t>CLINICOS</t>
  </si>
  <si>
    <t>Nº DE 
CAMAS</t>
  </si>
  <si>
    <t>MES
ANTER.</t>
  </si>
  <si>
    <t>CAE</t>
  </si>
  <si>
    <t>OTROS
HOSP.</t>
  </si>
  <si>
    <t>OTRA
PROC.</t>
  </si>
  <si>
    <t>ALTA
HOGAR</t>
  </si>
  <si>
    <t>TRASL
O SERV.</t>
  </si>
  <si>
    <t>FALLEC</t>
  </si>
  <si>
    <t>MES
SIGUEN</t>
  </si>
  <si>
    <t>MISMO DIA</t>
  </si>
  <si>
    <t xml:space="preserve">   EN  
TRABAJO </t>
  </si>
  <si>
    <t>OCUPAD</t>
  </si>
  <si>
    <t>BENEF</t>
  </si>
  <si>
    <t>%
OCUP.</t>
  </si>
  <si>
    <t>X DIAS
EST.</t>
  </si>
  <si>
    <t>ROTACION</t>
  </si>
  <si>
    <t>SUSTI-
TUCION</t>
  </si>
  <si>
    <t xml:space="preserve"> MATERNIDAD</t>
  </si>
  <si>
    <t xml:space="preserve"> R.N. CUNA</t>
  </si>
  <si>
    <t xml:space="preserve"> U.C.I. NEONATAL</t>
  </si>
  <si>
    <t xml:space="preserve"> U.C.I. ADUL</t>
  </si>
  <si>
    <t xml:space="preserve"> U.T.I. ADUL</t>
  </si>
  <si>
    <t xml:space="preserve"> PENSIONADO</t>
  </si>
  <si>
    <t>CESFAM  RURAL</t>
  </si>
  <si>
    <t>CESFAM  URBANO</t>
  </si>
  <si>
    <t>Nota : Indice  de  rotación  es  promedio  mensual</t>
  </si>
  <si>
    <t>EGRESOS HOSPITAL      SAN   FELIPE</t>
  </si>
  <si>
    <t>EGRESOS  HOSPITAL      LOS  ANDES</t>
  </si>
  <si>
    <t>EGRESOS HOSPITAL      LLAY  LLAY</t>
  </si>
  <si>
    <t>EGRESOS   HOSPITAL     PUTAENDO</t>
  </si>
  <si>
    <t>EGRESOS HOSPITAL      PSIQUIATRICO</t>
  </si>
  <si>
    <t xml:space="preserve">   P.CORTA  EST.</t>
  </si>
  <si>
    <t xml:space="preserve">   P.MEDIA  EST.</t>
  </si>
  <si>
    <t xml:space="preserve">   CRONICOS</t>
  </si>
  <si>
    <t xml:space="preserve">   UNIDAD EMERGENCIA</t>
  </si>
  <si>
    <t xml:space="preserve">   FOR. MED. COM.</t>
  </si>
  <si>
    <t xml:space="preserve">   FOR. ALT.. COM.</t>
  </si>
  <si>
    <t xml:space="preserve">   U.E.  ( UEPI)</t>
  </si>
  <si>
    <t xml:space="preserve">   PENSIONADO</t>
  </si>
  <si>
    <t>EGRESOS HOSPITALARIOS  INDICE OCUPACIONAL Y  PROMEDIO DIAS ESTADA</t>
  </si>
  <si>
    <t>CONSOLIDADO SERVICIO SALUD</t>
  </si>
  <si>
    <t xml:space="preserve">DOTACIÓN </t>
  </si>
  <si>
    <t xml:space="preserve">PROMEDIO </t>
  </si>
  <si>
    <t>INDICE</t>
  </si>
  <si>
    <t>PROM.</t>
  </si>
  <si>
    <t>DE  CAMAS</t>
  </si>
  <si>
    <t>EGRESOS</t>
  </si>
  <si>
    <t>OCUPACIONAL</t>
  </si>
  <si>
    <t>DIA  ESTAD.</t>
  </si>
  <si>
    <t>HOSPITAL   SAN FELIPE</t>
  </si>
  <si>
    <t>HOSPITAL   LOS  ANDES</t>
  </si>
  <si>
    <t xml:space="preserve">HOSPITAL   LLAY  LLAY  </t>
  </si>
  <si>
    <t>HOSPITAL   PUTAENDO</t>
  </si>
  <si>
    <t xml:space="preserve">HOSPITAL   PSIQUIATRICO </t>
  </si>
  <si>
    <t>TOTAL  EGRESOS HOSPITALARIOS POR GRUPO DE CAUSAS SEGUN COMUNAS</t>
  </si>
  <si>
    <t>D50 - D90</t>
  </si>
  <si>
    <t xml:space="preserve"> ENF. DE LA SANGRE Y ORG. HEMA</t>
  </si>
  <si>
    <t>F00 - F99</t>
  </si>
  <si>
    <t xml:space="preserve"> TRASTORNOS MENTALES</t>
  </si>
  <si>
    <t>G00 - G99</t>
  </si>
  <si>
    <t xml:space="preserve"> SIST. NERVIOSO Y ORG. SENTIDO</t>
  </si>
  <si>
    <t>H00 - H99</t>
  </si>
  <si>
    <t xml:space="preserve"> ENF. DEL OJO Y SUS ANEXOS</t>
  </si>
  <si>
    <t>L00 - L99</t>
  </si>
  <si>
    <t xml:space="preserve"> ENF. PIEL Y TEJIDO CELULAR</t>
  </si>
  <si>
    <t>M00 - M99</t>
  </si>
  <si>
    <t xml:space="preserve"> ENF. SIST. OSTEOMUSCULAR</t>
  </si>
  <si>
    <t>O00 - O99</t>
  </si>
  <si>
    <t xml:space="preserve"> EMB. PARTO  Y PUERPERIO</t>
  </si>
  <si>
    <t xml:space="preserve"> TRAUMAT.   ENVENENAMIENTO
 Y  OTRAS CAUSAS  EXTERNAS</t>
  </si>
  <si>
    <t>TOTAL  EGRESOS HOSPITALARIOS POR GRUPO DE CAUSAS SEGUN GRUPOS  ETAREOS</t>
  </si>
  <si>
    <t xml:space="preserve">H O S P I T A L E S </t>
  </si>
  <si>
    <t>% SEGUN</t>
  </si>
  <si>
    <t>PATOLOGIA</t>
  </si>
  <si>
    <t>HOSPITAL  SAN FELIPE</t>
  </si>
  <si>
    <t xml:space="preserve">  </t>
  </si>
  <si>
    <t>HOSPITAL  LLAY LLAY</t>
  </si>
  <si>
    <t>HOSPITAL  PUTAENDO</t>
  </si>
  <si>
    <t>HOSPITAL  PSIQUIATRICO</t>
  </si>
  <si>
    <r>
      <t>INTERNO</t>
    </r>
    <r>
      <rPr>
        <sz val="8"/>
        <rFont val="Arial"/>
        <family val="2"/>
      </rPr>
      <t xml:space="preserve">
HOSP.</t>
    </r>
  </si>
  <si>
    <t>G L O S A R I O</t>
  </si>
  <si>
    <r>
      <t xml:space="preserve">Aborto </t>
    </r>
    <r>
      <rPr>
        <sz val="10"/>
        <rFont val="Arial"/>
        <family val="2"/>
      </rPr>
      <t xml:space="preserve">                                         =  </t>
    </r>
  </si>
  <si>
    <t>Interrupción del  embarazo  antes  de  que  el  feto  haya  llegado  a  un  
estado en  que  sea  viable,(pueda vivir) generalmente  antes  de  las 20 
semanas  de gestación.</t>
  </si>
  <si>
    <r>
      <t xml:space="preserve">Cama ocupada </t>
    </r>
    <r>
      <rPr>
        <sz val="10"/>
        <rFont val="Arial"/>
        <family val="2"/>
      </rPr>
      <t xml:space="preserve">                           =   </t>
    </r>
  </si>
  <si>
    <t>Es aquella en que un paciente está  hospitalizado.</t>
  </si>
  <si>
    <r>
      <t>Camas  Disponibles</t>
    </r>
    <r>
      <rPr>
        <sz val="10"/>
        <rFont val="Arial"/>
        <family val="2"/>
      </rPr>
      <t xml:space="preserve">                     = </t>
    </r>
  </si>
  <si>
    <t xml:space="preserve"> El total de la capacidad instalada en un Servicio de Hospitalización.</t>
  </si>
  <si>
    <r>
      <t>Camas ocupadas</t>
    </r>
    <r>
      <rPr>
        <sz val="10"/>
        <rFont val="Arial"/>
        <family val="2"/>
      </rPr>
      <t xml:space="preserve">                         =   </t>
    </r>
  </si>
  <si>
    <t>El total de pacientes hospitalizados en un día o período.</t>
  </si>
  <si>
    <r>
      <t xml:space="preserve">Camilla de Observación              </t>
    </r>
    <r>
      <rPr>
        <sz val="10"/>
        <rFont val="Arial"/>
        <family val="2"/>
      </rPr>
      <t xml:space="preserve">= </t>
    </r>
  </si>
  <si>
    <t xml:space="preserve">Es aquella en que el paciente permanece en observación, sin dar  origen a  hospitalización </t>
  </si>
  <si>
    <t xml:space="preserve">Crecimiento Vejetativo                = </t>
  </si>
  <si>
    <t>Diferencia entre los nacimientos  menos las defunciones dividido por la población  multiplicado por 100.</t>
  </si>
  <si>
    <r>
      <t xml:space="preserve">Días  camas  disponibles            </t>
    </r>
    <r>
      <rPr>
        <sz val="10"/>
        <rFont val="Arial"/>
        <family val="2"/>
      </rPr>
      <t xml:space="preserve"> =  </t>
    </r>
  </si>
  <si>
    <t xml:space="preserve">El producto que se obtiene multiplicando el total de camas disponibles  por  el  total  de días de  un  período                                                                                                                      </t>
  </si>
  <si>
    <r>
      <t>Días camas ocupados</t>
    </r>
    <r>
      <rPr>
        <sz val="10"/>
        <rFont val="Arial"/>
        <family val="2"/>
      </rPr>
      <t xml:space="preserve">                  =  </t>
    </r>
  </si>
  <si>
    <t>El total de camas ocupadas en un día  o en un período.</t>
  </si>
  <si>
    <r>
      <t>Egreso</t>
    </r>
    <r>
      <rPr>
        <sz val="10"/>
        <rFont val="Arial"/>
        <family val="2"/>
      </rPr>
      <t xml:space="preserve">                                          =  </t>
    </r>
  </si>
  <si>
    <t xml:space="preserve"> Paciente  que habiendo estado hospitalizado es dado de alta , vivo o fallecido.</t>
  </si>
  <si>
    <t xml:space="preserve">I. Prevención específico              = </t>
  </si>
  <si>
    <r>
      <t xml:space="preserve"> </t>
    </r>
    <r>
      <rPr>
        <sz val="10"/>
        <rFont val="Arial"/>
        <family val="2"/>
      </rPr>
      <t>Actividades de prevención dividido por el total de actividades.</t>
    </r>
  </si>
  <si>
    <t xml:space="preserve">Indice  de vejez                           = </t>
  </si>
  <si>
    <r>
      <t xml:space="preserve"> </t>
    </r>
    <r>
      <rPr>
        <sz val="10"/>
        <rFont val="Arial"/>
        <family val="2"/>
      </rPr>
      <t>Población  mayor  de 65 años dividido por población  menor de 15 años</t>
    </r>
  </si>
  <si>
    <r>
      <t xml:space="preserve">Índice  Ocupacional </t>
    </r>
    <r>
      <rPr>
        <sz val="10"/>
        <rFont val="Arial"/>
        <family val="2"/>
      </rPr>
      <t xml:space="preserve">                   =  </t>
    </r>
  </si>
  <si>
    <t xml:space="preserve"> Es  el grado de uso de la capacidad instalada.</t>
  </si>
  <si>
    <t>Indice de Swaroop                      =</t>
  </si>
  <si>
    <t>HEPATITIS C</t>
  </si>
  <si>
    <t>COLERA</t>
  </si>
  <si>
    <t>MENINGITIS LISTERIANA</t>
  </si>
  <si>
    <t>INFLUENZA    b</t>
  </si>
  <si>
    <t>ENF. MENINGO (BACTE)</t>
  </si>
  <si>
    <t>MENINGITIS BACTERIANAS NO</t>
  </si>
  <si>
    <t>SARAMPION</t>
  </si>
  <si>
    <t>ENF.  CHAGAS</t>
  </si>
  <si>
    <t>FIEBRE  AMARILLA</t>
  </si>
  <si>
    <t>ENF. CREUTZFELD-JACOB</t>
  </si>
  <si>
    <r>
      <t xml:space="preserve"> </t>
    </r>
    <r>
      <rPr>
        <sz val="10"/>
        <rFont val="Arial"/>
        <family val="2"/>
      </rPr>
      <t>Porcentaje  de defunciones  ocurridas en  personas  de  50  años  
 y  más respecto  del  total  de  defunciones.</t>
    </r>
  </si>
  <si>
    <t xml:space="preserve">Índice o número índice                = </t>
  </si>
  <si>
    <t xml:space="preserve">Es un cociente obtenido por comparación de valores sucesivos  que  miden  
un fenómeno que  transcurre a  través  del  tiempo  y  multiplicado  por  100 </t>
  </si>
  <si>
    <r>
      <t xml:space="preserve">Intervalo de Sustitución </t>
    </r>
    <r>
      <rPr>
        <sz val="10"/>
        <rFont val="Arial"/>
        <family val="2"/>
      </rPr>
      <t xml:space="preserve">              = </t>
    </r>
  </si>
  <si>
    <t xml:space="preserve"> Es el número de días que, en promedio, cada cama disponible
 permanece desocupada  entre  el  alta de  un paciente  y  el 
 ingreso  de  otro. </t>
  </si>
  <si>
    <t xml:space="preserve">Porcentaje o Por ciento               = </t>
  </si>
  <si>
    <t xml:space="preserve">Es una proporción  multiplicada por 100 , con el objeto de facilitar
la  comprensión  del  dato. </t>
  </si>
  <si>
    <r>
      <t>Promedio de días cama</t>
    </r>
    <r>
      <rPr>
        <sz val="10"/>
        <rFont val="Arial"/>
        <family val="2"/>
      </rPr>
      <t xml:space="preserve">               =  </t>
    </r>
  </si>
  <si>
    <t>Es el número de días que , en promedio , cada paciente  permanece  hospitalizado, en  un  período  dado.</t>
  </si>
  <si>
    <t xml:space="preserve">Proporción                                   = </t>
  </si>
  <si>
    <t xml:space="preserve">Es un cociente  que expresa la fracción que corresponde  a la ocurrencia
de  determinado fenómeno, en  realción con  la  unidad, peso  que tiene  una  parte  dentro  de  un  todo. </t>
  </si>
  <si>
    <r>
      <t xml:space="preserve">Razón                                          = </t>
    </r>
    <r>
      <rPr>
        <sz val="10"/>
        <rFont val="Arial"/>
        <family val="2"/>
      </rPr>
      <t xml:space="preserve"> </t>
    </r>
  </si>
  <si>
    <t>Fracción  en  el  cual  el  númerador   no  esta  contenido  en  el 
denominador.</t>
  </si>
  <si>
    <r>
      <t xml:space="preserve">Rotación de Egresos por cama  </t>
    </r>
    <r>
      <rPr>
        <sz val="10"/>
        <rFont val="Arial"/>
        <family val="2"/>
      </rPr>
      <t xml:space="preserve">  =</t>
    </r>
  </si>
  <si>
    <t xml:space="preserve">Es la cantidad de pacientes que , en promedio , ocupan  una  cama  disponible  en  un  período   dado. </t>
  </si>
  <si>
    <r>
      <t xml:space="preserve">Tasa                                             = </t>
    </r>
    <r>
      <rPr>
        <sz val="10"/>
        <rFont val="Arial"/>
        <family val="2"/>
      </rPr>
      <t xml:space="preserve"> </t>
    </r>
  </si>
  <si>
    <t>Es una medida  de probabilidad de ocurrencia  de un fenómeno en una
población  expuesta  al  riesgo de  sufrir el  mencionado  fenómeno.</t>
  </si>
  <si>
    <r>
      <t>Tasa de  fecundidad                    =</t>
    </r>
    <r>
      <rPr>
        <sz val="10"/>
        <rFont val="Arial"/>
        <family val="2"/>
      </rPr>
      <t xml:space="preserve"> </t>
    </r>
  </si>
  <si>
    <t xml:space="preserve">Tasa de incidencia                      = </t>
  </si>
  <si>
    <t>Riesgo de enfermedad por cualquier causa  presente  en una  población  en  un período  determinado.</t>
  </si>
  <si>
    <r>
      <t>Tasa de Mortalidad  Fetal</t>
    </r>
    <r>
      <rPr>
        <sz val="10"/>
        <rFont val="Arial"/>
        <family val="2"/>
      </rPr>
      <t xml:space="preserve">            =  </t>
    </r>
  </si>
  <si>
    <t>Número de nacidos muertos  por cada  1000 nacidos vivos</t>
  </si>
  <si>
    <r>
      <t>Tasa de Mortalidad  general</t>
    </r>
    <r>
      <rPr>
        <sz val="10"/>
        <rFont val="Arial"/>
        <family val="2"/>
      </rPr>
      <t xml:space="preserve">        = </t>
    </r>
  </si>
  <si>
    <t>Número de fallecidos  por  cada  1000 habitantes.</t>
  </si>
  <si>
    <r>
      <t xml:space="preserve">Tasa de Mortalidad Infantil </t>
    </r>
    <r>
      <rPr>
        <sz val="10"/>
        <rFont val="Arial"/>
        <family val="2"/>
      </rPr>
      <t xml:space="preserve">         =  </t>
    </r>
  </si>
  <si>
    <t>Número fallecidos menores  de 1 año por cada 1.000  nacidos    vivos.</t>
  </si>
  <si>
    <t xml:space="preserve">Número de fallecidos mayores 28 días y menores de   1  año  por  cada  1.000  nacidos  vivos. </t>
  </si>
  <si>
    <r>
      <t>Tasa de Mortalidad Materna</t>
    </r>
    <r>
      <rPr>
        <sz val="10"/>
        <rFont val="Arial"/>
        <family val="2"/>
      </rPr>
      <t xml:space="preserve">        =  </t>
    </r>
  </si>
  <si>
    <t>VIOLENCIA  DE GENERO  VICTIMA</t>
  </si>
  <si>
    <t>VIOLENCIA  DE  GENERO  AGRESOR</t>
  </si>
  <si>
    <t>PRIMER EPISODIO ESQUIZOFRENIA CON OCUPACION REGULAR</t>
  </si>
  <si>
    <t>CECOF
STA. MARIA</t>
  </si>
  <si>
    <t xml:space="preserve">Número de mujeres fallecidas ,embarazadas y en período perinatal(hasta 40 días) por cada  1.000 nacidos  vivos.  </t>
  </si>
  <si>
    <r>
      <t xml:space="preserve">Tasa de Mortalidad Neonatal      </t>
    </r>
    <r>
      <rPr>
        <sz val="10"/>
        <rFont val="Arial"/>
        <family val="2"/>
      </rPr>
      <t xml:space="preserve">=  </t>
    </r>
  </si>
  <si>
    <t>Número de fallecidos menores de 28 días por cada   1.000   nacidos  vivos.</t>
  </si>
  <si>
    <r>
      <t>Tasa de Mortalidad Neonatal Precoz</t>
    </r>
    <r>
      <rPr>
        <sz val="10"/>
        <rFont val="Arial"/>
        <family val="2"/>
      </rPr>
      <t xml:space="preserve">  = </t>
    </r>
  </si>
  <si>
    <t>Número de fallecidos menores de 7 días por cada 1.000  nacidos  vivos.</t>
  </si>
  <si>
    <r>
      <t>Tasa de Mortalidad Perinatal</t>
    </r>
    <r>
      <rPr>
        <sz val="10"/>
        <rFont val="Arial"/>
        <family val="2"/>
      </rPr>
      <t xml:space="preserve">      = </t>
    </r>
  </si>
  <si>
    <t>Nacidos muertos más fallecidos &lt; 7 días por cada 1.000  nacidos  vivos.</t>
  </si>
  <si>
    <r>
      <t xml:space="preserve">Tasa de Natalidad </t>
    </r>
    <r>
      <rPr>
        <sz val="10"/>
        <rFont val="Arial"/>
        <family val="2"/>
      </rPr>
      <t xml:space="preserve">                      = </t>
    </r>
  </si>
  <si>
    <t>Número de recién  nacidos vivos por cada  1000 habitantes.</t>
  </si>
  <si>
    <t xml:space="preserve">Tasa de prevalencia                   = </t>
  </si>
  <si>
    <t>Cecof Cerrillos</t>
  </si>
  <si>
    <t>CESFAM
LLAY LLAY</t>
  </si>
  <si>
    <t>CESFAM
CORDILLERA</t>
  </si>
  <si>
    <t>Probabilidad de encontrar enfermos de cualquier causa en una población  en  un  momento o  período  dado.</t>
  </si>
  <si>
    <t>1.  1.</t>
  </si>
  <si>
    <t>Mapa geográfico de la Quinta  Región ..................................................</t>
  </si>
  <si>
    <t>2.</t>
  </si>
  <si>
    <t>Mapa geográfico del Servicio de salud ..................................................</t>
  </si>
  <si>
    <t>3.</t>
  </si>
  <si>
    <t>Distancia  en Km.  entre Establecimientos............................................</t>
  </si>
  <si>
    <t>5.</t>
  </si>
  <si>
    <t>Población  urbana , rural, superficie  y  densidad....................................</t>
  </si>
  <si>
    <t>6.</t>
  </si>
  <si>
    <t>7.</t>
  </si>
  <si>
    <t>8.</t>
  </si>
  <si>
    <t>9.</t>
  </si>
  <si>
    <t>10.</t>
  </si>
  <si>
    <t>11.</t>
  </si>
  <si>
    <t>Índice de vejez por  comunas...............................................................</t>
  </si>
  <si>
    <t>12.</t>
  </si>
  <si>
    <t>Tasa de Fecundidad ...........................................................................</t>
  </si>
  <si>
    <t>13.</t>
  </si>
  <si>
    <t>14.</t>
  </si>
  <si>
    <t>15.</t>
  </si>
  <si>
    <t>2.  1.</t>
  </si>
  <si>
    <t>4.</t>
  </si>
  <si>
    <t>16.</t>
  </si>
  <si>
    <t>Enfermedades Transmisibles...............................................................</t>
  </si>
  <si>
    <t>3.  1.</t>
  </si>
  <si>
    <t>Porcentaje  de cesáreas del total de partos..........................................</t>
  </si>
  <si>
    <t>Nacidos Vivos y Muertos según Peso , atención prof. Parto por Comuna..</t>
  </si>
  <si>
    <t>Tendencia  Esterilización Femenina por  Establecimiento......................</t>
  </si>
  <si>
    <t>Consultas  y  controles   programa infantil   nivel  primario......................</t>
  </si>
  <si>
    <t>Consultas  y  controles  programa adolescente nivel  primario.................</t>
  </si>
  <si>
    <t>Consultas  y  controles  programa de la mujer  nivel  primario..................</t>
  </si>
  <si>
    <t>Consultas  y  controles  programa adulto nivel primario...........................</t>
  </si>
  <si>
    <t>Consultas  y  controles  programa adulto Mayor  nivel primario..........................</t>
  </si>
  <si>
    <t>Consolidado nivel primario....................................................................</t>
  </si>
  <si>
    <t>Consultas  Psicólogo  nivel primario...................................</t>
  </si>
  <si>
    <t>17.</t>
  </si>
  <si>
    <t>Consultas  Médicas  nivel primario...................................</t>
  </si>
  <si>
    <t>18.</t>
  </si>
  <si>
    <t>Consultas   programa infantil  nivel  secundario....................</t>
  </si>
  <si>
    <t>19.</t>
  </si>
  <si>
    <t>Consultas   programa adolescente nivel secundario..............</t>
  </si>
  <si>
    <t>20.</t>
  </si>
  <si>
    <t>Consultas   programa adulto nivel secundario........................</t>
  </si>
  <si>
    <t>21.</t>
  </si>
  <si>
    <t>Consultas   programa adulto Mayor  nivel secundario..........................</t>
  </si>
  <si>
    <t>22.</t>
  </si>
  <si>
    <t>Consolidado nivel  secundario..............................................................</t>
  </si>
  <si>
    <t>23.</t>
  </si>
  <si>
    <t>Interconsultas Generadas  en Atención  Primaria…………………………..</t>
  </si>
  <si>
    <t>Interconsultas APS atendidas  en  el  nivel secundario………………………..</t>
  </si>
  <si>
    <t>24.</t>
  </si>
  <si>
    <t>Personas  atendidas  y  prestaciones  GES ………………………………..</t>
  </si>
  <si>
    <t>25.</t>
  </si>
  <si>
    <t>Cecof  Los  Andes</t>
  </si>
  <si>
    <t>Cecof  San Felipe</t>
  </si>
  <si>
    <t>Cecof  las Cadenas</t>
  </si>
  <si>
    <t>Registro  Atenciones  OIRS …………………………………………………..</t>
  </si>
  <si>
    <t>26.</t>
  </si>
  <si>
    <t>27.</t>
  </si>
  <si>
    <t xml:space="preserve"> CECOF San  Felipe</t>
  </si>
  <si>
    <t xml:space="preserve"> Hospital de Llay Llay</t>
  </si>
  <si>
    <t>28.</t>
  </si>
  <si>
    <t>29.</t>
  </si>
  <si>
    <t>Programa de Alimentación Complementaria..........................................</t>
  </si>
  <si>
    <t>30.</t>
  </si>
  <si>
    <t>Población  con  Empa  vigente  ………………………………………………</t>
  </si>
  <si>
    <t>31.</t>
  </si>
  <si>
    <t>32.</t>
  </si>
  <si>
    <t>Tasa de  prevención  odontológica.......................................................................</t>
  </si>
  <si>
    <t>33.</t>
  </si>
  <si>
    <t>Consultas  de Urgencia según  Establecimientos..................................</t>
  </si>
  <si>
    <t>34.</t>
  </si>
  <si>
    <t>35.</t>
  </si>
  <si>
    <t>36.</t>
  </si>
  <si>
    <t>Interv. Quir. Electivas y  Urgencia  según establecimientos..........................</t>
  </si>
  <si>
    <t>37.</t>
  </si>
  <si>
    <t>Perfil de intervenciones quirúrgicas .......................................................</t>
  </si>
  <si>
    <t>38.</t>
  </si>
  <si>
    <t>40.</t>
  </si>
  <si>
    <t xml:space="preserve"> CECOF  LOS  ANDES</t>
  </si>
  <si>
    <t xml:space="preserve"> CECOF STA.  MARIA</t>
  </si>
  <si>
    <t>41.</t>
  </si>
  <si>
    <t>42.</t>
  </si>
  <si>
    <t>44.</t>
  </si>
  <si>
    <t>45.</t>
  </si>
  <si>
    <t>46.</t>
  </si>
  <si>
    <t>47.</t>
  </si>
  <si>
    <t>48.</t>
  </si>
  <si>
    <t>49.</t>
  </si>
  <si>
    <t>43.</t>
  </si>
  <si>
    <t>DIRECCION</t>
  </si>
  <si>
    <t>PUTAENDO</t>
  </si>
  <si>
    <t>PSIQUIATRICO</t>
  </si>
  <si>
    <t xml:space="preserve">   ADMINISTRATIVOS</t>
  </si>
  <si>
    <t xml:space="preserve">   AUXILIARES</t>
  </si>
  <si>
    <t xml:space="preserve">   MEDICOS</t>
  </si>
  <si>
    <t xml:space="preserve">   DENTISTAS</t>
  </si>
  <si>
    <t xml:space="preserve">    T O T A L </t>
  </si>
  <si>
    <t>DISTANCIA  EN  KM  DESDE  ESTABLECIMIENTOS  PRIMARIOS  A  CENTROS</t>
  </si>
  <si>
    <t>DE  MAYOR  COMPLEJIDAD  SERV.  DE  SALUD  ACONCAGUA</t>
  </si>
  <si>
    <t>POSTAS</t>
  </si>
  <si>
    <t>HOSP. TIPO  4</t>
  </si>
  <si>
    <t>HOSP. TIPO  2 y 3</t>
  </si>
  <si>
    <t>VIÑA O VALPARAISO</t>
  </si>
  <si>
    <t>PIGUCHEN</t>
  </si>
  <si>
    <t>GUZMANES</t>
  </si>
  <si>
    <t>ORILLA</t>
  </si>
  <si>
    <t>QUEB. HERRERA</t>
  </si>
  <si>
    <t>STA. FILOMENA</t>
  </si>
  <si>
    <t>STA. MARIA</t>
  </si>
  <si>
    <t>LAS CADENAS</t>
  </si>
  <si>
    <t>CURIMON</t>
  </si>
  <si>
    <t>SAN FELIPE</t>
  </si>
  <si>
    <t>HOSP. TIPO  1</t>
  </si>
  <si>
    <t>PANQUEHUE</t>
  </si>
  <si>
    <t>CERRILLOS</t>
  </si>
  <si>
    <t>CATEMU</t>
  </si>
  <si>
    <t>LLAY  LLAY</t>
  </si>
  <si>
    <t>RIO  BLANCO</t>
  </si>
  <si>
    <t>SAN VICENTE</t>
  </si>
  <si>
    <t>CALLE  LARGA</t>
  </si>
  <si>
    <t>LO CALVO</t>
  </si>
  <si>
    <t>LOS  ANDES</t>
  </si>
  <si>
    <t>C. BOTADO</t>
  </si>
  <si>
    <t>SAN ESTEBAN</t>
  </si>
  <si>
    <t>C. AHUMADA</t>
  </si>
  <si>
    <t>RIO COLORADO</t>
  </si>
  <si>
    <t>RINCONADA</t>
  </si>
  <si>
    <t>DISTANCIA  EN KILOMETROS  ENTRE ESTABLECIMIENTOS  DEL SERVICIO DE SALUD ACONCAGUA</t>
  </si>
  <si>
    <t>DISTANCIA 
APROXIMADA
EN KILOMETROS</t>
  </si>
  <si>
    <t>H.LOS  ANDES</t>
  </si>
  <si>
    <t>H.SAN FELIPE</t>
  </si>
  <si>
    <t>C.SAN FELIPE</t>
  </si>
  <si>
    <t>H.PUTAENDO</t>
  </si>
  <si>
    <t>C.PUTAENDO</t>
  </si>
  <si>
    <t>H.LLAY  LLAY</t>
  </si>
  <si>
    <t>C.LLAY  LLAY</t>
  </si>
  <si>
    <t>VIÑA O VALPSO</t>
  </si>
  <si>
    <t>Q. HERRERA</t>
  </si>
  <si>
    <t xml:space="preserve">  ESTA
MENTOS</t>
  </si>
  <si>
    <t>PLANTA</t>
  </si>
  <si>
    <t>LEY</t>
  </si>
  <si>
    <t xml:space="preserve">  SUBTOTAL</t>
  </si>
  <si>
    <t xml:space="preserve"> LEY</t>
  </si>
  <si>
    <t xml:space="preserve">  DIRECTIVOS</t>
  </si>
  <si>
    <t>HOSP. SAN
CAMILO</t>
  </si>
  <si>
    <t xml:space="preserve">HOSP. LOS
ANDES </t>
  </si>
  <si>
    <t>HOSP.
LLAY LLAY</t>
  </si>
  <si>
    <t>HOSP.
PUTAENDO</t>
  </si>
  <si>
    <t xml:space="preserve">HOSP.
PSIQUIATRICO </t>
  </si>
  <si>
    <t>CONS. GRAL.
SAN FELIPE</t>
  </si>
  <si>
    <t>TOTAL
DOTACION</t>
  </si>
  <si>
    <t xml:space="preserve">  DENTISTA</t>
  </si>
  <si>
    <t xml:space="preserve">   DIRECTIVOS</t>
  </si>
  <si>
    <t xml:space="preserve">   PROFESIONAL</t>
  </si>
  <si>
    <t xml:space="preserve">  TECNICOS</t>
  </si>
  <si>
    <t xml:space="preserve">  MEDICO</t>
  </si>
  <si>
    <t xml:space="preserve">  Q. FARMACEUTICO</t>
  </si>
  <si>
    <t xml:space="preserve">  BIOQUIMICOS</t>
  </si>
  <si>
    <t>DOTACION   SERVICIO  DE  SALUD  ACONCAGUA  POR  ESTABLECIMIENTOS</t>
  </si>
  <si>
    <t>DOTACION   DE  FUNCIONARIOS  DE  ESTABLECIMIENTOS  DE  LA  SALUD  MUNICIPAL</t>
  </si>
  <si>
    <t>Cecof Lo Calvo</t>
  </si>
  <si>
    <t xml:space="preserve">   ODONTOLOGOS</t>
  </si>
  <si>
    <t xml:space="preserve">   PSICOLOGO/A</t>
  </si>
  <si>
    <t xml:space="preserve">   MATRON/A</t>
  </si>
  <si>
    <t xml:space="preserve">   ENFERMERA/O</t>
  </si>
  <si>
    <t xml:space="preserve">   ASISTENTE  SOCIAL</t>
  </si>
  <si>
    <t xml:space="preserve">   NUTRICIONISTA</t>
  </si>
  <si>
    <t xml:space="preserve">   KINESIOLOGOS</t>
  </si>
  <si>
    <t xml:space="preserve">   OTROS CAT. B</t>
  </si>
  <si>
    <t xml:space="preserve">  TOTAL CAT. C</t>
  </si>
  <si>
    <t xml:space="preserve">  TOTAL CAT. D</t>
  </si>
  <si>
    <t xml:space="preserve">  TOTAL CAT. E</t>
  </si>
  <si>
    <t xml:space="preserve">  TOTAL CAT. F</t>
  </si>
  <si>
    <t>SAN 
ESTEBAN</t>
  </si>
  <si>
    <t>CALLE
LARGA</t>
  </si>
  <si>
    <t>SAN 
FELIPE</t>
  </si>
  <si>
    <t>SANTA
MARIA</t>
  </si>
  <si>
    <t xml:space="preserve">  CATEGORIAS</t>
  </si>
  <si>
    <t>OTRAS</t>
  </si>
  <si>
    <t>CATEGORIAS</t>
  </si>
  <si>
    <t>CATEGORIA</t>
  </si>
  <si>
    <t>A</t>
  </si>
  <si>
    <t>B</t>
  </si>
  <si>
    <t xml:space="preserve">   PLANTA</t>
  </si>
  <si>
    <t>Servicios de Salud 
y Comunas</t>
  </si>
  <si>
    <t>Sexo</t>
  </si>
  <si>
    <t>Hombres</t>
  </si>
  <si>
    <t>Mujeres</t>
  </si>
  <si>
    <t>Total</t>
  </si>
  <si>
    <t>0-4</t>
  </si>
  <si>
    <t>5-9</t>
  </si>
  <si>
    <t>10-14</t>
  </si>
  <si>
    <t>15-19</t>
  </si>
  <si>
    <t>20-24</t>
  </si>
  <si>
    <t>25-29</t>
  </si>
  <si>
    <t>30-34</t>
  </si>
  <si>
    <t>35-39</t>
  </si>
  <si>
    <t>40-44</t>
  </si>
  <si>
    <t>45-49</t>
  </si>
  <si>
    <t>50-54</t>
  </si>
  <si>
    <t>55-59</t>
  </si>
  <si>
    <t>60-64</t>
  </si>
  <si>
    <t>65-69</t>
  </si>
  <si>
    <t>70-74</t>
  </si>
  <si>
    <t>75-79</t>
  </si>
  <si>
    <t>80 y +</t>
  </si>
  <si>
    <t>POBLACION URBANA , RURAL , SUPERFICIE Y DENSIDAD SEGUN  COMUNA</t>
  </si>
  <si>
    <t>P O B L A C I O N</t>
  </si>
  <si>
    <t>%</t>
  </si>
  <si>
    <t>SUPERFICIE</t>
  </si>
  <si>
    <t>DENSIDAD</t>
  </si>
  <si>
    <t xml:space="preserve">   COMUNAS</t>
  </si>
  <si>
    <t>URBANA</t>
  </si>
  <si>
    <t>RURAL</t>
  </si>
  <si>
    <t>TOTAL</t>
  </si>
  <si>
    <t>RURALIDAD</t>
  </si>
  <si>
    <t>KM</t>
  </si>
  <si>
    <t>(hab. / Km)</t>
  </si>
  <si>
    <t xml:space="preserve">  LOS ANDES</t>
  </si>
  <si>
    <t xml:space="preserve">  SAN ESTEBAN</t>
  </si>
  <si>
    <t xml:space="preserve">  CALLE LARGA</t>
  </si>
  <si>
    <t xml:space="preserve">  RINCONADA</t>
  </si>
  <si>
    <t xml:space="preserve">  PROV. LOS  ANDES</t>
  </si>
  <si>
    <t xml:space="preserve">  SAN FELIPE</t>
  </si>
  <si>
    <t xml:space="preserve">  PUTAENDO</t>
  </si>
  <si>
    <t xml:space="preserve">  STA.  MARIA</t>
  </si>
  <si>
    <t xml:space="preserve">  PANQUEHUE</t>
  </si>
  <si>
    <t xml:space="preserve">  LLAY - LLAY</t>
  </si>
  <si>
    <t xml:space="preserve">  CATEMU</t>
  </si>
  <si>
    <t xml:space="preserve"> CECOF SAN FELIPE</t>
  </si>
  <si>
    <t xml:space="preserve">  PROV. SAN  FELIPE</t>
  </si>
  <si>
    <t xml:space="preserve">  T O T A L </t>
  </si>
  <si>
    <t>POBLACION  TOTAL  SERVICIO DE SALUD</t>
  </si>
  <si>
    <t>COMUNAS</t>
  </si>
  <si>
    <t>-1a.</t>
  </si>
  <si>
    <t>12 - 23 m.</t>
  </si>
  <si>
    <t>2 - 5 a.</t>
  </si>
  <si>
    <t>6 - 9 a.</t>
  </si>
  <si>
    <t>10 - 14 a.</t>
  </si>
  <si>
    <t>15 - 19 a.</t>
  </si>
  <si>
    <t>20 - 44 a.</t>
  </si>
  <si>
    <t>45 - 64 a.</t>
  </si>
  <si>
    <t>65 y + a.</t>
  </si>
  <si>
    <t>C. LOS ANDES</t>
  </si>
  <si>
    <t>*</t>
  </si>
  <si>
    <t>Los Andes centro</t>
  </si>
  <si>
    <t>Río Blanco</t>
  </si>
  <si>
    <t>V. O'Higgins</t>
  </si>
  <si>
    <t>Saladillo</t>
  </si>
  <si>
    <t>C. SAN ESTEBAN</t>
  </si>
  <si>
    <t>San Esteban</t>
  </si>
  <si>
    <t>Cariño botado</t>
  </si>
  <si>
    <t>Río Colorado</t>
  </si>
  <si>
    <t>C. Ahumada</t>
  </si>
  <si>
    <t>San Francisco</t>
  </si>
  <si>
    <t>C. CALLE LARGA</t>
  </si>
  <si>
    <t>Calle Larga</t>
  </si>
  <si>
    <t>San Vicente</t>
  </si>
  <si>
    <t>C. RINCONADA</t>
  </si>
  <si>
    <t>Rinconada</t>
  </si>
  <si>
    <t>Casuto</t>
  </si>
  <si>
    <t>Auco</t>
  </si>
  <si>
    <t>PROV. LOS ANDES</t>
  </si>
  <si>
    <t>San Felipe</t>
  </si>
  <si>
    <t>Curimón</t>
  </si>
  <si>
    <t>C. PUTAENDO</t>
  </si>
  <si>
    <t>Putaendo</t>
  </si>
  <si>
    <t>Queb. Herrera</t>
  </si>
  <si>
    <t>Las Coimas</t>
  </si>
  <si>
    <t>Rinc. de Silva</t>
  </si>
  <si>
    <t xml:space="preserve">La Orilla </t>
  </si>
  <si>
    <t>Granallas</t>
  </si>
  <si>
    <t>Guzmanes</t>
  </si>
  <si>
    <t xml:space="preserve">Piguchen </t>
  </si>
  <si>
    <t>Lo Vicuña</t>
  </si>
  <si>
    <t>Casablanca</t>
  </si>
  <si>
    <t>Los Patos</t>
  </si>
  <si>
    <t>C. STA MARIA</t>
  </si>
  <si>
    <t>Sta. María</t>
  </si>
  <si>
    <t>Sta. Filom.-Jahuel</t>
  </si>
  <si>
    <t>C. PANQUEHUE</t>
  </si>
  <si>
    <t>Panquehue</t>
  </si>
  <si>
    <t>Esc. Palomar</t>
  </si>
  <si>
    <t>Viña Errazuriz</t>
  </si>
  <si>
    <t>Lo Campo</t>
  </si>
  <si>
    <t>C. LLAY LLAY</t>
  </si>
  <si>
    <t>Llay  Llay</t>
  </si>
  <si>
    <t>E. Meiggs</t>
  </si>
  <si>
    <t xml:space="preserve">Los Loros </t>
  </si>
  <si>
    <t>Las Vegas</t>
  </si>
  <si>
    <t>C. CATEMU</t>
  </si>
  <si>
    <t>Catemu</t>
  </si>
  <si>
    <t xml:space="preserve">Ñilhue </t>
  </si>
  <si>
    <t>Compuertas</t>
  </si>
  <si>
    <t>San José</t>
  </si>
  <si>
    <t>Reinoso</t>
  </si>
  <si>
    <t>Sta. Isabel</t>
  </si>
  <si>
    <t>Sta. Margarita</t>
  </si>
  <si>
    <t xml:space="preserve">El Cobre </t>
  </si>
  <si>
    <t>El Seco</t>
  </si>
  <si>
    <t>PROV. SAN FELIPE</t>
  </si>
  <si>
    <t>T O T A L</t>
  </si>
  <si>
    <t>POBLACION  TOTAL  FEMENINA SERVICIO DE SALUD</t>
  </si>
  <si>
    <t>-10a.</t>
  </si>
  <si>
    <t>45 - 49 a.</t>
  </si>
  <si>
    <t>50 - 64 a.</t>
  </si>
  <si>
    <t>EMBARA-
ZADA</t>
  </si>
  <si>
    <t xml:space="preserve">ÍNDICE DE VEJEZ  POR COMUNAS </t>
  </si>
  <si>
    <t xml:space="preserve">SERVICIO DE SALUD   ACONCAGUA  </t>
  </si>
  <si>
    <t>TASA DE FECUNDIDAD SEGUN COMUNAS</t>
  </si>
  <si>
    <t>POB. FEM.
TOTAL</t>
  </si>
  <si>
    <t>% DE MUJERES 
EN EDAD FERTIL</t>
  </si>
  <si>
    <t>MUJERES
15 - 49 AÑOS</t>
  </si>
  <si>
    <t xml:space="preserve">  TASA
FECUNDIDAD
  %o</t>
  </si>
  <si>
    <t xml:space="preserve"> LOS ANDES</t>
  </si>
  <si>
    <t xml:space="preserve"> SAN ESTEBAN</t>
  </si>
  <si>
    <t xml:space="preserve"> RINCONADA</t>
  </si>
  <si>
    <t xml:space="preserve"> SAN FELIPE</t>
  </si>
  <si>
    <t xml:space="preserve"> PUTAENDO</t>
  </si>
  <si>
    <t xml:space="preserve"> STA. MARIA</t>
  </si>
  <si>
    <t xml:space="preserve"> PANQUEHUE</t>
  </si>
  <si>
    <t xml:space="preserve"> LLAY  LLAY</t>
  </si>
  <si>
    <t xml:space="preserve"> CATEMU</t>
  </si>
  <si>
    <t xml:space="preserve"> T O T A L </t>
  </si>
  <si>
    <t>CRECIMIENTO   VEGETATIVO  POR  PROVINCIAS,   COMUNAS  Y  AÑOS</t>
  </si>
  <si>
    <t xml:space="preserve">SERVICIO DE SALUD   ACONCAGUA   </t>
  </si>
  <si>
    <t xml:space="preserve"> CESFAM. LLAY  LLAY</t>
  </si>
  <si>
    <t xml:space="preserve"> CESFAM  STA. MARIA</t>
  </si>
  <si>
    <t>LOS ANDES</t>
  </si>
  <si>
    <t>SAN  ESTEBAN</t>
  </si>
  <si>
    <t>PROV. LOS  ANDES</t>
  </si>
  <si>
    <t>SAN  FELIPE</t>
  </si>
  <si>
    <t>STA.  MARIA</t>
  </si>
  <si>
    <t xml:space="preserve">LLAY  LLAY  </t>
  </si>
  <si>
    <t>PROV.  SAN  FELIPE</t>
  </si>
  <si>
    <t xml:space="preserve">T O T A L </t>
  </si>
  <si>
    <t>POBLACION  SEGUN  PAIS REGION  SERV. DE SALUD  Y COMUNAS</t>
  </si>
  <si>
    <t xml:space="preserve"> P R O V I N C I A S   Y   C O M U N A S</t>
  </si>
  <si>
    <t>AÑOS</t>
  </si>
  <si>
    <t>CECOF LO  CALVO</t>
  </si>
  <si>
    <t>CECOF LOS ANDES</t>
  </si>
  <si>
    <t>CECOF  LAS  CADENAS</t>
  </si>
  <si>
    <t>CECOF  CERRILLOS</t>
  </si>
  <si>
    <t>PAIS</t>
  </si>
  <si>
    <t>REGION</t>
  </si>
  <si>
    <t>SERV. SALUD</t>
  </si>
  <si>
    <t>PROV.</t>
  </si>
  <si>
    <t>ACONCAGUA</t>
  </si>
  <si>
    <t>SAN ESTEB.</t>
  </si>
  <si>
    <t>CALLE LAR.</t>
  </si>
  <si>
    <t xml:space="preserve">SAN FELIPE </t>
  </si>
  <si>
    <t>LLAY LLAY</t>
  </si>
  <si>
    <t>Nota:  Proyección  Censo  2002</t>
  </si>
  <si>
    <t xml:space="preserve">  SAN EST.</t>
  </si>
  <si>
    <t xml:space="preserve">  CALLE L.</t>
  </si>
  <si>
    <t xml:space="preserve">  RINCO.</t>
  </si>
  <si>
    <t xml:space="preserve">  PANQ.</t>
  </si>
  <si>
    <t>CECOF</t>
  </si>
  <si>
    <t>San Felipe  N°  2</t>
  </si>
  <si>
    <t>NATALIDAD SEGUN PAIS REGION  SERV. DE SALUD  Y COMUNAS</t>
  </si>
  <si>
    <t>Nº</t>
  </si>
  <si>
    <t>TASA</t>
  </si>
  <si>
    <t>MORTALIDAD  FETAL  TARDIA SEGUN PAIS REGION  SERV. DE SALUD  Y COMUNAS</t>
  </si>
  <si>
    <t xml:space="preserve">           TASA        POR  1.000   Nacidos vivos</t>
  </si>
  <si>
    <t>MORTALIDAD  PERINATAL  SEGUN PAIS REGION  SERV. DE SALUD  Y COMUNAS</t>
  </si>
  <si>
    <t xml:space="preserve">NACIDOS 
VIVOS  </t>
  </si>
  <si>
    <t xml:space="preserve">           TASA        POR  1.000  Nacidos vivos</t>
  </si>
  <si>
    <t>MORTALIDAD  NEONATAL PRECOZ  SEGUN PAIS REGION  SERV. DE SALUD  Y COMUNAS</t>
  </si>
  <si>
    <t xml:space="preserve">        TASA        POR  1.000  Nacidos vivos</t>
  </si>
  <si>
    <t>MORTALIDAD  NEONATAL   SEGUN PAIS REGION  SERV. DE SALUD  Y COMUNAS</t>
  </si>
  <si>
    <t xml:space="preserve">          TASA        POR  1.000   Nacidos vivos</t>
  </si>
  <si>
    <t>MORTALIDAD  INFANTIL TARDIA   SEGUN  PAIS REGION  SERV. DE SALUD  Y COMUNAS</t>
  </si>
  <si>
    <t>MORTALIDAD  INFANTIL    SEGUN  PAIS REGION  SERV. DE SALUD  Y COMUNAS</t>
  </si>
  <si>
    <t xml:space="preserve">             TASA        POR  1.000   Nacidos vivos</t>
  </si>
  <si>
    <t>MORTALIDAD  MATERNA   SEGUN  PAIS REGION  SERV. DE SALUD  Y COMUNAS</t>
  </si>
  <si>
    <t xml:space="preserve">           TASA        POR  10.000   Nacidos vivos</t>
  </si>
  <si>
    <t>MORTALIDAD  GENERAL   SEGUN  PAIS REGION  SERV. DE SALUD  Y COMUNAS</t>
  </si>
  <si>
    <t xml:space="preserve">           TASA        POR  1.000  hab.</t>
  </si>
  <si>
    <t>TOTAL  DEFUNCIONES POR GRUPO DE CAUSAS SEGUN COMUNAS</t>
  </si>
  <si>
    <t>( CIE  10 )</t>
  </si>
  <si>
    <t xml:space="preserve">   CODIGO</t>
  </si>
  <si>
    <t>P R O V I N C I A S     Y    C O M U N A S</t>
  </si>
  <si>
    <t xml:space="preserve">   INTERNA-
   CIONAL</t>
  </si>
  <si>
    <t xml:space="preserve"> GRUPO  DE CAUSAS</t>
  </si>
  <si>
    <t>PROV.
LOS ANDES</t>
  </si>
  <si>
    <t>S. ESTEBAN</t>
  </si>
  <si>
    <t>C. LARGA</t>
  </si>
  <si>
    <t>PROV.
SAN FELIPE</t>
  </si>
  <si>
    <t>S. FELIPE</t>
  </si>
  <si>
    <t>LLAY-LLAY</t>
  </si>
  <si>
    <t>OTROS</t>
  </si>
  <si>
    <t>I 00 - I 99</t>
  </si>
  <si>
    <t xml:space="preserve"> ENF. APARATO CIRCULATORIO</t>
  </si>
  <si>
    <t>C00 - D48</t>
  </si>
  <si>
    <t xml:space="preserve"> TUMORES</t>
  </si>
  <si>
    <t>J00 - J99</t>
  </si>
  <si>
    <t xml:space="preserve"> ENF. APARATO RESPIRATORIO</t>
  </si>
  <si>
    <t>A.  PRIMARIA  *</t>
  </si>
  <si>
    <t>*  Cesfam  Llay llay, San  Felipe y  Los  Andes</t>
  </si>
  <si>
    <t>66.-ATENCIÓN ODONTOLOGICA INTEGRAL DE LA EMBARAZADA</t>
  </si>
  <si>
    <t>67.-ESCLEROSIS MULTIPLE REMITENTE RECURRENTE</t>
  </si>
  <si>
    <t xml:space="preserve">68.-HEPATITIS B </t>
  </si>
  <si>
    <t>69.-HEPATITIS C</t>
  </si>
  <si>
    <t>60.-EPILEPSIA NO REFRACTARIA 15 AÑOS Y MAS</t>
  </si>
  <si>
    <t>61.-ASMA BRONQUIAL 15 AÑOS Y MAS</t>
  </si>
  <si>
    <t>62.-ENFERMEDAD DE PARKINSON</t>
  </si>
  <si>
    <t>63.-ARTRITIS REUMATOIDEA JUVENIL</t>
  </si>
  <si>
    <t>64.-PREVENCIÓN SECUNDARIA EN PACIENTES CON IRC</t>
  </si>
  <si>
    <t>65.-DISPLASIA LUXANTE DE CADERAS</t>
  </si>
  <si>
    <t>58.-DISPLASIA  BRONCOPULMUNAR  DEL  PREMATURO</t>
  </si>
  <si>
    <t>59.- HIPOACUSIA BILATERAL DEL  PREMATURO</t>
  </si>
  <si>
    <t>S00 - Z99</t>
  </si>
  <si>
    <t xml:space="preserve"> TRAUMAT. Y  ENVENENAMIENTO</t>
  </si>
  <si>
    <t>K00 - K99</t>
  </si>
  <si>
    <t xml:space="preserve"> ENF. APARATO DIGESTIVO</t>
  </si>
  <si>
    <t>N00 - N99</t>
  </si>
  <si>
    <t xml:space="preserve"> ENF. APARATO GENITOURINARIO</t>
  </si>
  <si>
    <t>A00 - B99</t>
  </si>
  <si>
    <t xml:space="preserve"> INFECC.  Y PARASITARIAS</t>
  </si>
  <si>
    <t>R00 - R99</t>
  </si>
  <si>
    <t>SIGNOS, ENF. MAL DEFINIDAS</t>
  </si>
  <si>
    <t>E00 - E99</t>
  </si>
  <si>
    <t xml:space="preserve"> ENF. GLANDULAS ENDOCRINAS</t>
  </si>
  <si>
    <t>P00 - P99</t>
  </si>
  <si>
    <t xml:space="preserve"> AFEC. PERIODO PERINATAL</t>
  </si>
  <si>
    <t>Q00 - Q99</t>
  </si>
  <si>
    <t xml:space="preserve"> ANOMALIAS  CONGENITAS</t>
  </si>
  <si>
    <t>TOTAL  DEFUNCIONES POR GRUPO DE CAUSAS SEGUN GRUPOS ETAREOS</t>
  </si>
  <si>
    <t xml:space="preserve">G R U P O S       E T A R E O S </t>
  </si>
  <si>
    <t>N.M</t>
  </si>
  <si>
    <t>0 - 7d</t>
  </si>
  <si>
    <t>7-27 d</t>
  </si>
  <si>
    <t>1 - 11 m</t>
  </si>
  <si>
    <t>1 - 4 a</t>
  </si>
  <si>
    <t>5 - 9 a</t>
  </si>
  <si>
    <t>10 - 14 a</t>
  </si>
  <si>
    <t>15 -19 a</t>
  </si>
  <si>
    <t>20 - 44 a</t>
  </si>
  <si>
    <t>45 - 64 a</t>
  </si>
  <si>
    <t>65 y + a</t>
  </si>
  <si>
    <t xml:space="preserve"> SIGNOS, ENF. MAL DEFINIDAS</t>
  </si>
  <si>
    <t xml:space="preserve"> OTRAS</t>
  </si>
  <si>
    <t xml:space="preserve"> TOTAL</t>
  </si>
  <si>
    <t>pais</t>
  </si>
  <si>
    <t>Paìs</t>
  </si>
  <si>
    <t>SS</t>
  </si>
  <si>
    <t>AÑOS  DE  VIDA POTENCIALMENTE   PERDIDOS  (AVPP) SEGÚN  GRUPO  DE  CAUSAS Y  QUINQUENIOS</t>
  </si>
  <si>
    <t>1 - 4</t>
  </si>
  <si>
    <t>5 - 9</t>
  </si>
  <si>
    <t>10 - 14</t>
  </si>
  <si>
    <t>15 - 19</t>
  </si>
  <si>
    <t>20 - 24</t>
  </si>
  <si>
    <t>25 - 29</t>
  </si>
  <si>
    <t>30 - 34</t>
  </si>
  <si>
    <t>35 - 39</t>
  </si>
  <si>
    <t>40 - 44</t>
  </si>
  <si>
    <t>45 - 49</t>
  </si>
  <si>
    <t>50 - 54</t>
  </si>
  <si>
    <t>55 - 59</t>
  </si>
  <si>
    <t>60 - 64</t>
  </si>
  <si>
    <t>65 - 69</t>
  </si>
  <si>
    <t>70 - 74</t>
  </si>
  <si>
    <t>75 - 79</t>
  </si>
  <si>
    <t>80 Y +</t>
  </si>
  <si>
    <t xml:space="preserve">Nota :  Se  consideraron   de  1  a  79   años  </t>
  </si>
  <si>
    <t>Nota:  no  incluye  los  menores  de  1  año  en  el  total</t>
  </si>
  <si>
    <t xml:space="preserve"> U.T.I.  NEONATAL</t>
  </si>
  <si>
    <t>CECOF  Q. HERRERA</t>
  </si>
  <si>
    <t xml:space="preserve">NOTIFICACIONES  DE LAS  PRINCIPALES  </t>
  </si>
  <si>
    <t>ENFERMEDADES  TRANSMISIBLES</t>
  </si>
  <si>
    <t xml:space="preserve">PAIS  </t>
  </si>
  <si>
    <t>S.S.ACONCAGUA</t>
  </si>
  <si>
    <t>ENFERMEDADES</t>
  </si>
  <si>
    <t xml:space="preserve">CASOS </t>
  </si>
  <si>
    <t>DIFTERIA</t>
  </si>
  <si>
    <t>TOS FERINA</t>
  </si>
  <si>
    <t>TETANO NEOT</t>
  </si>
  <si>
    <t>RESTO TETANO</t>
  </si>
  <si>
    <t>RUBEOLA</t>
  </si>
  <si>
    <t>TIFOIDEA  Y PARAT.</t>
  </si>
  <si>
    <t>HEPATITIS A</t>
  </si>
  <si>
    <t>HEPATITIS B</t>
  </si>
  <si>
    <t>RESTOS DE HEPATIT.</t>
  </si>
  <si>
    <t>TUBERCULOSIS</t>
  </si>
  <si>
    <t>CARBUNCO</t>
  </si>
  <si>
    <t>BRUCELOSIS</t>
  </si>
  <si>
    <t xml:space="preserve"> VIH/SIDA</t>
  </si>
  <si>
    <t>SIFILIS</t>
  </si>
  <si>
    <t>GONORREA</t>
  </si>
  <si>
    <t>PAROTIDITIS</t>
  </si>
  <si>
    <t>MALARIA</t>
  </si>
  <si>
    <t>HIDATIDOSIS</t>
  </si>
  <si>
    <t>TRIQUINOISIS</t>
  </si>
  <si>
    <t>HANTAVIRUS</t>
  </si>
  <si>
    <t>DENGUE</t>
  </si>
  <si>
    <t>Tasas   por  100.000  hab.</t>
  </si>
  <si>
    <t>POBLACION  USUARIA  BAJO  CONTROL  MENORES  DE  6  AÑOS  SEGÚN  COMUNA</t>
  </si>
  <si>
    <t>QUE  PRESENTAN  DESVIACIONES  EN  SU CALIFICACION  NUTRICIONAL</t>
  </si>
  <si>
    <t xml:space="preserve"> POB.  BAJO</t>
  </si>
  <si>
    <t>CALIFICACIONES   N. C. H. S.</t>
  </si>
  <si>
    <t xml:space="preserve"> COMUNA</t>
  </si>
  <si>
    <t xml:space="preserve"> LOCALIDAD</t>
  </si>
  <si>
    <t xml:space="preserve"> CONTROL</t>
  </si>
  <si>
    <t>PESO / EDAD</t>
  </si>
  <si>
    <t>PESO / TALLA</t>
  </si>
  <si>
    <t>TALLA / EDAD</t>
  </si>
  <si>
    <t xml:space="preserve"> CESFAM L.A. Nº 1 (M)</t>
  </si>
  <si>
    <t xml:space="preserve"> CESFAM L.A. Nº 2</t>
  </si>
  <si>
    <t xml:space="preserve"> CECOF L. ANDES</t>
  </si>
  <si>
    <t xml:space="preserve"> CESFAM S. ESTEBAN</t>
  </si>
  <si>
    <t xml:space="preserve"> CALLE  LARGA</t>
  </si>
  <si>
    <t xml:space="preserve"> CESFAM CALLE LARGA</t>
  </si>
  <si>
    <t xml:space="preserve"> CESFAM  RINCONADA</t>
  </si>
  <si>
    <t xml:space="preserve"> PROV.</t>
  </si>
  <si>
    <t xml:space="preserve"> CONS. S. FELIPE</t>
  </si>
  <si>
    <t xml:space="preserve"> CESFAM  S. FELIPE N° 2</t>
  </si>
  <si>
    <t xml:space="preserve"> CONS. CURIMON</t>
  </si>
  <si>
    <t xml:space="preserve"> CESFAM  PUTAENDO</t>
  </si>
  <si>
    <t xml:space="preserve"> CESDFAM  STA. MARIA</t>
  </si>
  <si>
    <t xml:space="preserve"> CECOF STA. MARIA</t>
  </si>
  <si>
    <t xml:space="preserve"> CESFAM PANQUEHUE</t>
  </si>
  <si>
    <t xml:space="preserve"> CONS. LLAY  LLAY</t>
  </si>
  <si>
    <t xml:space="preserve"> CESFAM  CATEMU</t>
  </si>
  <si>
    <t>PESO/EDAD</t>
  </si>
  <si>
    <t>PESO/TALLA</t>
  </si>
  <si>
    <t>TALLA/EDAD</t>
  </si>
  <si>
    <t>DIAGNOSTICO  NUTRICIONAL  INTEGRADO  DE POBLACION  USUARIA   MENOR  DE 6  AÑOS</t>
  </si>
  <si>
    <t>COMUNA   Y  CALIFICACION   NUTRICIONAL</t>
  </si>
  <si>
    <t>RIESGO</t>
  </si>
  <si>
    <t>DESNUTRIDO</t>
  </si>
  <si>
    <t>SOBRE  PESO</t>
  </si>
  <si>
    <t>OBESO</t>
  </si>
  <si>
    <t>NORMAL</t>
  </si>
  <si>
    <t>DESESNUTRICIÓN
  SECUNDARIO</t>
  </si>
  <si>
    <t>LOCALIDAD</t>
  </si>
  <si>
    <t>ESTADO  NUTRICIONAL  DE   EMBARAZADAS  USUARIAS  BAJO  CONTROL  SEGUN  COMUNAS</t>
  </si>
  <si>
    <t>OBESA</t>
  </si>
  <si>
    <t>BAJO  PESO</t>
  </si>
  <si>
    <t xml:space="preserve"> CALLE LARGA</t>
  </si>
  <si>
    <t xml:space="preserve"> SAN FELIPE </t>
  </si>
  <si>
    <t xml:space="preserve"> STA.  MARIA</t>
  </si>
  <si>
    <t xml:space="preserve"> LLAY   LLAY</t>
  </si>
  <si>
    <t xml:space="preserve"> T O T A L</t>
  </si>
  <si>
    <t>NACIMIENTOS Y PARTOS POR ESTABLECIMIENTOS</t>
  </si>
  <si>
    <t>SERVICIO DE  SALUD  ACONCAGUA</t>
  </si>
  <si>
    <t>ESTABLECIMIENTOS</t>
  </si>
  <si>
    <t xml:space="preserve"> NACIDOS</t>
  </si>
  <si>
    <t>HOSP.SAN  FELIPE</t>
  </si>
  <si>
    <t>HOSP.LOS ANDES</t>
  </si>
  <si>
    <t>HOSP. LLAY-LLAY</t>
  </si>
  <si>
    <t>SALADILLO</t>
  </si>
  <si>
    <t xml:space="preserve"> VIVOS Y MUERTOS</t>
  </si>
  <si>
    <t>N.V.</t>
  </si>
  <si>
    <t>N.M.</t>
  </si>
  <si>
    <t xml:space="preserve">   999 gr.</t>
  </si>
  <si>
    <t xml:space="preserve"> 1000 - 1499 gr.</t>
  </si>
  <si>
    <t xml:space="preserve"> 1500 - 1999 gr.</t>
  </si>
  <si>
    <t xml:space="preserve"> 2000 - 2400 gr</t>
  </si>
  <si>
    <t xml:space="preserve"> 2500 - 2999 gr</t>
  </si>
  <si>
    <t xml:space="preserve"> 3000 - 3499 gr</t>
  </si>
  <si>
    <t xml:space="preserve"> 3500 - 3999 gr.</t>
  </si>
  <si>
    <t xml:space="preserve"> 4000 - 4499</t>
  </si>
  <si>
    <t xml:space="preserve"> 4500 - y + gr.</t>
  </si>
  <si>
    <t>PARTOS SEGUN OCURRENCIA TIPO Y ATENCION</t>
  </si>
  <si>
    <t xml:space="preserve"> OCURRENCIA</t>
  </si>
  <si>
    <t xml:space="preserve">                      </t>
  </si>
  <si>
    <t xml:space="preserve"> DISTOCICO</t>
  </si>
  <si>
    <t xml:space="preserve"> GEMELAR </t>
  </si>
  <si>
    <t xml:space="preserve"> EUTOCICO</t>
  </si>
  <si>
    <t xml:space="preserve">                     </t>
  </si>
  <si>
    <t xml:space="preserve"> TIPO DE PARTOS</t>
  </si>
  <si>
    <t xml:space="preserve"> TERMINO</t>
  </si>
  <si>
    <t xml:space="preserve"> PREMATURO</t>
  </si>
  <si>
    <t xml:space="preserve"> ATENCION DEL PARTO</t>
  </si>
  <si>
    <t xml:space="preserve"> MEDICO</t>
  </si>
  <si>
    <t xml:space="preserve"> MATRONA </t>
  </si>
  <si>
    <t xml:space="preserve"> PARTOS</t>
  </si>
  <si>
    <t xml:space="preserve"> NORMALES</t>
  </si>
  <si>
    <t xml:space="preserve"> DIST.VAGINAL</t>
  </si>
  <si>
    <t xml:space="preserve"> CESAREA</t>
  </si>
  <si>
    <t>PARTOS  SEGUN EDAD DE LA MADRE</t>
  </si>
  <si>
    <t>45 Y +</t>
  </si>
  <si>
    <t>HOSP. SAN   FELIPE</t>
  </si>
  <si>
    <t>HOSP. LOS ANDES</t>
  </si>
  <si>
    <t>HOSP. LLAY LLAY</t>
  </si>
  <si>
    <t>ISAPRE RIO BLANCO</t>
  </si>
  <si>
    <t>ABORTOS SEGUN EDAD DE LA MUJER</t>
  </si>
  <si>
    <t>HOSP. SAN  CAMILO</t>
  </si>
  <si>
    <t xml:space="preserve">  GRAFICOS DE PARTOS  Y  ABORTOS SEGÚN EDAD DE LA MADRE</t>
  </si>
  <si>
    <t>SERVICIO  DE SALUD  ACONCAGUA</t>
  </si>
  <si>
    <t>PORCENTAJE DE PARTOS  SEGUN EDAD DE LA MADRE</t>
  </si>
  <si>
    <t>PORCENTAJE  DE  ABORTOS SEGUN EDAD DE LA MUJER</t>
  </si>
  <si>
    <t xml:space="preserve">PORCENTAJE  DE CESAREAS  / TOTAL DE PARTOS 
TOTAL  Y  BENEFICIARIOS  POR ESTABLECIMIENTOS </t>
  </si>
  <si>
    <t>TOTAL  beneficiarios</t>
  </si>
  <si>
    <t xml:space="preserve"> HOSP. SAN  CAMILO</t>
  </si>
  <si>
    <t xml:space="preserve"> HOSP. LOS ANDES</t>
  </si>
  <si>
    <t xml:space="preserve"> HOSP. LLAY LLAY</t>
  </si>
  <si>
    <t>Benef.</t>
  </si>
  <si>
    <t>cesareas  beneficiarios</t>
  </si>
  <si>
    <t xml:space="preserve"> HOSP. SAN   FELIPE</t>
  </si>
  <si>
    <t xml:space="preserve"> ISAPRE RIO BLANCO</t>
  </si>
  <si>
    <t>Porcentaje</t>
  </si>
  <si>
    <t xml:space="preserve"> </t>
  </si>
  <si>
    <t>RECIEN  NACIDOS VIVOS  Y MUERTOS  POR COMUNA DE RESIDENCIA</t>
  </si>
  <si>
    <t xml:space="preserve">C O M U N A S </t>
  </si>
  <si>
    <t xml:space="preserve">  P E S O</t>
  </si>
  <si>
    <t>L. ANDES</t>
  </si>
  <si>
    <t>CALLE   L.</t>
  </si>
  <si>
    <t>LLAY - LLAY</t>
  </si>
  <si>
    <t>V</t>
  </si>
  <si>
    <t>M</t>
  </si>
  <si>
    <t xml:space="preserve"> CECOF SAN  FELIPE</t>
  </si>
  <si>
    <t xml:space="preserve">         - 900 grs</t>
  </si>
  <si>
    <t>1000 - 1499 grs</t>
  </si>
  <si>
    <t>1500 - 1999 grs</t>
  </si>
  <si>
    <t>2000 - 2499 grs</t>
  </si>
  <si>
    <t>2500 - 2999 grs</t>
  </si>
  <si>
    <t xml:space="preserve">       Sub-total</t>
  </si>
  <si>
    <t>3000 - 3499 grs</t>
  </si>
  <si>
    <t>3500 - 3999 grs</t>
  </si>
  <si>
    <t>4000  y  +  grs</t>
  </si>
  <si>
    <t xml:space="preserve"> ATENCION</t>
  </si>
  <si>
    <t xml:space="preserve"> PROF. DEL  PARTO</t>
  </si>
  <si>
    <t>PERFIL  ESTERILIZACION  FEMENINA  y MASCULINA  POR ESTABLECIMIENTOS  Y GRUPOS  DE EDAD</t>
  </si>
  <si>
    <t xml:space="preserve">SERVICIO DE SALUD  ACONCAGUA    </t>
  </si>
  <si>
    <t>HOSPITAL  SAN   FELIPE</t>
  </si>
  <si>
    <t>HOSPITAL  LOS ANDES</t>
  </si>
  <si>
    <t>HOSPITAL  LLAY  -  LLAY</t>
  </si>
  <si>
    <t>GRUPOS   DE  EDAD</t>
  </si>
  <si>
    <t>- 19  AÑOS</t>
  </si>
  <si>
    <t>20 - 34  AÑOS</t>
  </si>
  <si>
    <t>35 y +  AÑOS</t>
  </si>
  <si>
    <t>TOTAL  MASCULINA</t>
  </si>
  <si>
    <t xml:space="preserve"> CONSULTAS   Y  CONTROLES  POR  ESTABLECIMIENTOS Y PROFESIONALES</t>
  </si>
  <si>
    <t>PROGRAMA  INFANTIL  NIVEL  PRIMARIO</t>
  </si>
  <si>
    <t>MEDICO</t>
  </si>
  <si>
    <t>ENFERMERA</t>
  </si>
  <si>
    <t>MATRONA</t>
  </si>
  <si>
    <t>NUTRICIONISTA</t>
  </si>
  <si>
    <t>ASISTENTE SOCIAL</t>
  </si>
  <si>
    <t>AUXILIAR</t>
  </si>
  <si>
    <t xml:space="preserve">  LOS  ANDES</t>
  </si>
  <si>
    <t xml:space="preserve">  CALLE  LARGA</t>
  </si>
  <si>
    <t xml:space="preserve">  PROVINCIA    DE LOS   ANDES</t>
  </si>
  <si>
    <t xml:space="preserve">  SAN  FELIPE</t>
  </si>
  <si>
    <t xml:space="preserve"> HOSP. PSIQUIATRICO</t>
  </si>
  <si>
    <t xml:space="preserve">  LLAY  LLAY</t>
  </si>
  <si>
    <t xml:space="preserve">  PROVINCIA    DE  SAN  FELIPE</t>
  </si>
  <si>
    <t>PROGRAMA    ADOLESCENTE  NIVEL  PRIMARIO</t>
  </si>
  <si>
    <t>PROGRAMA    DE  LA  MUJER   NIVEL  PRIMARIO</t>
  </si>
  <si>
    <t>PROGRAMA    DEL  ADULTO   NIVEL  PRIMARIO</t>
  </si>
  <si>
    <t>PROGRAMA    DEL  ADULTO  MAYOR   NIVEL  PRIMARIO</t>
  </si>
  <si>
    <t>CONSOLIDADO   NIVEL  PRIMARIO</t>
  </si>
  <si>
    <t xml:space="preserve"> CONSULTAS   DE  PSICOLOGO   EN  EL  NIVEL  PRIMARIO  Y  SECUNDARIO
 SALUD  MENTAL      PSICODIAGNOSTICO Y  PSICOTERAPIA</t>
  </si>
  <si>
    <t>INFANTIL</t>
  </si>
  <si>
    <t>ADOLESCENTE</t>
  </si>
  <si>
    <t>ADULTO</t>
  </si>
  <si>
    <t>ADULTO MAYOR</t>
  </si>
  <si>
    <t xml:space="preserve"> HOSP. LOS  ANDES</t>
  </si>
  <si>
    <t xml:space="preserve"> CONSULTAS   MEDICAS  NIVEL  PRIMARIO   POR  PROGRAMA</t>
  </si>
  <si>
    <t>MATERNAL</t>
  </si>
  <si>
    <t>ADULTO  MAYOR</t>
  </si>
  <si>
    <t>SALUD  MENTAL</t>
  </si>
  <si>
    <t>CONS. IRA</t>
  </si>
  <si>
    <t xml:space="preserve"> CONS. Nº 1  (M)</t>
  </si>
  <si>
    <t xml:space="preserve"> CONS. Nº 2</t>
  </si>
  <si>
    <t xml:space="preserve"> CONS. S. ESTEBAN</t>
  </si>
  <si>
    <t xml:space="preserve"> CONS. CALLE  LARGA</t>
  </si>
  <si>
    <t xml:space="preserve"> CONS. RINCONADA</t>
  </si>
  <si>
    <t xml:space="preserve"> CONS. SAN FELIPE</t>
  </si>
  <si>
    <t xml:space="preserve"> CONS. SAN FELIPE N° 2</t>
  </si>
  <si>
    <t xml:space="preserve"> CONS. PUTAENDO</t>
  </si>
  <si>
    <t xml:space="preserve"> CONS. STA. MARIA</t>
  </si>
  <si>
    <t xml:space="preserve"> CONS. PANQUEHUE</t>
  </si>
  <si>
    <t xml:space="preserve"> CONS.  CATEMU</t>
  </si>
  <si>
    <t>NUMERO  DE  CONSULTAS    POR  ESTABLECIMIENTOS</t>
  </si>
  <si>
    <t>PROGRAMA  INFANTIL  NIVEL  SECUNDARIO</t>
  </si>
  <si>
    <t xml:space="preserve"> CONSULTAS  MEDICAS</t>
  </si>
  <si>
    <t xml:space="preserve"> ESPECIALIDAD</t>
  </si>
  <si>
    <t xml:space="preserve"> HOSP. SAN  FELIPE</t>
  </si>
  <si>
    <t xml:space="preserve"> HOSP. LLAY  LLAY</t>
  </si>
  <si>
    <t xml:space="preserve"> PEDIATRIA</t>
  </si>
  <si>
    <t xml:space="preserve"> MEDICINA INTERNA  </t>
  </si>
  <si>
    <t xml:space="preserve"> NEONATOLOGIA</t>
  </si>
  <si>
    <t xml:space="preserve"> BRONCOPULMONAR</t>
  </si>
  <si>
    <t xml:space="preserve"> CARDIOLOGIA</t>
  </si>
  <si>
    <t xml:space="preserve"> ENDOCRINOLOGIA</t>
  </si>
  <si>
    <t xml:space="preserve"> GASTROENTEROLOGIA</t>
  </si>
  <si>
    <t xml:space="preserve"> HEMATOLOGIA</t>
  </si>
  <si>
    <t xml:space="preserve"> NEFROLOGIA</t>
  </si>
  <si>
    <t xml:space="preserve"> REUMATOLOGIA</t>
  </si>
  <si>
    <t xml:space="preserve"> DERMATOLOGIA</t>
  </si>
  <si>
    <t xml:space="preserve"> ENFER. TRANS. SEXUAL</t>
  </si>
  <si>
    <t xml:space="preserve"> NEUROLOGIA</t>
  </si>
  <si>
    <t xml:space="preserve"> PSIQUIATRIA</t>
  </si>
  <si>
    <t xml:space="preserve"> CIRUGIA</t>
  </si>
  <si>
    <t xml:space="preserve"> CIRUGIA  MAMA</t>
  </si>
  <si>
    <t xml:space="preserve"> CIRUGIA  PLASTICA</t>
  </si>
  <si>
    <t xml:space="preserve"> NEUROCIRUGIA</t>
  </si>
  <si>
    <t xml:space="preserve"> OBSTETRICIA</t>
  </si>
  <si>
    <t xml:space="preserve"> GINECOLOGIA</t>
  </si>
  <si>
    <t xml:space="preserve"> OFTALMOLOGIA</t>
  </si>
  <si>
    <t xml:space="preserve"> OTORRINOLARINGOLOGIA</t>
  </si>
  <si>
    <t xml:space="preserve"> TRAUMATOLOGIA</t>
  </si>
  <si>
    <t xml:space="preserve"> UROLOGIA</t>
  </si>
  <si>
    <t xml:space="preserve"> MEDICINA FISICA Y REHABILITA.</t>
  </si>
  <si>
    <t xml:space="preserve">  OTRAS ATENCIONES  PROFESIONALES</t>
  </si>
  <si>
    <t xml:space="preserve">  ENFERMERA</t>
  </si>
  <si>
    <t xml:space="preserve">  MATRONA</t>
  </si>
  <si>
    <t xml:space="preserve">  NUTRICIONISTA</t>
  </si>
  <si>
    <t xml:space="preserve">  PSICOLOGOS</t>
  </si>
  <si>
    <t xml:space="preserve">  FONOAUDIOLOGO</t>
  </si>
  <si>
    <t xml:space="preserve">  KINESIOLOGO</t>
  </si>
  <si>
    <t xml:space="preserve"> TERAPEUTA OCUPACIONAL</t>
  </si>
  <si>
    <t xml:space="preserve"> TECNOLOGO  MEDICO</t>
  </si>
  <si>
    <t xml:space="preserve">  ASISTENTE  SOCIAL</t>
  </si>
  <si>
    <t>PROGRAMA  ADOLESCENTE  NIVEL  SECUNDARIO</t>
  </si>
  <si>
    <t>CARDIOLOGIA</t>
  </si>
  <si>
    <t>PROGRAMA  ADULTO  NIVEL  SECUNDARIO</t>
  </si>
  <si>
    <t>CONSULTORIO SAN FELIPE</t>
  </si>
  <si>
    <t>PROGRAMA  ADULTO  MAYOR  NIVEL  SECUNDARIO</t>
  </si>
  <si>
    <t>CONSOLIDADO  NIVEL  SECUNDARIO</t>
  </si>
  <si>
    <t>ESPECIALIDAD</t>
  </si>
  <si>
    <t>Nº 1</t>
  </si>
  <si>
    <t>Nº 2</t>
  </si>
  <si>
    <t xml:space="preserve"> CURIMON</t>
  </si>
  <si>
    <t xml:space="preserve"> SAN FELIPE N° 2</t>
  </si>
  <si>
    <t xml:space="preserve"> LLAILLAY</t>
  </si>
  <si>
    <t xml:space="preserve"> SANTA MARIA</t>
  </si>
  <si>
    <t>&lt; 15  años</t>
  </si>
  <si>
    <t>&gt; 15  años</t>
  </si>
  <si>
    <t>PediatrÍa</t>
  </si>
  <si>
    <t>Med. Interna</t>
  </si>
  <si>
    <t>Neonatologia</t>
  </si>
  <si>
    <t xml:space="preserve">Broncopulmonar </t>
  </si>
  <si>
    <t xml:space="preserve">Cardiología </t>
  </si>
  <si>
    <t xml:space="preserve">Endocrinología </t>
  </si>
  <si>
    <t xml:space="preserve">Gastroenterología </t>
  </si>
  <si>
    <t xml:space="preserve">Genetica </t>
  </si>
  <si>
    <t>Hematología</t>
  </si>
  <si>
    <t xml:space="preserve">Nefrología </t>
  </si>
  <si>
    <t xml:space="preserve">Nutricion </t>
  </si>
  <si>
    <t>Reumatología</t>
  </si>
  <si>
    <t xml:space="preserve">Dermatología </t>
  </si>
  <si>
    <t xml:space="preserve">Enf. Trasmisión Sexual </t>
  </si>
  <si>
    <t>Geriatría</t>
  </si>
  <si>
    <t xml:space="preserve">Med. Física y Rehabilit. </t>
  </si>
  <si>
    <t xml:space="preserve">Neurología </t>
  </si>
  <si>
    <t>Oncología Adulto</t>
  </si>
  <si>
    <t xml:space="preserve">Psiquiatría </t>
  </si>
  <si>
    <t>Infectologia</t>
  </si>
  <si>
    <t>Cirugía Infantil</t>
  </si>
  <si>
    <t>Cirugía Adulto</t>
  </si>
  <si>
    <t xml:space="preserve">Cirugía Abdominal </t>
  </si>
  <si>
    <t>Cirugía de Mamas</t>
  </si>
  <si>
    <t xml:space="preserve">Cirugía Maxilo Facial </t>
  </si>
  <si>
    <t>Cirugía Plástica</t>
  </si>
  <si>
    <t>Cirugía Proctológica</t>
  </si>
  <si>
    <t>Cirugía Tórax</t>
  </si>
  <si>
    <t>Cirugía Vascular Periférica</t>
  </si>
  <si>
    <t xml:space="preserve">Neurocirugía </t>
  </si>
  <si>
    <t xml:space="preserve">Cardiocirugía </t>
  </si>
  <si>
    <t>Anestesiología</t>
  </si>
  <si>
    <t xml:space="preserve">Obstetricia </t>
  </si>
  <si>
    <t xml:space="preserve">Ginecología </t>
  </si>
  <si>
    <t>Oftalmología</t>
  </si>
  <si>
    <t>Otorrinolaringología</t>
  </si>
  <si>
    <t>Salud  Ocupacional</t>
  </si>
  <si>
    <t xml:space="preserve">Traumatología </t>
  </si>
  <si>
    <t xml:space="preserve">Urología </t>
  </si>
  <si>
    <t>Medicina  Familiar</t>
  </si>
  <si>
    <t>Intercon
sultas APS</t>
  </si>
  <si>
    <t>TOTAL 
CONSULTAS</t>
  </si>
  <si>
    <t>PORCENTAJE  DE 
 COBERTURA</t>
  </si>
  <si>
    <t>APS</t>
  </si>
  <si>
    <t>CAE/CDT</t>
  </si>
  <si>
    <t>URGENCIA</t>
  </si>
  <si>
    <t>SERVICIO  DE  SALUD  ACONCAGUA</t>
  </si>
  <si>
    <t>PRESTACIONES</t>
  </si>
  <si>
    <t xml:space="preserve">PATOLOGIAS   GES </t>
  </si>
  <si>
    <t>PERSONAS
ATENDIDAS</t>
  </si>
  <si>
    <t>HOSP. 
SAN  CAMILO</t>
  </si>
  <si>
    <t>HOSP. 
LOS  ANDES</t>
  </si>
  <si>
    <t>HOSP. 
LLAY LLAY</t>
  </si>
  <si>
    <t>HOSP. 
PSIQUIATRICO</t>
  </si>
  <si>
    <t>HOSP. 
PUTAENDO</t>
  </si>
  <si>
    <t>01.- INSUFICIENCIA RENAL CRONICA TERMINAL</t>
  </si>
  <si>
    <t>02.- CARDIOPATÍAS CONGÉNITAS OPERABLES en menores de 15 años</t>
  </si>
  <si>
    <t>03.- CANCER CERVICOUTERINO</t>
  </si>
  <si>
    <t>04.- CUIDADOS PALIATIVOS CÁNCER TERMINAL</t>
  </si>
  <si>
    <t>05.- INFARTO AGUDO DEL MIOCARDIO IAM</t>
  </si>
  <si>
    <t>06.- DIABETES MELLITUS TIPO 1</t>
  </si>
  <si>
    <t>07.- DIABETES MELLITUS TIPO 2</t>
  </si>
  <si>
    <t>08.- CÁNCER DE MAMA en personas de 15 años y más</t>
  </si>
  <si>
    <t>09.- DISRAFIAS ESPINALES</t>
  </si>
  <si>
    <t>10.- ESCOLIOSIS (trat. quirúrgico en menores de 25 años)</t>
  </si>
  <si>
    <t>11.- CATARATAS que requieren trat. Quirúrgico</t>
  </si>
  <si>
    <t>12.- PROBLEMAS DE SALUD QUE REQUIEREN PRÓTESIS DE CADERA TOTAL</t>
  </si>
  <si>
    <t>13.- FISURA LABIOPALATINA</t>
  </si>
  <si>
    <t>14.- CÁNCER en menores de 15 años</t>
  </si>
  <si>
    <t>15.- ESQUIZOFRENIA</t>
  </si>
  <si>
    <t>16.- CANCER TESTÍCULO en personas de 15 años y más</t>
  </si>
  <si>
    <t>17.- LINFOMAS en personas de 15 años y más</t>
  </si>
  <si>
    <t>18.- VIH (Tratamiento triterapia)</t>
  </si>
  <si>
    <t>19.- INFECCIÓN RESPIRATORIA  AGUDA</t>
  </si>
  <si>
    <t>20.- NEUMONIA</t>
  </si>
  <si>
    <t>21.- HIPERTENSIÓN ARTERIAL ESENCIAL</t>
  </si>
  <si>
    <t>22.- EPILEPSIA  NO  REFRACTARIA</t>
  </si>
  <si>
    <t>23.- SALUD  ORAL</t>
  </si>
  <si>
    <t xml:space="preserve">24.- PREMATUREZ (Displasia Broncopulmonar) </t>
  </si>
  <si>
    <t xml:space="preserve">24.- PREMATUREZ (Hipoacusia) </t>
  </si>
  <si>
    <t xml:space="preserve">24.- PREMATUREZ (Prevención parto prematuro) </t>
  </si>
  <si>
    <t xml:space="preserve">24.- PREMATUREZ (Retinopatía) </t>
  </si>
  <si>
    <t>25.- TRASTORNOS DE CONDUCCIÓN: MARCAPASO en personas 15ay más</t>
  </si>
  <si>
    <t>26.- COLECISTECTOMIA PREVENTIVA CANCER VESICULA (35 a 49 años sintomáticos)</t>
  </si>
  <si>
    <t xml:space="preserve"> CIRUGIA MAXILO FACIAL </t>
  </si>
  <si>
    <t>27.- CANCER GÁSTRICO</t>
  </si>
  <si>
    <t>28.- CANCER DE PRÓSTATA en personas de 15 años y más</t>
  </si>
  <si>
    <t>29.- VICIOS DE REFRACCION en personas de 65 años y más</t>
  </si>
  <si>
    <t>30.- ESTRABISMO en menores de 9 años</t>
  </si>
  <si>
    <t>31.- RETINOPATIA DIABETICA</t>
  </si>
  <si>
    <t>32.- DESPRENDIMIENTO DE RETINA REGMATOGENO NO TRAUMATICO</t>
  </si>
  <si>
    <t>33.- HEMOFILIA</t>
  </si>
  <si>
    <t>34.- DEPRESION en personas de 15 años y más</t>
  </si>
  <si>
    <t>35.- TTO. QUIRURGICO DE LA HIPERPLASIA BENIGNA  PROSTATA en personas sintomáticas</t>
  </si>
  <si>
    <t>36.- ORTESIS para personas de 65 años y más</t>
  </si>
  <si>
    <t>37.- ACCIDENTE CEREBROVASCULAR ISQUEMICO  (15 años y más)</t>
  </si>
  <si>
    <t>38.- ENF. PULMONAR OBSTRUCTIVA CRONICA DE TRAT. AMBULATORIO</t>
  </si>
  <si>
    <t>39.- ASMA BRONQUIAL MODERADA Y SEVERA en menores de 15 años</t>
  </si>
  <si>
    <t>40.- SINDROME DIFICULTAD RESPIRATORIA EN EL RECIEN NACIDO</t>
  </si>
  <si>
    <t>41.- TRAT.MÉDICO EN PERSONAS DE 55 AÑOS Y MÁS CON ARTROSIS DE
       CADERA Y/O RODILLA, LEVE O MODERADA</t>
  </si>
  <si>
    <t>42.- HEMORRAGIA SUBARACNOIDEA SECUNDARIA A RUPTURA DE 
       ANEURISMAS CEREBRALES</t>
  </si>
  <si>
    <t>43.- TRATAMIENTO QUIRURGICO TUMORES PRIMARIOS DEL SISTEMA
       NERVIOSO CENTRAL EN PERSONAS DE 15 AÑOS Y MÁS</t>
  </si>
  <si>
    <t>44.- HERNIA NUCLEO PULPOSO LUMBAR</t>
  </si>
  <si>
    <t>45.- LEUCEMIA EN PERSONAS DE 15 AÑOS Y MÁS</t>
  </si>
  <si>
    <t>46.- URGENCIAS ODONTOLÓGICOS AMBULATORIAS</t>
  </si>
  <si>
    <t>47.- ATENCIÓN ODONTOLÓGICA EN PERSONAS DE 60 AÑOS</t>
  </si>
  <si>
    <t>48.- POLITRAUMATIZADO GRAVE CON LESION MEDULAR</t>
  </si>
  <si>
    <t>48.- POLITRAUMATIZADO GRAVE SIN LESION MEDULAR</t>
  </si>
  <si>
    <t>49.- ATENCIÓN DE URGENCIA DEL TRAUMATISMO CRÁNEO ENCEFÁLICO 
       MODERADO O GRAVE</t>
  </si>
  <si>
    <t>50.- TRAUMA OCULAR GRAVE</t>
  </si>
  <si>
    <t>51.- FIBROSIS QUÍSTICA</t>
  </si>
  <si>
    <t>52.- ARTRITIS REUMATOIDEA</t>
  </si>
  <si>
    <t>53.- CONSUMO PERJUDICIAL Y DEPENDENCIA DE ALCOHOL Y DROGAS EN
       MENORES DE 20 AÑOS</t>
  </si>
  <si>
    <t>54.- ANALGESIA DEL PARTO</t>
  </si>
  <si>
    <t>55.- GRAN QUEMADO</t>
  </si>
  <si>
    <t>56.- HIPOACUSIA BILATERAL EN PERSONAS DE 65 AÑOS Y MÁS QUE
       REQUIEREN USO DE AUDÍFONO</t>
  </si>
  <si>
    <t xml:space="preserve">  ESTABLECIMIENTOS</t>
  </si>
  <si>
    <t>RECLAMOS
RECIBIDOS</t>
  </si>
  <si>
    <t>SUGERENCIAS
RECIBIDAS</t>
  </si>
  <si>
    <t>FELICITACIONES
RECIBIDAS</t>
  </si>
  <si>
    <t>RECLAMOS
RESPONDIDOS  N° y  %</t>
  </si>
  <si>
    <t xml:space="preserve"> Hospital Los Andes</t>
  </si>
  <si>
    <t xml:space="preserve"> CES Cordillera</t>
  </si>
  <si>
    <t xml:space="preserve"> CES Centenario</t>
  </si>
  <si>
    <t xml:space="preserve"> Consultorio San Esteban</t>
  </si>
  <si>
    <t xml:space="preserve"> Consultorio Calle Larga</t>
  </si>
  <si>
    <t xml:space="preserve"> Consultorio Rinconada</t>
  </si>
  <si>
    <t xml:space="preserve"> Hospital San Camilo</t>
  </si>
  <si>
    <t xml:space="preserve"> Consultorio San Felipe</t>
  </si>
  <si>
    <t xml:space="preserve"> Consultorio San Felipe n° 2</t>
  </si>
  <si>
    <t xml:space="preserve"> Consultorio Curimon</t>
  </si>
  <si>
    <t xml:space="preserve"> Hospital Putaendo</t>
  </si>
  <si>
    <t xml:space="preserve"> Consultorio de Putaendo</t>
  </si>
  <si>
    <t xml:space="preserve"> Hospital PSiquiatrico</t>
  </si>
  <si>
    <t xml:space="preserve"> Consultorio de Santa Maria</t>
  </si>
  <si>
    <t xml:space="preserve"> Consultorio de Panquehue</t>
  </si>
  <si>
    <t xml:space="preserve"> Consultorio de Llay Llay</t>
  </si>
  <si>
    <t xml:space="preserve"> Consultorio de Catemu</t>
  </si>
  <si>
    <t xml:space="preserve"> CONSULTAS   MEDICAS  NIVEL PRIMARIO  POR  ESTABLECIMIENTOS</t>
  </si>
  <si>
    <t>Población</t>
  </si>
  <si>
    <t>Ssalud</t>
  </si>
  <si>
    <t>Los  Andes</t>
  </si>
  <si>
    <t>san  esteban</t>
  </si>
  <si>
    <t>Calle  larga</t>
  </si>
  <si>
    <t>Prov.Los  andes</t>
  </si>
  <si>
    <t xml:space="preserve"> CONS. L.A. Nº 1  (M)</t>
  </si>
  <si>
    <t>san Felipe</t>
  </si>
  <si>
    <t xml:space="preserve"> CONS. L.A. Nº 2</t>
  </si>
  <si>
    <t>Sta. Maria</t>
  </si>
  <si>
    <t xml:space="preserve"> CONS. CALLE  LAR.</t>
  </si>
  <si>
    <t>llay llay</t>
  </si>
  <si>
    <t>catemu</t>
  </si>
  <si>
    <t>Prov.San felipe</t>
  </si>
  <si>
    <t xml:space="preserve">  PROVINCIA    DE SAN  FELIPE</t>
  </si>
  <si>
    <t>TASA  CONSULTA   MEDICO  HABITANTE  AÑO NIVEL PRIMARIO</t>
  </si>
  <si>
    <t>SEGÚN  COMUNA</t>
  </si>
  <si>
    <t xml:space="preserve"> PROGRAMA NACIONAL DE ALIMENTACION COMPLEMENTARIA</t>
  </si>
  <si>
    <t xml:space="preserve"> DISTRIBUCION  DE ALIMENTOS</t>
  </si>
  <si>
    <t>SUB-PROGRAMA</t>
  </si>
  <si>
    <t>ALIMENTOS</t>
  </si>
  <si>
    <t xml:space="preserve">  LECHE 26%</t>
  </si>
  <si>
    <t xml:space="preserve">   BASICO</t>
  </si>
  <si>
    <t xml:space="preserve">  L. CEREAL</t>
  </si>
  <si>
    <t xml:space="preserve"> PURITA MAMA</t>
  </si>
  <si>
    <t xml:space="preserve"> SUB-TOTAL</t>
  </si>
  <si>
    <t xml:space="preserve">   REFUERZO </t>
  </si>
  <si>
    <t xml:space="preserve">  MI  SOPITA</t>
  </si>
  <si>
    <t xml:space="preserve">  SUB-TOTAL</t>
  </si>
  <si>
    <t xml:space="preserve">   CON  RIESGO</t>
  </si>
  <si>
    <t xml:space="preserve">  TOTAL</t>
  </si>
  <si>
    <t>POBLACION</t>
  </si>
  <si>
    <t>PACAM</t>
  </si>
  <si>
    <t>LEPTOSPIROSIS</t>
  </si>
  <si>
    <t xml:space="preserve"> ECOGRAFIAS OBSTETRICAS</t>
  </si>
  <si>
    <t xml:space="preserve"> ECOTOMOGRAFIAS  ABDOMINAL</t>
  </si>
  <si>
    <t xml:space="preserve"> TOTAL  EMPA  TOMADOS   POR  SEXO   COMUNAS  Y  ESTABLECIMIENTOS</t>
  </si>
  <si>
    <t xml:space="preserve">  COMUNAS</t>
  </si>
  <si>
    <t xml:space="preserve">CONSULTORIO </t>
  </si>
  <si>
    <t xml:space="preserve">Total  Empa
</t>
  </si>
  <si>
    <t xml:space="preserve">Pob.  Usuaria
</t>
  </si>
  <si>
    <t>Cobertura 
Pob.  Usuaria</t>
  </si>
  <si>
    <t>HOMBRES</t>
  </si>
  <si>
    <t>MUJERES</t>
  </si>
  <si>
    <t>VIGENTES</t>
  </si>
  <si>
    <t>20 - 64 AÑOS</t>
  </si>
  <si>
    <t xml:space="preserve"> PACIENTES    BAJO  CONTROL  SEGÚN  PATOLOGIA  DE  SALUD  MENTAL  </t>
  </si>
  <si>
    <t xml:space="preserve"> PATOLOGIA</t>
  </si>
  <si>
    <t>CONSULTORIOS</t>
  </si>
  <si>
    <t xml:space="preserve">Hosp. </t>
  </si>
  <si>
    <t xml:space="preserve">SAN 
ESTEBAN </t>
  </si>
  <si>
    <t xml:space="preserve">CALLE 
LARGA </t>
  </si>
  <si>
    <t>Psiquiatrico</t>
  </si>
  <si>
    <t>VIOLENCIA   HACIA EL ADULTO MAYOR</t>
  </si>
  <si>
    <t>ABUSO SEXUAL</t>
  </si>
  <si>
    <t>DEPRESIÓN POST PARTO</t>
  </si>
  <si>
    <t>TRASTORNO BIPOLAR</t>
  </si>
  <si>
    <t>CONSUMO RIESGOSO DE DROGAS</t>
  </si>
  <si>
    <t>DEPRESIÓN LEVE</t>
  </si>
  <si>
    <t>DEPRESIÓN MODERADA</t>
  </si>
  <si>
    <t>DEPRESIÓN GRAVE</t>
  </si>
  <si>
    <t>NÚMERO DE PACIENTES EN CONTROL
 EN EL PROGRAMA</t>
  </si>
  <si>
    <t>CECOF
SAN.FELIPE</t>
  </si>
  <si>
    <t xml:space="preserve"> CESFAM  LLAY  LLAY</t>
  </si>
  <si>
    <t>INTERCONSULTAS</t>
  </si>
  <si>
    <t>RESOLUTIVIDAD</t>
  </si>
  <si>
    <t>ODONTOLOGO</t>
  </si>
  <si>
    <t>CONSULTAS</t>
  </si>
  <si>
    <t>CONSULTAS *</t>
  </si>
  <si>
    <t>Nota: Consultas * =  Primeras consultas  mas consultas  urgencia</t>
  </si>
  <si>
    <t>INTERCONSULTAS /
cons. NUEVAS APS</t>
  </si>
  <si>
    <t>CONSULTAS NUEVAS/TOTAL CONS.</t>
  </si>
  <si>
    <t xml:space="preserve"> CECOF  S. ESTEBAN</t>
  </si>
  <si>
    <t xml:space="preserve"> CECOF  CATEMU</t>
  </si>
  <si>
    <t xml:space="preserve">Número de mujeres fallecidas ,ocurrida después  de los  42 días  pero antes  de  
un  año de  la  terminación  del embarazo    por cada  1.000 nacidos  vivos.  </t>
  </si>
  <si>
    <t xml:space="preserve">RESONANCIA MAGNÉTICA </t>
  </si>
  <si>
    <t>QUIMICO FARMACEUTICO</t>
  </si>
  <si>
    <t>FETO Y RN ENF. INFEC. Y PAR  MADRE</t>
  </si>
  <si>
    <t xml:space="preserve"> CECOF LO  CALVO</t>
  </si>
  <si>
    <t xml:space="preserve"> CECOF CATEMU</t>
  </si>
  <si>
    <t xml:space="preserve"> KINESIOLOGO</t>
  </si>
  <si>
    <t>TRASTORNOS CONDUCTUALES ASOCIADOS A DEMENCIA</t>
  </si>
  <si>
    <t xml:space="preserve"> POSTAS S. ESTEBAN</t>
  </si>
  <si>
    <t xml:space="preserve"> POSTAS  L.A. Nº 1 (M)</t>
  </si>
  <si>
    <t xml:space="preserve"> POSTA CALLE LARGA</t>
  </si>
  <si>
    <t xml:space="preserve"> POSTAS  PUTAENDO</t>
  </si>
  <si>
    <t xml:space="preserve"> POSTAS  STA. MARIA</t>
  </si>
  <si>
    <t>Número de partos dividido por población femenina de 15 a 49 años</t>
  </si>
  <si>
    <t xml:space="preserve">CECOF
ESTEBAN </t>
  </si>
  <si>
    <t>SOLICITUDES</t>
  </si>
  <si>
    <t>SOLICITUDES
LEY 20285</t>
  </si>
  <si>
    <t xml:space="preserve"> POSTA RIO BLANCO</t>
  </si>
  <si>
    <t xml:space="preserve"> CECOF. ESTEBAN</t>
  </si>
  <si>
    <t xml:space="preserve"> POSTAS  S. ESTEBAN</t>
  </si>
  <si>
    <t xml:space="preserve"> PRAIS</t>
  </si>
  <si>
    <t xml:space="preserve"> POSTAS  CALLE LARGA</t>
  </si>
  <si>
    <t xml:space="preserve"> CECOF S. ESTEBAN</t>
  </si>
  <si>
    <t>PRAIS</t>
  </si>
  <si>
    <t>CONS. LOS ANDES N°1 MUNICIPAL</t>
  </si>
  <si>
    <t>Fuente  :  INE 2002</t>
  </si>
  <si>
    <t>Nota: *  Proyección  Censo  2002</t>
  </si>
  <si>
    <t xml:space="preserve">        TASA        POR  1.000  hab.</t>
  </si>
  <si>
    <t>Endodoncia</t>
  </si>
  <si>
    <t>Rehabilitación Oral</t>
  </si>
  <si>
    <t>Rehabilitación Oral  Fija</t>
  </si>
  <si>
    <t>Cirugía Bucal y Traumatología Máxilo Facial</t>
  </si>
  <si>
    <t>Odontopediatría</t>
  </si>
  <si>
    <t>Ortodoncia</t>
  </si>
  <si>
    <t>Periodoncia</t>
  </si>
  <si>
    <t>Trastornos Temporo mandibulares</t>
  </si>
  <si>
    <t>ODONTOLOGIA</t>
  </si>
  <si>
    <t xml:space="preserve"> CECOF S. FELIPE </t>
  </si>
  <si>
    <t>70.- Cáncer de colon o colorectal en personas de 15 años y más</t>
  </si>
  <si>
    <t>71.- Cancer de ovario epitelial en personas de 15 años y más</t>
  </si>
  <si>
    <t>73.- Osteosarcoma en personas de 15 años y más</t>
  </si>
  <si>
    <t>75.- Trastorno bipolar en personas de 15 años y más</t>
  </si>
  <si>
    <t>76.- Hipotiroidismo mayores de 15 años</t>
  </si>
  <si>
    <t>Depto. de Salud de la Municipalidad de san felipe</t>
  </si>
  <si>
    <t>CECOF
LOS ANDES</t>
  </si>
  <si>
    <t>CECOF
CATEMU</t>
  </si>
  <si>
    <t>CATEGORIZACION</t>
  </si>
  <si>
    <t>C1</t>
  </si>
  <si>
    <t>C2</t>
  </si>
  <si>
    <t>C3</t>
  </si>
  <si>
    <t>C4</t>
  </si>
  <si>
    <t>C5</t>
  </si>
  <si>
    <t>SIN CATEG.</t>
  </si>
  <si>
    <t>CONS. SUR
MUNICIPALES</t>
  </si>
  <si>
    <t>BEBIDA LACTEA</t>
  </si>
  <si>
    <t xml:space="preserve"> PROGRAMA ADULTO  MAYOR  KILOS  DISTRIBUIDOS</t>
  </si>
  <si>
    <t>S.  REHABILITACION</t>
  </si>
  <si>
    <t>Imagenología Oral y Maxilofacial</t>
  </si>
  <si>
    <t>Patología Oral</t>
  </si>
  <si>
    <t>Implantología Buco Maxilofacial</t>
  </si>
  <si>
    <t xml:space="preserve">Cirugía de Mamas con Patologia </t>
  </si>
  <si>
    <t>Ginecología con Pat. Cerv</t>
  </si>
  <si>
    <t>Ginecología Infertilidad</t>
  </si>
  <si>
    <t>Ginecología  Infertilidad</t>
  </si>
  <si>
    <t>CONSULTAS NUEVAS APS/TOTAL CONS.</t>
  </si>
  <si>
    <t>SERVICIO  DE SALUD   ACONCAGUA</t>
  </si>
  <si>
    <t xml:space="preserve"> U.T.I. PEDIATRIA</t>
  </si>
  <si>
    <t>Nota: no  incluye menor de 1 mes</t>
  </si>
  <si>
    <t>0 - &lt;7d</t>
  </si>
  <si>
    <t>CODIGO</t>
  </si>
  <si>
    <t>AREAS</t>
  </si>
  <si>
    <t xml:space="preserve"> AREA MED.Q-BASICA</t>
  </si>
  <si>
    <t xml:space="preserve"> AREA MED. QUIR. MED</t>
  </si>
  <si>
    <t xml:space="preserve"> PEDIATRIA BASICA</t>
  </si>
  <si>
    <t xml:space="preserve"> A.M.QUIR.PED. BAS.</t>
  </si>
  <si>
    <t xml:space="preserve"> HOSP. PUTAENDO</t>
  </si>
  <si>
    <t>Nota: 2010 Hospital redujo  camas  por  el  sismo</t>
  </si>
  <si>
    <t>Nota: Categorización  NO  incluye  urgencias  Obstetricas</t>
  </si>
  <si>
    <t xml:space="preserve">Tasa de Letalidad               = </t>
  </si>
  <si>
    <t>Pobl. según País , Región , Serv. Salud y Comunas 2006 - 2015............</t>
  </si>
  <si>
    <t>Pobl. Total Serv. Salud según localidad y grupos  etáreos  2015.............</t>
  </si>
  <si>
    <t>Pobl. Femenina  Serv. Salud   2015........................................................</t>
  </si>
  <si>
    <t>Crecimiento vegetativo  Servicio de Salud y Comunas  2006 - 2015.........</t>
  </si>
  <si>
    <t>Dotación servicio de  Salud  Diciembre  2015 ............................................</t>
  </si>
  <si>
    <t>Dotación Funcionarios Municipales  Diciembre  2015 ............................................</t>
  </si>
  <si>
    <t>Natalidad según País , Región y Comunas 2006 - 2015 .........................</t>
  </si>
  <si>
    <t>Mort. Fetal según País , Región y Comunas 2006 - 2015........................</t>
  </si>
  <si>
    <t>Mort. Perinatal según País , Región y Comunas 2006 - 2015..................</t>
  </si>
  <si>
    <t>Mort. Neo-Precóz según País , Región y Comunas 2006 - 2015..............</t>
  </si>
  <si>
    <t>Mort. Neonatal según País , Región y Comunas 2006 - 2015..................</t>
  </si>
  <si>
    <t>Mort. Inf.  Tardía según País , Región y Comunas 2006 - 2015................</t>
  </si>
  <si>
    <t>Mort. Infantil según País , Región y Comunas 2006 - 2015......................</t>
  </si>
  <si>
    <t>Mort. Materna según País , Región y Comunas 2006 - 2015....................</t>
  </si>
  <si>
    <t>Mort. General según País , Región y Comunas 2006 - 2015...................</t>
  </si>
  <si>
    <t>Años  de  vida  Potencialmente  perdidos AVPP año  2015....................</t>
  </si>
  <si>
    <t>Índice consulta  urgencia  2011 a 2015 .................................................</t>
  </si>
  <si>
    <t>AÑOS   2006  - 2015</t>
  </si>
  <si>
    <t>2009 - 2015</t>
  </si>
  <si>
    <t>AÑO   2015  :   DATOS POR OCURRENCIA   (Provisorios)</t>
  </si>
  <si>
    <t>SERVICIO DE SALUD   ACONCAGUA   2015</t>
  </si>
  <si>
    <t>TENDENCIA   DEFUNCIONES POR GRUPO DE CAUSAS</t>
  </si>
  <si>
    <t>SERVICIO DE SALUD   ACONCAGUA  2015</t>
  </si>
  <si>
    <t>TASA   DEFUNCIONES POR GRUPO DE CAUSAS</t>
  </si>
  <si>
    <t>DICIEMBRE    2015</t>
  </si>
  <si>
    <t>VARIACION     DICIEMBRE    2014    -     2015</t>
  </si>
  <si>
    <t>2006  -  2015</t>
  </si>
  <si>
    <t>ACTOS   QUIRURGICOS  Y MISCELANEAS  POR ESTABLECIMIENTOS  2014  -  2015</t>
  </si>
  <si>
    <t>EXA. DE DIAGNOSTICO  Y  PROCEDIMIENTOS  POR  ESTABLECIMIENTOS   2014 -  2015</t>
  </si>
  <si>
    <t>2006  - 2015</t>
  </si>
  <si>
    <t>SEGUN    ESTABLECIMIENTOS    2015</t>
  </si>
  <si>
    <t>2011 -  2015</t>
  </si>
  <si>
    <t>SERVICIO SALUD  ACONCAGUA   2015</t>
  </si>
  <si>
    <t>2010  -  2015</t>
  </si>
  <si>
    <t>2010 - 2015</t>
  </si>
  <si>
    <t>2012 - 2015</t>
  </si>
  <si>
    <t>CATEG_A1</t>
  </si>
  <si>
    <t>CATEG_A2</t>
  </si>
  <si>
    <t>CATEG_A3</t>
  </si>
  <si>
    <t>CATEG_B1</t>
  </si>
  <si>
    <t>CATEG_B2</t>
  </si>
  <si>
    <t>CATEG_B3</t>
  </si>
  <si>
    <t>CATEG_C1</t>
  </si>
  <si>
    <t>CATEG_C2</t>
  </si>
  <si>
    <t>CATEG_C3</t>
  </si>
  <si>
    <t>CATEG_D1</t>
  </si>
  <si>
    <t>CATEG_D2</t>
  </si>
  <si>
    <t>CATEG_D3</t>
  </si>
  <si>
    <t> 403 - ÁREA MÉDICA QUIRURGICO</t>
  </si>
  <si>
    <t> 409 - PEDIATRÍA INDIFERENCIADA</t>
  </si>
  <si>
    <t> 413 - NEONATOLOGÍA CUNAS</t>
  </si>
  <si>
    <t> 416 - OBSTETRICIA Y GINECOLOGÍA</t>
  </si>
  <si>
    <t> 405 - UNIDAD DE CUIDADOS INTENSIVOS     (UCI) ADULTO</t>
  </si>
  <si>
    <t> 406 - UNIDAD DE TRATAMIENTO INTERMEDIO
              (UTI) INDIFERENCIADO</t>
  </si>
  <si>
    <t>415 - UNIDAD DE TRATAMIENTO INTERMEDIO
              (UTI) NEONATOLOGÍA</t>
  </si>
  <si>
    <t>412 - UNIDAD DE TRATAMIENTO INTERMEDIO (UTI)
          PEDIATRÍA</t>
  </si>
  <si>
    <t> 414 - UNIDAD DE CUIDADOS INTENSIVOS (UCI) 
           NEONATOLOGÍA</t>
  </si>
  <si>
    <t> 404 - ÁREA MÉDICA QUIRURGICA  MEDIOS</t>
  </si>
  <si>
    <t> 407 - PEDIATRÍA INDIFERENCIADA</t>
  </si>
  <si>
    <t> 413 - NEONATOLOGÍA INCUBADORA</t>
  </si>
  <si>
    <t>SERVICIOS  CLINICOS</t>
  </si>
  <si>
    <t>Es  la  proporción de personas que  mueren  por  una  enfermedad entre  los 
afectados por  la  misma en  un  periodo y  área determinada.</t>
  </si>
  <si>
    <t> 406 - UNIDAD DE TRATAMIENTO 
            INTERMEDIO (UTI) INDIFERENCIADO</t>
  </si>
  <si>
    <t>Categorizado</t>
  </si>
  <si>
    <t xml:space="preserve">Ocupado </t>
  </si>
  <si>
    <t>Categorizados  D2-D3</t>
  </si>
  <si>
    <t>AÑO 2015</t>
  </si>
  <si>
    <t>2010 -  2015</t>
  </si>
  <si>
    <t xml:space="preserve">Tasa de Mortalidad Materna  Tardia   =  </t>
  </si>
  <si>
    <r>
      <t xml:space="preserve">Tasa de Mortalidad Infantil Tardía   </t>
    </r>
    <r>
      <rPr>
        <sz val="10"/>
        <rFont val="Arial"/>
        <family val="2"/>
      </rPr>
      <t xml:space="preserve">  =  </t>
    </r>
  </si>
  <si>
    <t>INTERCONSULTAS  MEDICAS  Y  ODONTOLOGICAS  GENERADAS  EN  ATENCION  PRIMARIA    2015</t>
  </si>
  <si>
    <t>INTERCONSULTAS  APS DERIVADAS AL NIVEL SECUNDARIO  Y  CONSULTAS  NUEVAS    ATENDIDAS  2015</t>
  </si>
  <si>
    <t>RESOLUTIVIDAD   ATENCIÓN  MEDICA  Y  ODONTOLOGICA
                  EN      ATENCION   PRIMARIA   2015</t>
  </si>
  <si>
    <t>PERSONAS   ATENDIDAS  Y  PRESTACIONES  GES      2015</t>
  </si>
  <si>
    <t xml:space="preserve">       REGISTRO DE ATENCIONES OIRS  AÑO 2015</t>
  </si>
  <si>
    <t>CONSULTAS  NUEVAS 2014</t>
  </si>
  <si>
    <t>CONSULTAS  NUEVAS 2015</t>
  </si>
  <si>
    <t>Los Andes  M</t>
  </si>
  <si>
    <t>Los Andes M</t>
  </si>
  <si>
    <t>SAN FELIPE EL REAL</t>
  </si>
  <si>
    <t>SEGISMUNDO ITURRA</t>
  </si>
  <si>
    <t>CORDILLERA ANDINA</t>
  </si>
  <si>
    <t>CENTENARIO</t>
  </si>
  <si>
    <t>TENDENCIA  ENFERMEDADES  TRANSMISIBLES</t>
  </si>
  <si>
    <t>C.SEGISMUNDO ITURRA</t>
  </si>
  <si>
    <t>C.SAN FELIPE EL  REAL</t>
  </si>
  <si>
    <t>CORDILLERA  ANDINA</t>
  </si>
  <si>
    <t>SERVICIO DE SALUD   ACONCAGUA    2015</t>
  </si>
  <si>
    <t xml:space="preserve"> CESFAM  CENTENARIO</t>
  </si>
  <si>
    <t xml:space="preserve"> CESFAM  C. ANDINA</t>
  </si>
  <si>
    <t>CESFAM CALLE  LARGA</t>
  </si>
  <si>
    <t>CESFAM RINCONADA</t>
  </si>
  <si>
    <t xml:space="preserve"> CESFAM CURIMON</t>
  </si>
  <si>
    <t xml:space="preserve"> CESFAM PUTAENDO</t>
  </si>
  <si>
    <t>CESFAM STA. MARIA</t>
  </si>
  <si>
    <t>CESFAM PANQUEHUE</t>
  </si>
  <si>
    <t xml:space="preserve"> CESFAM LLAY  LLAY</t>
  </si>
  <si>
    <t>CESFAM  CATEMU</t>
  </si>
  <si>
    <t>CESFAM S. ITURRA</t>
  </si>
  <si>
    <t xml:space="preserve"> CESFAM S. FELIPE EL REAL</t>
  </si>
  <si>
    <t>CESFAM S. ESTEBAN</t>
  </si>
  <si>
    <t>SGISMUNDO
ITURRA</t>
  </si>
  <si>
    <t>SAN FELIPE
EL REAL</t>
  </si>
  <si>
    <t>CESFAM
CENTENARIO</t>
  </si>
  <si>
    <t>Fuente   :  REM  P  de  dicembre 2015</t>
  </si>
  <si>
    <t>OTROS TRASTORNOS DEL COMPORTAMIENTO Y DE LAS EMOCIONES DE COMIENZO HABITUAL EN LA INFANCIA Y ADOLESCENCIA</t>
  </si>
  <si>
    <t>TRASTORNO DE ANSIEDAD DE SEPARACIÓN EN LA INFANCIA</t>
  </si>
  <si>
    <t>TRASTORNO DISOCIAL DESAFIANTE Y OPOSICIONISTA</t>
  </si>
  <si>
    <t>TRASTORNO HIPERCINÉTICO</t>
  </si>
  <si>
    <t>CONSUMO PERJUDICIAL O DEPENDENCIA DE DROGAS</t>
  </si>
  <si>
    <t>CONSUMO PERJUDICIAL O DEPENDENCIA COMO DROGA PRINCIPAL</t>
  </si>
  <si>
    <t xml:space="preserve">MALTRATO DE NIÑOS, NIÑAS Y ADOLESCENTES </t>
  </si>
  <si>
    <t>CONSUMO BAJO  RIESGO DE  ALCOHOL</t>
  </si>
  <si>
    <t>CONSUMO RIESGOSO DE ALCOHOL</t>
  </si>
  <si>
    <t>CESFAM CENTENARIO</t>
  </si>
  <si>
    <t>CESFAM CORDILLERA</t>
  </si>
  <si>
    <t>15 a 19</t>
  </si>
  <si>
    <t>20 a 24</t>
  </si>
  <si>
    <t>25 a 29</t>
  </si>
  <si>
    <t>30 a 34</t>
  </si>
  <si>
    <t>35 a 39</t>
  </si>
  <si>
    <t>40 a 44</t>
  </si>
  <si>
    <t>45 a 49</t>
  </si>
  <si>
    <t>50 a 54</t>
  </si>
  <si>
    <t>55 a 59</t>
  </si>
  <si>
    <t>60 a 64</t>
  </si>
  <si>
    <t>65 a 69</t>
  </si>
  <si>
    <t>70 a 74</t>
  </si>
  <si>
    <t>75 a 79</t>
  </si>
  <si>
    <t>80 y más</t>
  </si>
  <si>
    <t>HOSP.   PUTAENDO</t>
  </si>
  <si>
    <t>INCREMENTO  CONSULTAS  NUEVAS  2014 - 2015</t>
  </si>
  <si>
    <t xml:space="preserve"> CIRUGIA  INFANTIL</t>
  </si>
  <si>
    <t>Ginecología  Patología Cervical</t>
  </si>
  <si>
    <t xml:space="preserve"> CIRUGIA </t>
  </si>
  <si>
    <t xml:space="preserve"> HOSP.PSIQUIATRICO</t>
  </si>
  <si>
    <t xml:space="preserve"> CESFAM CENTENARIO</t>
  </si>
  <si>
    <t xml:space="preserve"> CESFAM C. ANDINA</t>
  </si>
  <si>
    <t xml:space="preserve"> CESFAM  S. ITURRA</t>
  </si>
  <si>
    <t xml:space="preserve"> CONS. S. FELIPE EL REAL</t>
  </si>
  <si>
    <t xml:space="preserve"> CESFAM CORDILLERA</t>
  </si>
  <si>
    <t>HIPERTENSOS</t>
  </si>
  <si>
    <t>DIABETICOS</t>
  </si>
  <si>
    <t>DISLIPIDEMICOS</t>
  </si>
  <si>
    <t>PERSONAS BAJO CONTROL SEGÚN PATOLOGÍA Y FACTORES DE RIESGO (EXISTENCIA)</t>
  </si>
  <si>
    <t>ANTECEDENTES DE INFARTO AGUDO AL MIOCARDIO (IAM)</t>
  </si>
  <si>
    <t xml:space="preserve">ANTECEDENTES DE ENF. CEREBRO VASCULAR </t>
  </si>
  <si>
    <t>NUMERO DE PERSONAS EN PSCV</t>
  </si>
  <si>
    <t>TABAQUISMO</t>
  </si>
  <si>
    <t>OBESIDAD</t>
  </si>
  <si>
    <t>s/i</t>
  </si>
  <si>
    <t>POBLACIÓN  15  AÑOS  Y  MAS</t>
  </si>
  <si>
    <t>SERVICIO  SALUD  ACONCAGUA</t>
  </si>
  <si>
    <t>-</t>
  </si>
  <si>
    <t>PORCENTAJE   DE  POBLACION  DE  15  AÑOS  Y  MAS  BAJO  CONTROL</t>
  </si>
  <si>
    <t>C.Larga.</t>
  </si>
  <si>
    <t>L.Andes</t>
  </si>
  <si>
    <t>S.Est.</t>
  </si>
  <si>
    <t>Rinc.</t>
  </si>
  <si>
    <t>S.Felipe</t>
  </si>
  <si>
    <t>Llay</t>
  </si>
  <si>
    <t>Panq.</t>
  </si>
  <si>
    <t>S.Maria</t>
  </si>
  <si>
    <t xml:space="preserve"> AREA MED. ADULTO  C.BASICO</t>
  </si>
  <si>
    <t>Prologo</t>
  </si>
  <si>
    <t>Pirámide de Población  1990  -  2015....................................................</t>
  </si>
  <si>
    <t>Tendencia  de  defunciones  2006 - 2015</t>
  </si>
  <si>
    <t>Tendencia   Enfermedades Transmisibles...............................................................</t>
  </si>
  <si>
    <t xml:space="preserve">Pobl. Inf. bajo  control según  Comunas y Localidad, calificación  N.C.H.S.     P/E,   P/T  y  T/E </t>
  </si>
  <si>
    <t>1.-</t>
  </si>
  <si>
    <t>Perfil de egresos hosp. índice ocupacional y promedio días estada Servicio Salud</t>
  </si>
  <si>
    <t>Perfil de egresos hosp. índice ocupacional y promedio días estada Hospital San Camilo</t>
  </si>
  <si>
    <t>Perfil de egresos hosp. índice ocupacional y promedio días estada Hospital Los  Andes</t>
  </si>
  <si>
    <t>Perfil de egresos hosp. índice ocupacional y promedio días estada Hospital Llay  llay</t>
  </si>
  <si>
    <t>Perfil de egresos hosp. índice ocupacional y promedio días estada Hospital Putaendo</t>
  </si>
  <si>
    <t>Perfil de egresos hosp. índice ocupacional y promedio días estada Hospital Psiquiatrico</t>
  </si>
  <si>
    <t>Censo Camas  consolidado  y Servicio  de  Salud....................................</t>
  </si>
  <si>
    <t>CONSOLIDADO      CATEGORIZACION    DIAS  DE  ESTADA</t>
  </si>
  <si>
    <t>CATEGORIZACION  DIAS  ESTADA  HOSPITAL      SAN   FELIPE</t>
  </si>
  <si>
    <t>CATEGORIZACION  DIAS  ESTADA  HOSPITAL    LOS  ANDES</t>
  </si>
  <si>
    <t>Consolidado categorización  dias  estada  Servicio  de  Salud....................................</t>
  </si>
  <si>
    <t>Censo Camas  consolidado  Hospital  San Camilo</t>
  </si>
  <si>
    <t>Consolidado categorización  dias  estada  Hospital  San  Camilo........................</t>
  </si>
  <si>
    <t>Censo Camas  consolidado  Hospital  Los  Andes</t>
  </si>
  <si>
    <t>Consolidado categorización  dias  estada  Hospital  Los  Andes</t>
  </si>
  <si>
    <t>Censo Camas  consolidado  Hospital  Llay  Llay</t>
  </si>
  <si>
    <t>Censo Camas  consolidado  Hospital  Putaendo</t>
  </si>
  <si>
    <t>Censo Camas  consolidado  Hospital  Psiquiatrico</t>
  </si>
  <si>
    <t>Tasa  de examenes  de Laboratorio e  Imagenologia…2006 - 2015</t>
  </si>
  <si>
    <t>Atenciones  médicas  de  urgencia  según  establecimiento  2010 - 2015</t>
  </si>
  <si>
    <t>Actos  Quirurgicos y  Examenes de Diagnostico  por  Establecimientos   2014  - 2015.................</t>
  </si>
  <si>
    <t>Mortalidad por grupo de causas según  Comunas..y  Grupos Etareos...........................</t>
  </si>
  <si>
    <t>Diagnóstico nutricional  integrado menores  de  6  años     Serv. Salud  y Comunas...................</t>
  </si>
  <si>
    <t>Est. nut. embarazada al  31 de Diciembre 2014 -  2015.........................</t>
  </si>
  <si>
    <t>Nacimientos  y  Partos  por  Establecimientos y graficos según edad  de  la  madre..............................</t>
  </si>
  <si>
    <t>Consultas  de  especialidad  realizadas   por medicos  a  honorarios</t>
  </si>
  <si>
    <t>CONSULTAS   DE  ESPECIALIDADES   REALIZADAS    POR MEDICOS  A  HONORARIOS</t>
  </si>
  <si>
    <t>VARIACION    INTERCONSULTAS  APS DERIVADAS AL NIVEL SECUNDARIO   2014 - 2015</t>
  </si>
  <si>
    <t>Variación  Interconsultas APS  en  el  nivel secundario  2014 - 2015…………..</t>
  </si>
  <si>
    <t>Resolutividad Atención  Odontologica nivel  Primario</t>
  </si>
  <si>
    <t>Consultas Médicas ; tasa consulta medica  habitante año   2006 - 2015......................................</t>
  </si>
  <si>
    <t>Pacientes  bajo control  en  Salud  mental nivel  primario y secundario………………</t>
  </si>
  <si>
    <t>Personas  bajo control  según  patologia y  factores  de  riesgo</t>
  </si>
  <si>
    <t xml:space="preserve"> EGRESOS HOSPITALARIOS POR GRUPO DE CAUSAS SEGUN ESTABLECIMIENTOS Y PORCENTAJE SEGÚN PATOLOGIA</t>
  </si>
  <si>
    <t>Consolidado  Egresos  Hospitalarios por causa y Comunas y  grupos  etareos   2015...............................</t>
  </si>
  <si>
    <t>Egresos  Hospitalarios por causa; establecimientos y  porcentaje según  patologia  2015...............................</t>
  </si>
  <si>
    <t>Egresos  Hospital San Camilo por causa,  Comunas  y  grupos  etareos  2015..............................</t>
  </si>
  <si>
    <t>Egresos  Hospital Los  Andes por causa,  Comunas  y  grupos  etareos  2015..............................</t>
  </si>
  <si>
    <t>Egresos  Hospital Llay  llay por causa,  Comunas  y  grupos  etareos  2015..............................</t>
  </si>
  <si>
    <t>Egresos  Hospital Putaendo por causa,  Comunas  y  grupos  etareos  2015..............................</t>
  </si>
  <si>
    <t>Egresos  Hospital Psiquiatrico por causa,  Comunas  y  grupos  etareos  2015..............................</t>
  </si>
  <si>
    <t>causa,  Comunas  y  grupos  etareos</t>
  </si>
  <si>
    <t>39.</t>
  </si>
  <si>
    <t>50.</t>
  </si>
  <si>
    <t>51.</t>
  </si>
  <si>
    <t>52.</t>
  </si>
  <si>
    <t>53.</t>
  </si>
  <si>
    <t>54.</t>
  </si>
  <si>
    <t>55.</t>
  </si>
  <si>
    <t>56.</t>
  </si>
  <si>
    <t>57.</t>
  </si>
  <si>
    <t>58.</t>
  </si>
  <si>
    <t>59.</t>
  </si>
  <si>
    <t>60.</t>
  </si>
  <si>
    <t>61.</t>
  </si>
  <si>
    <t>62.</t>
  </si>
  <si>
    <t>63.</t>
  </si>
  <si>
    <t>CONSULTAS  NUEVAS  ATENDIDAS</t>
  </si>
  <si>
    <t>74.- Tratamiento quirúrgico de lesiones de la válvula aórtica en
         personas de 15 años y más</t>
  </si>
  <si>
    <t>79.- Tratamiento quirúrgico de lesiones de las válvulas mitral
           y tricuspide en personas de 15 años y más</t>
  </si>
  <si>
    <t xml:space="preserve">77.- Tratamiento  de   Hipoacusia moderada en menorea
          de  2 años. </t>
  </si>
  <si>
    <t>78.- Lupus  eritematoso sistémico</t>
  </si>
  <si>
    <t>72.- Cancer  Vesical (caves) en  personas de  15 años  y  más</t>
  </si>
  <si>
    <t>80.- Tratamiento de  erradicación  del Helicobacter Pylori.</t>
  </si>
  <si>
    <t>Nota: Personas  atendidas, extraida de   base  de  datos  GES</t>
  </si>
  <si>
    <t>Pag.</t>
  </si>
  <si>
    <t>I  N  D  I  C  E</t>
  </si>
  <si>
    <r>
      <t xml:space="preserve">                                                                   </t>
    </r>
    <r>
      <rPr>
        <b/>
        <sz val="10"/>
        <rFont val="Arial"/>
        <family val="2"/>
      </rPr>
      <t>MATERIAS</t>
    </r>
  </si>
  <si>
    <t xml:space="preserve">   PROLOGO</t>
  </si>
  <si>
    <t xml:space="preserve">   CAPITULO  I  INFORMACION  BASICA</t>
  </si>
  <si>
    <t xml:space="preserve">  CAPITULO  II  INDICADORES   BIODEMOGRAFICOS</t>
  </si>
  <si>
    <t xml:space="preserve">  CAPITULO  III  ACTIVIDADES SOBRE  LAS  PERSONAS</t>
  </si>
  <si>
    <t>GLOSARIO</t>
  </si>
  <si>
    <t>L.A.</t>
  </si>
  <si>
    <t>S.E.</t>
  </si>
  <si>
    <t>C.L.</t>
  </si>
  <si>
    <t>RIN.</t>
  </si>
  <si>
    <t>S.F.</t>
  </si>
  <si>
    <t>PUT.</t>
  </si>
  <si>
    <t>S.M.</t>
  </si>
  <si>
    <t>PANQ.</t>
  </si>
  <si>
    <t>LL.</t>
  </si>
  <si>
    <t>CAT.</t>
  </si>
  <si>
    <t>LEY  Nº  19,378</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</si>
</sst>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1" formatCode="_-* #,##0_-;\-* #,##0_-;_-* &quot;-&quot;_-;_-@_-"/>
    <numFmt numFmtId="164" formatCode="_(* #,##0.00_);_(* \(#,##0.00\);_(* &quot;-&quot;??_);_(@_)"/>
    <numFmt numFmtId="165" formatCode="0.0"/>
    <numFmt numFmtId="166" formatCode="#,##0.0"/>
    <numFmt numFmtId="167" formatCode="#,##0.0000"/>
    <numFmt numFmtId="168" formatCode="0.000"/>
    <numFmt numFmtId="169" formatCode="0.0_)"/>
    <numFmt numFmtId="170" formatCode="#.##0"/>
    <numFmt numFmtId="171" formatCode="#.###"/>
    <numFmt numFmtId="172" formatCode="#.000"/>
    <numFmt numFmtId="173" formatCode="#,##0.000"/>
    <numFmt numFmtId="174" formatCode="_-* #,##0_-;\-* #,##0_-;_-* &quot;-&quot;??_-;_-@_-"/>
  </numFmts>
  <fonts count="81">
    <font>
      <sz val="10"/>
      <name val="Arial"/>
    </font>
    <font>
      <b/>
      <sz val="10"/>
      <name val="Arial"/>
      <family val="2"/>
    </font>
    <font>
      <sz val="10"/>
      <name val="Arial"/>
      <family val="2"/>
    </font>
    <font>
      <b/>
      <sz val="10"/>
      <color indexed="56"/>
      <name val="Arial"/>
      <family val="2"/>
    </font>
    <font>
      <b/>
      <sz val="12"/>
      <color indexed="56"/>
      <name val="Arial"/>
      <family val="2"/>
    </font>
    <font>
      <sz val="10"/>
      <color indexed="56"/>
      <name val="Arial"/>
      <family val="2"/>
    </font>
    <font>
      <sz val="9"/>
      <name val="Arial"/>
      <family val="2"/>
    </font>
    <font>
      <b/>
      <sz val="9"/>
      <name val="Arial"/>
      <family val="2"/>
    </font>
    <font>
      <sz val="10"/>
      <color indexed="10"/>
      <name val="Arial"/>
      <family val="2"/>
    </font>
    <font>
      <sz val="8"/>
      <name val="Arial"/>
      <family val="2"/>
    </font>
    <font>
      <sz val="7"/>
      <name val="Arial"/>
      <family val="2"/>
    </font>
    <font>
      <sz val="10"/>
      <color indexed="32"/>
      <name val="Arial"/>
      <family val="2"/>
    </font>
    <font>
      <b/>
      <sz val="10"/>
      <color indexed="10"/>
      <name val="Arial"/>
      <family val="2"/>
    </font>
    <font>
      <b/>
      <sz val="9"/>
      <color indexed="56"/>
      <name val="Arial"/>
      <family val="2"/>
    </font>
    <font>
      <b/>
      <sz val="8"/>
      <name val="Arial"/>
      <family val="2"/>
    </font>
    <font>
      <b/>
      <sz val="10"/>
      <name val="Arial"/>
      <family val="2"/>
    </font>
    <font>
      <b/>
      <sz val="7"/>
      <name val="Arial"/>
      <family val="2"/>
    </font>
    <font>
      <b/>
      <sz val="11"/>
      <color indexed="32"/>
      <name val="Arial"/>
      <family val="2"/>
    </font>
    <font>
      <b/>
      <sz val="12"/>
      <color indexed="62"/>
      <name val="Arial"/>
      <family val="2"/>
    </font>
    <font>
      <sz val="8"/>
      <name val="Arial"/>
      <family val="2"/>
    </font>
    <font>
      <b/>
      <sz val="9"/>
      <name val="Arial"/>
      <family val="2"/>
    </font>
    <font>
      <b/>
      <sz val="10"/>
      <color indexed="56"/>
      <name val="Arial"/>
      <family val="2"/>
    </font>
    <font>
      <b/>
      <sz val="10"/>
      <color indexed="62"/>
      <name val="Arial"/>
      <family val="2"/>
    </font>
    <font>
      <sz val="10"/>
      <color indexed="8"/>
      <name val="Arial"/>
      <family val="2"/>
    </font>
    <font>
      <b/>
      <sz val="12"/>
      <color indexed="56"/>
      <name val="Arial"/>
      <family val="2"/>
    </font>
    <font>
      <sz val="10"/>
      <color indexed="8"/>
      <name val="Arial"/>
      <family val="2"/>
    </font>
    <font>
      <b/>
      <sz val="10"/>
      <color indexed="18"/>
      <name val="Arial"/>
      <family val="2"/>
    </font>
    <font>
      <b/>
      <sz val="9"/>
      <color indexed="62"/>
      <name val="Arial"/>
      <family val="2"/>
    </font>
    <font>
      <sz val="10"/>
      <name val="Arial"/>
      <family val="2"/>
    </font>
    <font>
      <b/>
      <i/>
      <sz val="18"/>
      <color indexed="56"/>
      <name val="Arial Condensed Bold"/>
    </font>
    <font>
      <b/>
      <sz val="18"/>
      <color indexed="56"/>
      <name val="Arial Condensed Bold"/>
      <family val="2"/>
    </font>
    <font>
      <sz val="10"/>
      <color indexed="62"/>
      <name val="Arial"/>
      <family val="2"/>
    </font>
    <font>
      <sz val="12"/>
      <name val="Arial"/>
      <family val="2"/>
    </font>
    <font>
      <sz val="10"/>
      <color indexed="18"/>
      <name val="Arial"/>
      <family val="2"/>
    </font>
    <font>
      <sz val="9"/>
      <color indexed="8"/>
      <name val="Arial"/>
      <family val="2"/>
    </font>
    <font>
      <sz val="8"/>
      <color indexed="10"/>
      <name val="Arial"/>
      <family val="2"/>
    </font>
    <font>
      <sz val="10"/>
      <color indexed="10"/>
      <name val="Arial"/>
      <family val="2"/>
    </font>
    <font>
      <b/>
      <i/>
      <sz val="18"/>
      <name val="Arial Condensed Bold"/>
    </font>
    <font>
      <sz val="18"/>
      <name val="Arial Condensed Bold"/>
      <family val="2"/>
    </font>
    <font>
      <sz val="9"/>
      <name val="Arial"/>
      <family val="2"/>
    </font>
    <font>
      <sz val="6"/>
      <name val="Arial"/>
      <family val="2"/>
    </font>
    <font>
      <b/>
      <sz val="8"/>
      <color indexed="56"/>
      <name val="Arial"/>
      <family val="2"/>
    </font>
    <font>
      <b/>
      <sz val="8"/>
      <color indexed="62"/>
      <name val="Arial"/>
      <family val="2"/>
    </font>
    <font>
      <b/>
      <sz val="8"/>
      <name val="Arial"/>
      <family val="2"/>
    </font>
    <font>
      <b/>
      <sz val="9"/>
      <color indexed="62"/>
      <name val="Arial"/>
      <family val="2"/>
    </font>
    <font>
      <sz val="8"/>
      <name val="Verdana"/>
      <family val="2"/>
    </font>
    <font>
      <sz val="9"/>
      <name val="Verdana"/>
      <family val="2"/>
    </font>
    <font>
      <sz val="7"/>
      <name val="Arial"/>
      <family val="2"/>
    </font>
    <font>
      <b/>
      <sz val="12"/>
      <name val="Arial"/>
      <family val="2"/>
    </font>
    <font>
      <b/>
      <sz val="12"/>
      <name val="Century Gothic"/>
      <family val="2"/>
    </font>
    <font>
      <b/>
      <sz val="8"/>
      <name val="Century Gothic"/>
      <family val="2"/>
    </font>
    <font>
      <b/>
      <sz val="9"/>
      <color indexed="18"/>
      <name val="Arial"/>
      <family val="2"/>
    </font>
    <font>
      <sz val="8"/>
      <name val="Trebuchet MS"/>
      <family val="2"/>
    </font>
    <font>
      <sz val="10"/>
      <color indexed="9"/>
      <name val="Arial"/>
      <family val="2"/>
    </font>
    <font>
      <sz val="12"/>
      <name val="Arial"/>
      <family val="2"/>
    </font>
    <font>
      <sz val="10"/>
      <color indexed="48"/>
      <name val="Arial"/>
      <family val="2"/>
    </font>
    <font>
      <sz val="12"/>
      <name val="Helv"/>
    </font>
    <font>
      <b/>
      <sz val="10"/>
      <color indexed="39"/>
      <name val="Arial"/>
      <family val="2"/>
    </font>
    <font>
      <sz val="10"/>
      <name val="Helv"/>
    </font>
    <font>
      <sz val="9"/>
      <name val="Helv"/>
    </font>
    <font>
      <b/>
      <sz val="10"/>
      <color indexed="32"/>
      <name val="Arial"/>
      <family val="2"/>
    </font>
    <font>
      <sz val="8"/>
      <color indexed="62"/>
      <name val="Arial"/>
      <family val="2"/>
    </font>
    <font>
      <sz val="8"/>
      <color indexed="18"/>
      <name val="Arial"/>
      <family val="2"/>
    </font>
    <font>
      <sz val="8"/>
      <color indexed="8"/>
      <name val="Verdana"/>
      <family val="2"/>
    </font>
    <font>
      <sz val="9"/>
      <color indexed="8"/>
      <name val="Verdana"/>
      <family val="2"/>
    </font>
    <font>
      <b/>
      <sz val="8"/>
      <name val="Verdana"/>
      <family val="2"/>
    </font>
    <font>
      <b/>
      <sz val="10"/>
      <name val="Century Gothic"/>
      <family val="2"/>
    </font>
    <font>
      <sz val="10"/>
      <color rgb="FFFF0000"/>
      <name val="Arial"/>
      <family val="2"/>
    </font>
    <font>
      <sz val="8"/>
      <color rgb="FFFF0000"/>
      <name val="Arial"/>
      <family val="2"/>
    </font>
    <font>
      <sz val="10"/>
      <color theme="1"/>
      <name val="Arial"/>
      <family val="2"/>
    </font>
    <font>
      <sz val="9"/>
      <color rgb="FFFF0000"/>
      <name val="Arial"/>
      <family val="2"/>
    </font>
    <font>
      <sz val="8"/>
      <color theme="1"/>
      <name val="Arial"/>
      <family val="2"/>
    </font>
    <font>
      <sz val="11"/>
      <name val="Calibri"/>
      <family val="2"/>
    </font>
    <font>
      <sz val="11"/>
      <name val="Arial"/>
      <family val="2"/>
    </font>
    <font>
      <b/>
      <sz val="10"/>
      <color rgb="FFFF0000"/>
      <name val="Arial"/>
      <family val="2"/>
    </font>
    <font>
      <b/>
      <sz val="10"/>
      <color rgb="FF0070C0"/>
      <name val="Arial"/>
      <family val="2"/>
    </font>
    <font>
      <b/>
      <sz val="9"/>
      <color rgb="FFFF0000"/>
      <name val="Arial"/>
      <family val="2"/>
    </font>
    <font>
      <u/>
      <sz val="10"/>
      <color theme="10"/>
      <name val="Arial"/>
      <family val="2"/>
    </font>
    <font>
      <b/>
      <u/>
      <sz val="12"/>
      <color theme="1"/>
      <name val="Arial"/>
      <family val="2"/>
    </font>
    <font>
      <sz val="12"/>
      <color indexed="56"/>
      <name val="Arial"/>
      <family val="2"/>
    </font>
    <font>
      <b/>
      <sz val="14"/>
      <color indexed="56"/>
      <name val="Arial"/>
      <family val="2"/>
    </font>
  </fonts>
  <fills count="13">
    <fill>
      <patternFill patternType="none"/>
    </fill>
    <fill>
      <patternFill patternType="gray125"/>
    </fill>
    <fill>
      <patternFill patternType="solid">
        <fgColor indexed="13"/>
        <bgColor indexed="64"/>
      </patternFill>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41"/>
        <bgColor indexed="64"/>
      </patternFill>
    </fill>
    <fill>
      <patternFill patternType="solid">
        <fgColor theme="0"/>
        <bgColor indexed="64"/>
      </patternFill>
    </fill>
    <fill>
      <patternFill patternType="solid">
        <fgColor theme="2"/>
        <bgColor indexed="64"/>
      </patternFill>
    </fill>
    <fill>
      <patternFill patternType="solid">
        <fgColor theme="4" tint="0.59999389629810485"/>
        <bgColor indexed="64"/>
      </patternFill>
    </fill>
    <fill>
      <patternFill patternType="solid">
        <fgColor theme="6"/>
        <bgColor indexed="64"/>
      </patternFill>
    </fill>
    <fill>
      <patternFill patternType="solid">
        <fgColor theme="9" tint="0.39997558519241921"/>
        <bgColor indexed="64"/>
      </patternFill>
    </fill>
    <fill>
      <patternFill patternType="solid">
        <fgColor theme="0" tint="-0.14999847407452621"/>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hair">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top style="hair">
        <color indexed="64"/>
      </top>
      <bottom style="hair">
        <color indexed="64"/>
      </bottom>
      <diagonal/>
    </border>
    <border>
      <left style="thin">
        <color indexed="64"/>
      </left>
      <right style="thick">
        <color indexed="64"/>
      </right>
      <top style="thin">
        <color indexed="64"/>
      </top>
      <bottom style="thin">
        <color indexed="64"/>
      </bottom>
      <diagonal/>
    </border>
    <border>
      <left/>
      <right style="thick">
        <color indexed="64"/>
      </right>
      <top style="thin">
        <color indexed="64"/>
      </top>
      <bottom style="thin">
        <color indexed="64"/>
      </bottom>
      <diagonal/>
    </border>
    <border>
      <left style="medium">
        <color indexed="64"/>
      </left>
      <right style="medium">
        <color indexed="64"/>
      </right>
      <top/>
      <bottom/>
      <diagonal/>
    </border>
  </borders>
  <cellStyleXfs count="14">
    <xf numFmtId="0" fontId="0" fillId="0" borderId="0"/>
    <xf numFmtId="164" fontId="2" fillId="0" borderId="0" applyFont="0" applyFill="0" applyBorder="0" applyAlignment="0" applyProtection="0"/>
    <xf numFmtId="0" fontId="2" fillId="0" borderId="0"/>
    <xf numFmtId="171" fontId="56" fillId="0" borderId="0"/>
    <xf numFmtId="0" fontId="2" fillId="0" borderId="0"/>
    <xf numFmtId="0" fontId="2" fillId="0" borderId="0"/>
    <xf numFmtId="0" fontId="2" fillId="0" borderId="0"/>
    <xf numFmtId="0" fontId="9" fillId="0" borderId="0"/>
    <xf numFmtId="0" fontId="15" fillId="0" borderId="0" applyFont="0" applyBorder="0" applyAlignment="0" applyProtection="0"/>
    <xf numFmtId="0" fontId="9" fillId="0" borderId="0"/>
    <xf numFmtId="0" fontId="1" fillId="0" borderId="0" applyFont="0" applyBorder="0" applyAlignment="0" applyProtection="0"/>
    <xf numFmtId="0" fontId="2" fillId="0" borderId="0"/>
    <xf numFmtId="0" fontId="9" fillId="0" borderId="0"/>
    <xf numFmtId="0" fontId="77" fillId="0" borderId="0" applyNumberFormat="0" applyFill="0" applyBorder="0" applyAlignment="0" applyProtection="0"/>
  </cellStyleXfs>
  <cellXfs count="1486">
    <xf numFmtId="0" fontId="0" fillId="0" borderId="0" xfId="0"/>
    <xf numFmtId="0" fontId="0" fillId="0" borderId="0" xfId="0" applyAlignment="1">
      <alignment horizontal="centerContinuous"/>
    </xf>
    <xf numFmtId="0" fontId="1" fillId="0" borderId="0" xfId="0" applyFont="1"/>
    <xf numFmtId="0" fontId="3" fillId="0" borderId="0" xfId="0" applyFont="1" applyAlignment="1">
      <alignment horizontal="centerContinuous"/>
    </xf>
    <xf numFmtId="0" fontId="4" fillId="0" borderId="0" xfId="0" applyFont="1" applyAlignment="1">
      <alignment horizontal="centerContinuous"/>
    </xf>
    <xf numFmtId="0" fontId="0" fillId="0" borderId="0" xfId="0" applyAlignment="1">
      <alignment horizontal="centerContinuous" vertical="center"/>
    </xf>
    <xf numFmtId="0" fontId="0" fillId="0" borderId="0" xfId="0" applyAlignment="1">
      <alignment vertical="center"/>
    </xf>
    <xf numFmtId="0" fontId="0" fillId="0" borderId="0" xfId="0" applyAlignment="1">
      <alignment horizontal="right" vertical="center"/>
    </xf>
    <xf numFmtId="0" fontId="6" fillId="0" borderId="0" xfId="0" applyFont="1" applyAlignment="1">
      <alignment vertical="center"/>
    </xf>
    <xf numFmtId="0" fontId="8" fillId="0" borderId="0" xfId="0" applyFont="1" applyAlignment="1">
      <alignment horizontal="centerContinuous" vertical="center"/>
    </xf>
    <xf numFmtId="0" fontId="0" fillId="0" borderId="0" xfId="0" applyAlignment="1">
      <alignment horizontal="left" vertical="center"/>
    </xf>
    <xf numFmtId="0" fontId="9" fillId="0" borderId="0" xfId="0" applyFont="1" applyAlignment="1">
      <alignment vertical="center"/>
    </xf>
    <xf numFmtId="0" fontId="6" fillId="0" borderId="1" xfId="0" applyFont="1" applyBorder="1" applyAlignment="1">
      <alignment vertical="center"/>
    </xf>
    <xf numFmtId="0" fontId="11" fillId="0" borderId="0" xfId="0" applyFont="1" applyAlignment="1">
      <alignment horizontal="centerContinuous"/>
    </xf>
    <xf numFmtId="0" fontId="6" fillId="0" borderId="2" xfId="0" applyFont="1" applyBorder="1" applyAlignment="1">
      <alignment vertical="center"/>
    </xf>
    <xf numFmtId="0" fontId="6" fillId="0" borderId="3" xfId="0" applyFont="1" applyBorder="1" applyAlignment="1">
      <alignment vertical="center"/>
    </xf>
    <xf numFmtId="0" fontId="0" fillId="2" borderId="0" xfId="0" applyFill="1" applyAlignment="1">
      <alignment vertical="center"/>
    </xf>
    <xf numFmtId="0" fontId="0" fillId="2" borderId="0" xfId="0" applyFill="1"/>
    <xf numFmtId="0" fontId="12" fillId="0" borderId="0" xfId="0" applyFont="1" applyAlignment="1">
      <alignment horizontal="centerContinuous" vertical="center"/>
    </xf>
    <xf numFmtId="0" fontId="13" fillId="0" borderId="0" xfId="0" applyFont="1" applyAlignment="1">
      <alignment vertical="center"/>
    </xf>
    <xf numFmtId="0" fontId="5" fillId="0" borderId="0" xfId="0" applyFont="1" applyAlignment="1">
      <alignment vertical="center"/>
    </xf>
    <xf numFmtId="0" fontId="13" fillId="0" borderId="0" xfId="0" applyFont="1" applyAlignment="1">
      <alignment horizontal="centerContinuous" vertical="center"/>
    </xf>
    <xf numFmtId="0" fontId="6" fillId="2" borderId="0" xfId="0" applyFont="1" applyFill="1" applyAlignment="1">
      <alignment vertical="center"/>
    </xf>
    <xf numFmtId="0" fontId="6" fillId="2" borderId="0" xfId="0" applyFont="1" applyFill="1" applyAlignment="1">
      <alignment horizontal="centerContinuous" vertical="center"/>
    </xf>
    <xf numFmtId="0" fontId="9" fillId="2" borderId="0" xfId="0" applyFont="1" applyFill="1" applyAlignment="1">
      <alignment vertical="center"/>
    </xf>
    <xf numFmtId="0" fontId="9" fillId="2" borderId="0" xfId="0" applyFont="1" applyFill="1" applyAlignment="1">
      <alignment horizontal="centerContinuous" vertical="center"/>
    </xf>
    <xf numFmtId="0" fontId="10" fillId="2" borderId="0" xfId="0" applyFont="1" applyFill="1" applyAlignment="1">
      <alignment horizontal="centerContinuous" vertical="center"/>
    </xf>
    <xf numFmtId="0" fontId="14" fillId="0" borderId="0" xfId="0" applyFont="1" applyAlignment="1">
      <alignment horizontal="centerContinuous" vertical="center"/>
    </xf>
    <xf numFmtId="0" fontId="15" fillId="0" borderId="0" xfId="0" applyFont="1" applyAlignment="1">
      <alignment vertical="center"/>
    </xf>
    <xf numFmtId="0" fontId="16" fillId="0" borderId="0" xfId="0" applyFont="1" applyAlignment="1">
      <alignment vertical="center"/>
    </xf>
    <xf numFmtId="0" fontId="14" fillId="0" borderId="0" xfId="0" applyFont="1" applyAlignment="1">
      <alignment vertical="center"/>
    </xf>
    <xf numFmtId="0" fontId="14" fillId="0" borderId="0" xfId="0" applyFont="1"/>
    <xf numFmtId="0" fontId="14" fillId="0" borderId="0" xfId="0" applyFont="1" applyAlignment="1">
      <alignment horizontal="left" vertical="center"/>
    </xf>
    <xf numFmtId="0" fontId="17" fillId="0" borderId="0" xfId="0" applyFont="1" applyAlignment="1">
      <alignment horizontal="centerContinuous"/>
    </xf>
    <xf numFmtId="0" fontId="6" fillId="2" borderId="2" xfId="0" applyFont="1" applyFill="1" applyBorder="1" applyAlignment="1">
      <alignment horizontal="centerContinuous" vertical="center"/>
    </xf>
    <xf numFmtId="0" fontId="7" fillId="2" borderId="2" xfId="0" applyFont="1" applyFill="1" applyBorder="1" applyAlignment="1">
      <alignment horizontal="centerContinuous" vertical="center"/>
    </xf>
    <xf numFmtId="0" fontId="6" fillId="2" borderId="4" xfId="0" applyFont="1" applyFill="1" applyBorder="1" applyAlignment="1">
      <alignment horizontal="centerContinuous" vertical="center"/>
    </xf>
    <xf numFmtId="0" fontId="7" fillId="2" borderId="1" xfId="0" applyFont="1" applyFill="1" applyBorder="1" applyAlignment="1">
      <alignment horizontal="centerContinuous" vertical="center"/>
    </xf>
    <xf numFmtId="0" fontId="6" fillId="3" borderId="5" xfId="0" applyFont="1" applyFill="1" applyBorder="1" applyAlignment="1">
      <alignment vertical="center"/>
    </xf>
    <xf numFmtId="0" fontId="6" fillId="3" borderId="1" xfId="0" applyFont="1" applyFill="1" applyBorder="1" applyAlignment="1">
      <alignment vertical="center"/>
    </xf>
    <xf numFmtId="0" fontId="6" fillId="3" borderId="1" xfId="0" applyFont="1" applyFill="1" applyBorder="1"/>
    <xf numFmtId="0" fontId="6" fillId="3" borderId="5" xfId="0" applyFont="1" applyFill="1" applyBorder="1" applyAlignment="1">
      <alignment horizontal="centerContinuous" vertical="center" wrapText="1"/>
    </xf>
    <xf numFmtId="0" fontId="6" fillId="3" borderId="2" xfId="0" applyFont="1" applyFill="1" applyBorder="1" applyAlignment="1">
      <alignment textRotation="90"/>
    </xf>
    <xf numFmtId="0" fontId="6" fillId="3" borderId="4" xfId="0" applyFont="1" applyFill="1" applyBorder="1" applyAlignment="1">
      <alignment textRotation="90"/>
    </xf>
    <xf numFmtId="0" fontId="0" fillId="0" borderId="6" xfId="0" applyBorder="1" applyAlignment="1">
      <alignment vertical="center"/>
    </xf>
    <xf numFmtId="0" fontId="0" fillId="0" borderId="7" xfId="0" applyBorder="1" applyAlignment="1">
      <alignment horizontal="center" vertical="center"/>
    </xf>
    <xf numFmtId="0" fontId="0" fillId="0" borderId="6" xfId="0" applyBorder="1" applyAlignment="1">
      <alignment horizontal="center" vertical="center"/>
    </xf>
    <xf numFmtId="0" fontId="0" fillId="0" borderId="0" xfId="0" applyBorder="1" applyAlignment="1">
      <alignment horizontal="center" vertical="center"/>
    </xf>
    <xf numFmtId="0" fontId="0" fillId="0" borderId="8" xfId="0" applyBorder="1" applyAlignment="1">
      <alignment horizontal="center" vertical="center" wrapText="1"/>
    </xf>
    <xf numFmtId="0" fontId="0" fillId="0" borderId="1" xfId="0" applyBorder="1" applyAlignment="1">
      <alignment horizontal="center" vertical="center" wrapText="1"/>
    </xf>
    <xf numFmtId="0" fontId="0" fillId="0" borderId="9" xfId="0" applyBorder="1" applyAlignment="1">
      <alignment horizontal="center" vertical="center"/>
    </xf>
    <xf numFmtId="0" fontId="0" fillId="0" borderId="1" xfId="0" applyBorder="1" applyAlignment="1">
      <alignment horizontal="center" vertical="center"/>
    </xf>
    <xf numFmtId="0" fontId="0" fillId="0" borderId="6" xfId="0" applyBorder="1" applyAlignment="1">
      <alignment horizontal="left" vertical="center"/>
    </xf>
    <xf numFmtId="0" fontId="0" fillId="0" borderId="7" xfId="0" applyBorder="1" applyAlignment="1">
      <alignment vertical="center"/>
    </xf>
    <xf numFmtId="0" fontId="0" fillId="0" borderId="10" xfId="0" applyBorder="1" applyAlignment="1">
      <alignment horizontal="center" vertical="center"/>
    </xf>
    <xf numFmtId="0" fontId="0" fillId="0" borderId="3" xfId="0" applyBorder="1" applyAlignment="1">
      <alignment horizontal="left" vertical="center"/>
    </xf>
    <xf numFmtId="0" fontId="0" fillId="0" borderId="3" xfId="0" applyBorder="1" applyAlignment="1">
      <alignment horizontal="center" vertical="center"/>
    </xf>
    <xf numFmtId="0" fontId="0" fillId="0" borderId="11" xfId="0" applyBorder="1" applyAlignment="1">
      <alignment horizontal="center" vertical="center"/>
    </xf>
    <xf numFmtId="0" fontId="0" fillId="0" borderId="5" xfId="0" applyBorder="1" applyAlignment="1">
      <alignment horizontal="left" vertical="center"/>
    </xf>
    <xf numFmtId="0" fontId="0" fillId="0" borderId="5" xfId="0" applyBorder="1" applyAlignment="1">
      <alignment horizontal="center" vertical="center"/>
    </xf>
    <xf numFmtId="0" fontId="0" fillId="0" borderId="11" xfId="0" applyBorder="1" applyAlignment="1">
      <alignment vertical="center"/>
    </xf>
    <xf numFmtId="0" fontId="0" fillId="0" borderId="12" xfId="0"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0" fillId="0" borderId="5" xfId="0" applyBorder="1" applyAlignment="1">
      <alignment vertical="center"/>
    </xf>
    <xf numFmtId="0" fontId="0" fillId="0" borderId="3" xfId="0" applyBorder="1" applyAlignment="1">
      <alignment vertical="center"/>
    </xf>
    <xf numFmtId="0" fontId="1" fillId="0" borderId="1" xfId="0" applyFont="1" applyBorder="1" applyAlignment="1">
      <alignment vertical="center"/>
    </xf>
    <xf numFmtId="0" fontId="0" fillId="0" borderId="1" xfId="0" applyBorder="1" applyAlignment="1">
      <alignment vertical="center"/>
    </xf>
    <xf numFmtId="3" fontId="0" fillId="0" borderId="6" xfId="0" applyNumberFormat="1" applyBorder="1" applyAlignment="1">
      <alignment horizontal="centerContinuous" vertical="center"/>
    </xf>
    <xf numFmtId="3" fontId="0" fillId="0" borderId="3" xfId="0" applyNumberFormat="1" applyBorder="1" applyAlignment="1">
      <alignment horizontal="center" vertical="center"/>
    </xf>
    <xf numFmtId="3" fontId="0" fillId="0" borderId="5" xfId="0" applyNumberFormat="1" applyBorder="1" applyAlignment="1">
      <alignment horizontal="centerContinuous" vertical="center"/>
    </xf>
    <xf numFmtId="3" fontId="0" fillId="0" borderId="6" xfId="0" applyNumberFormat="1" applyBorder="1" applyAlignment="1">
      <alignment horizontal="center" vertical="center"/>
    </xf>
    <xf numFmtId="3" fontId="0" fillId="0" borderId="1" xfId="0" applyNumberFormat="1" applyBorder="1" applyAlignment="1">
      <alignment horizontal="center" vertical="center"/>
    </xf>
    <xf numFmtId="0" fontId="0" fillId="0" borderId="15" xfId="0" applyBorder="1" applyAlignment="1">
      <alignment horizontal="center" vertical="center"/>
    </xf>
    <xf numFmtId="0" fontId="0" fillId="0" borderId="1" xfId="0" applyBorder="1" applyAlignment="1">
      <alignment horizontal="left" vertical="center" wrapText="1"/>
    </xf>
    <xf numFmtId="0" fontId="20" fillId="4" borderId="4" xfId="0" applyFont="1" applyFill="1" applyBorder="1" applyAlignment="1">
      <alignment horizontal="center" vertical="center" wrapText="1"/>
    </xf>
    <xf numFmtId="0" fontId="20" fillId="4" borderId="1" xfId="0" applyFont="1" applyFill="1" applyBorder="1" applyAlignment="1">
      <alignment horizontal="center" vertical="center"/>
    </xf>
    <xf numFmtId="3" fontId="20" fillId="4" borderId="1" xfId="0" applyNumberFormat="1" applyFont="1" applyFill="1" applyBorder="1" applyAlignment="1">
      <alignment horizontal="center" vertical="center"/>
    </xf>
    <xf numFmtId="3" fontId="20" fillId="4" borderId="1" xfId="0" quotePrefix="1" applyNumberFormat="1" applyFont="1" applyFill="1" applyBorder="1" applyAlignment="1">
      <alignment horizontal="center" vertical="center"/>
    </xf>
    <xf numFmtId="3" fontId="20" fillId="4" borderId="9" xfId="0" applyNumberFormat="1" applyFont="1" applyFill="1" applyBorder="1" applyAlignment="1">
      <alignment horizontal="center" vertical="center"/>
    </xf>
    <xf numFmtId="3" fontId="20" fillId="4" borderId="0" xfId="0" applyNumberFormat="1" applyFont="1" applyFill="1" applyBorder="1" applyAlignment="1">
      <alignment horizontal="center" vertical="center"/>
    </xf>
    <xf numFmtId="0" fontId="0" fillId="0" borderId="0" xfId="0" applyFill="1" applyBorder="1"/>
    <xf numFmtId="0" fontId="21" fillId="0" borderId="0" xfId="0" applyFont="1" applyAlignment="1">
      <alignment horizontal="centerContinuous"/>
    </xf>
    <xf numFmtId="0" fontId="15" fillId="0" borderId="0" xfId="0" applyFont="1" applyAlignment="1">
      <alignment horizontal="centerContinuous"/>
    </xf>
    <xf numFmtId="0" fontId="0" fillId="0" borderId="5" xfId="0" applyBorder="1"/>
    <xf numFmtId="0" fontId="6" fillId="0" borderId="9" xfId="0" applyFont="1" applyBorder="1" applyAlignment="1">
      <alignment horizontal="centerContinuous" vertical="center"/>
    </xf>
    <xf numFmtId="0" fontId="0" fillId="0" borderId="8" xfId="0" applyBorder="1" applyAlignment="1">
      <alignment horizontal="centerContinuous"/>
    </xf>
    <xf numFmtId="0" fontId="0" fillId="0" borderId="4" xfId="0" applyBorder="1" applyAlignment="1">
      <alignment horizontal="centerContinuous"/>
    </xf>
    <xf numFmtId="0" fontId="0" fillId="0" borderId="5" xfId="0" applyBorder="1" applyAlignment="1">
      <alignment horizontal="centerContinuous" vertical="center"/>
    </xf>
    <xf numFmtId="0" fontId="9" fillId="0" borderId="5" xfId="0" applyFont="1" applyBorder="1" applyAlignment="1">
      <alignment horizontal="centerContinuous" vertical="center"/>
    </xf>
    <xf numFmtId="0" fontId="6" fillId="0" borderId="3" xfId="0" applyFont="1" applyBorder="1" applyAlignment="1">
      <alignment vertical="top"/>
    </xf>
    <xf numFmtId="0" fontId="9" fillId="0" borderId="8" xfId="0" applyFont="1" applyBorder="1" applyAlignment="1">
      <alignment horizontal="centerContinuous" vertical="center" wrapText="1"/>
    </xf>
    <xf numFmtId="0" fontId="9" fillId="0" borderId="1" xfId="0" applyFont="1" applyBorder="1" applyAlignment="1">
      <alignment horizontal="centerContinuous" vertical="center" wrapText="1"/>
    </xf>
    <xf numFmtId="0" fontId="9" fillId="0" borderId="3" xfId="0" applyFont="1" applyBorder="1" applyAlignment="1">
      <alignment horizontal="centerContinuous" vertical="center" wrapText="1"/>
    </xf>
    <xf numFmtId="0" fontId="6" fillId="0" borderId="6" xfId="0" applyFont="1" applyBorder="1" applyAlignment="1">
      <alignment vertical="center"/>
    </xf>
    <xf numFmtId="3" fontId="6" fillId="0" borderId="0" xfId="0" applyNumberFormat="1" applyFont="1" applyBorder="1" applyAlignment="1">
      <alignment horizontal="centerContinuous" vertical="center"/>
    </xf>
    <xf numFmtId="3" fontId="6" fillId="0" borderId="6" xfId="0" applyNumberFormat="1" applyFont="1" applyBorder="1" applyAlignment="1">
      <alignment horizontal="centerContinuous" vertical="center"/>
    </xf>
    <xf numFmtId="165" fontId="6" fillId="0" borderId="6" xfId="0" applyNumberFormat="1" applyFont="1" applyBorder="1" applyAlignment="1">
      <alignment horizontal="centerContinuous" vertical="center"/>
    </xf>
    <xf numFmtId="166" fontId="6" fillId="0" borderId="13" xfId="0" applyNumberFormat="1" applyFont="1" applyBorder="1" applyAlignment="1">
      <alignment horizontal="centerContinuous" vertical="center"/>
    </xf>
    <xf numFmtId="0" fontId="6" fillId="0" borderId="0" xfId="0" applyFont="1" applyBorder="1" applyAlignment="1">
      <alignment horizontal="centerContinuous" vertical="center"/>
    </xf>
    <xf numFmtId="0" fontId="6" fillId="0" borderId="13" xfId="0" applyFont="1" applyBorder="1" applyAlignment="1">
      <alignment horizontal="centerContinuous" vertical="center"/>
    </xf>
    <xf numFmtId="0" fontId="7" fillId="0" borderId="6" xfId="0" applyFont="1" applyBorder="1" applyAlignment="1">
      <alignment vertical="center"/>
    </xf>
    <xf numFmtId="3" fontId="7" fillId="0" borderId="0" xfId="0" applyNumberFormat="1" applyFont="1" applyBorder="1" applyAlignment="1">
      <alignment horizontal="centerContinuous" vertical="center"/>
    </xf>
    <xf numFmtId="3" fontId="7" fillId="0" borderId="6" xfId="0" applyNumberFormat="1" applyFont="1" applyBorder="1" applyAlignment="1">
      <alignment horizontal="centerContinuous" vertical="center"/>
    </xf>
    <xf numFmtId="165" fontId="7" fillId="0" borderId="6" xfId="0" applyNumberFormat="1" applyFont="1" applyBorder="1" applyAlignment="1">
      <alignment horizontal="centerContinuous" vertical="center"/>
    </xf>
    <xf numFmtId="166" fontId="7" fillId="0" borderId="13" xfId="0" applyNumberFormat="1" applyFont="1" applyBorder="1" applyAlignment="1">
      <alignment horizontal="centerContinuous" vertical="center"/>
    </xf>
    <xf numFmtId="3" fontId="6" fillId="0" borderId="6" xfId="0" applyNumberFormat="1" applyFont="1" applyBorder="1" applyAlignment="1">
      <alignment vertical="center"/>
    </xf>
    <xf numFmtId="166" fontId="6" fillId="0" borderId="13" xfId="0" applyNumberFormat="1" applyFont="1" applyBorder="1" applyAlignment="1">
      <alignment vertical="center"/>
    </xf>
    <xf numFmtId="0" fontId="6" fillId="0" borderId="13" xfId="0" applyFont="1" applyBorder="1" applyAlignment="1">
      <alignment vertical="center"/>
    </xf>
    <xf numFmtId="165" fontId="6" fillId="0" borderId="0" xfId="0" applyNumberFormat="1" applyFont="1" applyBorder="1" applyAlignment="1">
      <alignment horizontal="centerContinuous" vertical="center"/>
    </xf>
    <xf numFmtId="0" fontId="7" fillId="0" borderId="3" xfId="0" applyFont="1" applyBorder="1" applyAlignment="1">
      <alignment vertical="center"/>
    </xf>
    <xf numFmtId="3" fontId="7" fillId="0" borderId="15" xfId="0" applyNumberFormat="1" applyFont="1" applyBorder="1" applyAlignment="1">
      <alignment horizontal="centerContinuous" vertical="center"/>
    </xf>
    <xf numFmtId="3" fontId="7" fillId="0" borderId="3" xfId="0" applyNumberFormat="1" applyFont="1" applyBorder="1" applyAlignment="1">
      <alignment horizontal="centerContinuous" vertical="center"/>
    </xf>
    <xf numFmtId="165" fontId="7" fillId="0" borderId="3" xfId="0" applyNumberFormat="1" applyFont="1" applyBorder="1" applyAlignment="1">
      <alignment horizontal="centerContinuous" vertical="center"/>
    </xf>
    <xf numFmtId="166" fontId="7" fillId="0" borderId="3" xfId="0" applyNumberFormat="1" applyFont="1" applyBorder="1" applyAlignment="1">
      <alignment horizontal="centerContinuous" vertical="center"/>
    </xf>
    <xf numFmtId="0" fontId="18" fillId="0" borderId="0" xfId="0" applyFont="1" applyAlignment="1">
      <alignment horizontal="centerContinuous"/>
    </xf>
    <xf numFmtId="0" fontId="5" fillId="0" borderId="0" xfId="0" applyFont="1" applyAlignment="1">
      <alignment horizontal="centerContinuous"/>
    </xf>
    <xf numFmtId="0" fontId="22" fillId="0" borderId="0" xfId="0" applyFont="1" applyAlignment="1">
      <alignment horizontal="centerContinuous"/>
    </xf>
    <xf numFmtId="3" fontId="0" fillId="0" borderId="0" xfId="0" applyNumberFormat="1"/>
    <xf numFmtId="0" fontId="0" fillId="0" borderId="9" xfId="0" applyBorder="1" applyAlignment="1">
      <alignment vertical="center"/>
    </xf>
    <xf numFmtId="0" fontId="0" fillId="0" borderId="9" xfId="0" applyBorder="1" applyAlignment="1">
      <alignment horizontal="centerContinuous" vertical="center"/>
    </xf>
    <xf numFmtId="0" fontId="0" fillId="0" borderId="8" xfId="0" applyBorder="1" applyAlignment="1">
      <alignment horizontal="centerContinuous" vertical="center"/>
    </xf>
    <xf numFmtId="0" fontId="0" fillId="0" borderId="8" xfId="0" quotePrefix="1" applyBorder="1" applyAlignment="1">
      <alignment horizontal="centerContinuous" vertical="center"/>
    </xf>
    <xf numFmtId="0" fontId="0" fillId="0" borderId="4" xfId="0" applyBorder="1" applyAlignment="1">
      <alignment horizontal="centerContinuous" vertical="center"/>
    </xf>
    <xf numFmtId="3" fontId="0" fillId="0" borderId="0" xfId="0" applyNumberFormat="1" applyBorder="1" applyAlignment="1">
      <alignment vertical="center"/>
    </xf>
    <xf numFmtId="3" fontId="0" fillId="0" borderId="13" xfId="0" applyNumberFormat="1" applyBorder="1" applyAlignment="1">
      <alignment vertical="center"/>
    </xf>
    <xf numFmtId="0" fontId="1" fillId="0" borderId="6" xfId="0" applyFont="1" applyBorder="1" applyAlignment="1">
      <alignment vertical="center"/>
    </xf>
    <xf numFmtId="3" fontId="0" fillId="0" borderId="0" xfId="0" applyNumberFormat="1" applyBorder="1" applyAlignment="1">
      <alignment horizontal="centerContinuous" vertical="center"/>
    </xf>
    <xf numFmtId="4" fontId="0" fillId="0" borderId="0" xfId="0" applyNumberFormat="1"/>
    <xf numFmtId="3" fontId="8" fillId="0" borderId="0" xfId="0" applyNumberFormat="1" applyFont="1" applyBorder="1" applyAlignment="1">
      <alignment vertical="center"/>
    </xf>
    <xf numFmtId="3" fontId="8" fillId="0" borderId="13" xfId="0" applyNumberFormat="1" applyFont="1" applyBorder="1" applyAlignment="1">
      <alignment vertical="center"/>
    </xf>
    <xf numFmtId="3" fontId="23" fillId="0" borderId="0" xfId="0" applyNumberFormat="1" applyFont="1" applyBorder="1" applyAlignment="1">
      <alignment vertical="center"/>
    </xf>
    <xf numFmtId="0" fontId="0" fillId="0" borderId="0" xfId="0" applyBorder="1" applyAlignment="1">
      <alignment vertical="center"/>
    </xf>
    <xf numFmtId="0" fontId="1" fillId="0" borderId="3" xfId="0" applyFont="1" applyBorder="1" applyAlignment="1">
      <alignment vertical="center"/>
    </xf>
    <xf numFmtId="3" fontId="0" fillId="0" borderId="15" xfId="0" applyNumberFormat="1" applyBorder="1" applyAlignment="1">
      <alignment vertical="center"/>
    </xf>
    <xf numFmtId="3" fontId="0" fillId="0" borderId="15" xfId="0" applyNumberFormat="1" applyBorder="1" applyAlignment="1">
      <alignment horizontal="centerContinuous" vertical="center"/>
    </xf>
    <xf numFmtId="3" fontId="0" fillId="0" borderId="14" xfId="0" applyNumberFormat="1" applyBorder="1" applyAlignment="1">
      <alignment vertical="center"/>
    </xf>
    <xf numFmtId="167" fontId="0" fillId="0" borderId="0" xfId="0" applyNumberFormat="1"/>
    <xf numFmtId="1" fontId="0" fillId="0" borderId="0" xfId="0" applyNumberFormat="1"/>
    <xf numFmtId="0" fontId="24" fillId="0" borderId="0" xfId="0" applyFont="1" applyAlignment="1">
      <alignment horizontal="centerContinuous"/>
    </xf>
    <xf numFmtId="0" fontId="0" fillId="0" borderId="8" xfId="0" applyBorder="1" applyAlignment="1">
      <alignment horizontal="right" vertical="center"/>
    </xf>
    <xf numFmtId="0" fontId="9" fillId="0" borderId="4" xfId="0" applyFont="1" applyBorder="1" applyAlignment="1">
      <alignment horizontal="centerContinuous" vertical="center" wrapText="1"/>
    </xf>
    <xf numFmtId="0" fontId="0" fillId="0" borderId="13" xfId="0" applyBorder="1" applyAlignment="1">
      <alignment vertical="center"/>
    </xf>
    <xf numFmtId="3" fontId="0" fillId="0" borderId="7" xfId="0" applyNumberFormat="1" applyBorder="1" applyAlignment="1">
      <alignment vertical="center"/>
    </xf>
    <xf numFmtId="3" fontId="23" fillId="0" borderId="15" xfId="0" applyNumberFormat="1" applyFont="1" applyBorder="1" applyAlignment="1">
      <alignment vertical="center"/>
    </xf>
    <xf numFmtId="3" fontId="23" fillId="0" borderId="14" xfId="0" applyNumberFormat="1" applyFont="1" applyBorder="1" applyAlignment="1">
      <alignment vertical="center"/>
    </xf>
    <xf numFmtId="0" fontId="26" fillId="5" borderId="0" xfId="0" applyFont="1" applyFill="1" applyAlignment="1">
      <alignment horizontal="centerContinuous"/>
    </xf>
    <xf numFmtId="0" fontId="11" fillId="5" borderId="0" xfId="0" applyFont="1" applyFill="1" applyAlignment="1">
      <alignment horizontal="centerContinuous"/>
    </xf>
    <xf numFmtId="0" fontId="26" fillId="0" borderId="0" xfId="0" applyFont="1" applyAlignment="1">
      <alignment horizontal="centerContinuous"/>
    </xf>
    <xf numFmtId="0" fontId="6" fillId="0" borderId="1" xfId="0" applyFont="1" applyBorder="1" applyAlignment="1">
      <alignment horizontal="center" vertical="center" wrapText="1"/>
    </xf>
    <xf numFmtId="4" fontId="6" fillId="0" borderId="13" xfId="0" applyNumberFormat="1" applyFont="1" applyBorder="1" applyAlignment="1">
      <alignment horizontal="center" vertical="center"/>
    </xf>
    <xf numFmtId="0" fontId="0" fillId="0" borderId="3" xfId="0" applyBorder="1"/>
    <xf numFmtId="0" fontId="0" fillId="0" borderId="3" xfId="0" applyBorder="1" applyAlignment="1">
      <alignment horizontal="center"/>
    </xf>
    <xf numFmtId="0" fontId="0" fillId="0" borderId="0" xfId="0" applyBorder="1"/>
    <xf numFmtId="0" fontId="0" fillId="0" borderId="0" xfId="0" applyAlignment="1">
      <alignment horizontal="center" vertical="top" wrapText="1"/>
    </xf>
    <xf numFmtId="165" fontId="7" fillId="0" borderId="0" xfId="0" applyNumberFormat="1" applyFont="1" applyBorder="1" applyAlignment="1">
      <alignment horizontal="centerContinuous" vertical="center"/>
    </xf>
    <xf numFmtId="165" fontId="0" fillId="0" borderId="0" xfId="0" applyNumberFormat="1"/>
    <xf numFmtId="165" fontId="7" fillId="0" borderId="15" xfId="0" applyNumberFormat="1" applyFont="1" applyBorder="1" applyAlignment="1">
      <alignment horizontal="centerContinuous" vertical="center"/>
    </xf>
    <xf numFmtId="0" fontId="6" fillId="0" borderId="8" xfId="0" applyFont="1" applyBorder="1" applyAlignment="1">
      <alignment horizontal="centerContinuous" vertical="center"/>
    </xf>
    <xf numFmtId="0" fontId="6" fillId="0" borderId="4" xfId="0" applyFont="1" applyBorder="1" applyAlignment="1">
      <alignment horizontal="centerContinuous" vertical="center"/>
    </xf>
    <xf numFmtId="0" fontId="6" fillId="0" borderId="1" xfId="0" applyFont="1" applyBorder="1" applyAlignment="1">
      <alignment horizontal="centerContinuous" vertical="center"/>
    </xf>
    <xf numFmtId="3" fontId="28" fillId="0" borderId="0" xfId="0" applyNumberFormat="1" applyFont="1" applyBorder="1" applyAlignment="1">
      <alignment horizontal="center" vertical="center"/>
    </xf>
    <xf numFmtId="3" fontId="28" fillId="0" borderId="6" xfId="0" applyNumberFormat="1" applyFont="1" applyBorder="1" applyAlignment="1">
      <alignment horizontal="center" vertical="center"/>
    </xf>
    <xf numFmtId="3" fontId="28" fillId="0" borderId="13" xfId="0" applyNumberFormat="1" applyFont="1" applyBorder="1" applyAlignment="1">
      <alignment horizontal="centerContinuous" vertical="center"/>
    </xf>
    <xf numFmtId="3" fontId="28" fillId="0" borderId="13" xfId="0" applyNumberFormat="1" applyFont="1" applyBorder="1" applyAlignment="1">
      <alignment horizontal="center" vertical="center"/>
    </xf>
    <xf numFmtId="3" fontId="28" fillId="0" borderId="14" xfId="0" applyNumberFormat="1" applyFont="1" applyBorder="1" applyAlignment="1">
      <alignment horizontal="center" vertical="center"/>
    </xf>
    <xf numFmtId="3" fontId="28" fillId="0" borderId="3" xfId="0" applyNumberFormat="1" applyFont="1" applyBorder="1" applyAlignment="1">
      <alignment horizontal="center" vertical="center"/>
    </xf>
    <xf numFmtId="3" fontId="9" fillId="0" borderId="0" xfId="0" applyNumberFormat="1" applyFont="1" applyAlignment="1">
      <alignment vertical="center"/>
    </xf>
    <xf numFmtId="0" fontId="6" fillId="0" borderId="12" xfId="0" applyFont="1" applyBorder="1" applyAlignment="1">
      <alignment horizontal="centerContinuous" vertical="center"/>
    </xf>
    <xf numFmtId="0" fontId="6" fillId="0" borderId="2" xfId="0" applyFont="1" applyBorder="1" applyAlignment="1">
      <alignment horizontal="centerContinuous" vertical="center"/>
    </xf>
    <xf numFmtId="0" fontId="6" fillId="0" borderId="3" xfId="0" applyFont="1" applyBorder="1"/>
    <xf numFmtId="0" fontId="0" fillId="0" borderId="0" xfId="0" applyAlignment="1"/>
    <xf numFmtId="3" fontId="9" fillId="0" borderId="0" xfId="0" applyNumberFormat="1" applyFont="1" applyBorder="1" applyAlignment="1">
      <alignment vertical="center"/>
    </xf>
    <xf numFmtId="0" fontId="29" fillId="0" borderId="0" xfId="0" applyFont="1" applyAlignment="1">
      <alignment horizontal="centerContinuous"/>
    </xf>
    <xf numFmtId="0" fontId="0" fillId="5" borderId="0" xfId="0" applyFill="1"/>
    <xf numFmtId="0" fontId="1" fillId="5" borderId="0" xfId="0" applyFont="1" applyFill="1" applyAlignment="1">
      <alignment horizontal="centerContinuous"/>
    </xf>
    <xf numFmtId="0" fontId="15" fillId="5" borderId="0" xfId="0" applyFont="1" applyFill="1" applyAlignment="1">
      <alignment horizontal="centerContinuous"/>
    </xf>
    <xf numFmtId="0" fontId="0" fillId="5" borderId="0" xfId="0" applyFill="1" applyAlignment="1">
      <alignment horizontal="centerContinuous"/>
    </xf>
    <xf numFmtId="0" fontId="30" fillId="0" borderId="0" xfId="0" applyFont="1" applyAlignment="1">
      <alignment horizontal="centerContinuous"/>
    </xf>
    <xf numFmtId="0" fontId="1" fillId="0" borderId="0" xfId="0" applyFont="1" applyAlignment="1">
      <alignment horizontal="centerContinuous"/>
    </xf>
    <xf numFmtId="0" fontId="22" fillId="5" borderId="0" xfId="0" applyFont="1" applyFill="1" applyAlignment="1">
      <alignment horizontal="centerContinuous"/>
    </xf>
    <xf numFmtId="0" fontId="31" fillId="5" borderId="0" xfId="0" applyFont="1" applyFill="1" applyAlignment="1">
      <alignment horizontal="centerContinuous"/>
    </xf>
    <xf numFmtId="0" fontId="0" fillId="0" borderId="11" xfId="0" applyBorder="1"/>
    <xf numFmtId="0" fontId="0" fillId="0" borderId="6" xfId="0" applyBorder="1" applyAlignment="1">
      <alignment horizontal="centerContinuous"/>
    </xf>
    <xf numFmtId="0" fontId="31" fillId="0" borderId="0" xfId="0" applyFont="1" applyAlignment="1">
      <alignment horizontal="centerContinuous"/>
    </xf>
    <xf numFmtId="0" fontId="9" fillId="0" borderId="5" xfId="0" applyFont="1" applyBorder="1" applyAlignment="1">
      <alignment horizontal="centerContinuous"/>
    </xf>
    <xf numFmtId="0" fontId="9" fillId="0" borderId="11" xfId="0" applyFont="1" applyBorder="1" applyAlignment="1">
      <alignment horizontal="centerContinuous"/>
    </xf>
    <xf numFmtId="0" fontId="0" fillId="0" borderId="9" xfId="0" applyBorder="1"/>
    <xf numFmtId="0" fontId="0" fillId="0" borderId="2" xfId="0" applyBorder="1" applyAlignment="1">
      <alignment horizontal="centerContinuous"/>
    </xf>
    <xf numFmtId="0" fontId="9" fillId="0" borderId="6" xfId="0" applyFont="1" applyBorder="1" applyAlignment="1">
      <alignment horizontal="centerContinuous"/>
    </xf>
    <xf numFmtId="0" fontId="9" fillId="0" borderId="7" xfId="0" applyFont="1" applyBorder="1" applyAlignment="1">
      <alignment horizontal="centerContinuous"/>
    </xf>
    <xf numFmtId="0" fontId="10" fillId="0" borderId="7" xfId="0" applyFont="1" applyBorder="1" applyAlignment="1">
      <alignment horizontal="center"/>
    </xf>
    <xf numFmtId="0" fontId="9" fillId="0" borderId="5" xfId="0" applyFont="1" applyBorder="1" applyAlignment="1">
      <alignment horizontal="center"/>
    </xf>
    <xf numFmtId="0" fontId="0" fillId="0" borderId="11" xfId="0" applyBorder="1" applyAlignment="1">
      <alignment horizontal="centerContinuous"/>
    </xf>
    <xf numFmtId="0" fontId="0" fillId="0" borderId="5" xfId="0" applyBorder="1" applyAlignment="1">
      <alignment horizontal="centerContinuous"/>
    </xf>
    <xf numFmtId="0" fontId="0" fillId="0" borderId="6" xfId="0" applyBorder="1"/>
    <xf numFmtId="0" fontId="0" fillId="0" borderId="13" xfId="0" applyBorder="1"/>
    <xf numFmtId="0" fontId="9" fillId="0" borderId="7" xfId="0" applyFont="1" applyBorder="1" applyAlignment="1">
      <alignment horizontal="center"/>
    </xf>
    <xf numFmtId="0" fontId="9" fillId="0" borderId="3" xfId="0" applyFont="1" applyBorder="1" applyAlignment="1">
      <alignment horizontal="center"/>
    </xf>
    <xf numFmtId="0" fontId="0" fillId="0" borderId="7" xfId="0" applyBorder="1" applyAlignment="1">
      <alignment horizontal="centerContinuous"/>
    </xf>
    <xf numFmtId="3" fontId="0" fillId="0" borderId="2" xfId="0" applyNumberFormat="1" applyBorder="1" applyAlignment="1">
      <alignment horizontal="center" vertical="center"/>
    </xf>
    <xf numFmtId="0" fontId="0" fillId="0" borderId="11" xfId="0" applyBorder="1" applyAlignment="1">
      <alignment horizontal="center"/>
    </xf>
    <xf numFmtId="0" fontId="0" fillId="0" borderId="12" xfId="0" applyBorder="1" applyAlignment="1">
      <alignment horizontal="centerContinuous"/>
    </xf>
    <xf numFmtId="0" fontId="9" fillId="0" borderId="7" xfId="0" applyFont="1" applyBorder="1" applyAlignment="1">
      <alignment horizontal="centerContinuous" vertical="center"/>
    </xf>
    <xf numFmtId="3" fontId="9" fillId="0" borderId="6" xfId="0" applyNumberFormat="1" applyFont="1" applyBorder="1" applyAlignment="1">
      <alignment horizontal="center" vertical="center"/>
    </xf>
    <xf numFmtId="3" fontId="9" fillId="0" borderId="13" xfId="0" applyNumberFormat="1" applyFont="1" applyBorder="1" applyAlignment="1">
      <alignment horizontal="center" vertical="center"/>
    </xf>
    <xf numFmtId="3" fontId="9" fillId="0" borderId="7" xfId="0" applyNumberFormat="1" applyFont="1" applyBorder="1" applyAlignment="1">
      <alignment horizontal="center" vertical="center"/>
    </xf>
    <xf numFmtId="3" fontId="9" fillId="0" borderId="0" xfId="0" applyNumberFormat="1" applyFont="1" applyBorder="1" applyAlignment="1">
      <alignment horizontal="center" vertical="center"/>
    </xf>
    <xf numFmtId="0" fontId="6" fillId="0" borderId="0" xfId="0" applyFont="1"/>
    <xf numFmtId="0" fontId="9" fillId="0" borderId="10" xfId="0" applyFont="1" applyBorder="1" applyAlignment="1">
      <alignment horizontal="centerContinuous"/>
    </xf>
    <xf numFmtId="0" fontId="9" fillId="0" borderId="3" xfId="0" applyFont="1" applyBorder="1" applyAlignment="1">
      <alignment horizontal="center" vertical="center"/>
    </xf>
    <xf numFmtId="3" fontId="9" fillId="0" borderId="14" xfId="0" applyNumberFormat="1" applyFont="1" applyBorder="1" applyAlignment="1">
      <alignment horizontal="center" vertical="center"/>
    </xf>
    <xf numFmtId="3" fontId="9" fillId="0" borderId="10" xfId="0" applyNumberFormat="1" applyFont="1" applyBorder="1" applyAlignment="1">
      <alignment horizontal="center"/>
    </xf>
    <xf numFmtId="3" fontId="9" fillId="0" borderId="3" xfId="0" applyNumberFormat="1" applyFont="1" applyBorder="1" applyAlignment="1">
      <alignment horizontal="centerContinuous"/>
    </xf>
    <xf numFmtId="3" fontId="9" fillId="0" borderId="15" xfId="0" applyNumberFormat="1" applyFont="1" applyBorder="1" applyAlignment="1">
      <alignment horizontal="centerContinuous"/>
    </xf>
    <xf numFmtId="3" fontId="9" fillId="0" borderId="10" xfId="0" applyNumberFormat="1" applyFont="1" applyBorder="1" applyAlignment="1">
      <alignment horizontal="centerContinuous"/>
    </xf>
    <xf numFmtId="0" fontId="9" fillId="0" borderId="0" xfId="0" applyFont="1" applyAlignment="1">
      <alignment horizontal="centerContinuous"/>
    </xf>
    <xf numFmtId="0" fontId="9" fillId="0" borderId="0" xfId="0" applyFont="1" applyAlignment="1">
      <alignment horizontal="left"/>
    </xf>
    <xf numFmtId="3" fontId="9" fillId="0" borderId="0" xfId="0" applyNumberFormat="1" applyFont="1"/>
    <xf numFmtId="3" fontId="9" fillId="0" borderId="0" xfId="0" applyNumberFormat="1" applyFont="1" applyAlignment="1">
      <alignment horizontal="centerContinuous"/>
    </xf>
    <xf numFmtId="0" fontId="9" fillId="0" borderId="0" xfId="0" applyFont="1"/>
    <xf numFmtId="2" fontId="0" fillId="0" borderId="6" xfId="0" applyNumberFormat="1" applyBorder="1" applyAlignment="1">
      <alignment horizontal="centerContinuous" vertical="center"/>
    </xf>
    <xf numFmtId="0" fontId="0" fillId="0" borderId="10" xfId="0" applyBorder="1" applyAlignment="1">
      <alignment vertical="center"/>
    </xf>
    <xf numFmtId="2" fontId="0" fillId="0" borderId="3" xfId="0" applyNumberFormat="1" applyBorder="1" applyAlignment="1">
      <alignment horizontal="centerContinuous" vertical="center"/>
    </xf>
    <xf numFmtId="0" fontId="0" fillId="0" borderId="1" xfId="0" applyBorder="1" applyAlignment="1">
      <alignment horizontal="centerContinuous" vertical="center"/>
    </xf>
    <xf numFmtId="2" fontId="0" fillId="0" borderId="0" xfId="0" applyNumberFormat="1"/>
    <xf numFmtId="168" fontId="0" fillId="0" borderId="0" xfId="0" applyNumberFormat="1"/>
    <xf numFmtId="0" fontId="12" fillId="0" borderId="0" xfId="0" applyFont="1"/>
    <xf numFmtId="0" fontId="0" fillId="0" borderId="0" xfId="0" applyAlignment="1">
      <alignment horizontal="right"/>
    </xf>
    <xf numFmtId="0" fontId="9" fillId="0" borderId="4" xfId="0" applyFont="1" applyBorder="1" applyAlignment="1">
      <alignment horizontal="center" vertical="center" wrapText="1"/>
    </xf>
    <xf numFmtId="165" fontId="6" fillId="0" borderId="13" xfId="0" applyNumberFormat="1" applyFont="1" applyBorder="1" applyAlignment="1">
      <alignment horizontal="center" vertical="center"/>
    </xf>
    <xf numFmtId="165" fontId="7" fillId="0" borderId="13" xfId="0" applyNumberFormat="1" applyFont="1" applyBorder="1" applyAlignment="1">
      <alignment horizontal="center" vertical="center"/>
    </xf>
    <xf numFmtId="165" fontId="7" fillId="0" borderId="14" xfId="0" applyNumberFormat="1" applyFont="1" applyBorder="1" applyAlignment="1">
      <alignment horizontal="center" vertical="center"/>
    </xf>
    <xf numFmtId="3" fontId="0" fillId="0" borderId="0" xfId="0" applyNumberFormat="1" applyFill="1" applyBorder="1" applyAlignment="1">
      <alignment vertical="center"/>
    </xf>
    <xf numFmtId="0" fontId="25" fillId="0" borderId="0" xfId="0" applyFont="1"/>
    <xf numFmtId="0" fontId="20" fillId="2" borderId="0" xfId="0" applyFont="1" applyFill="1" applyAlignment="1">
      <alignment vertical="center"/>
    </xf>
    <xf numFmtId="0" fontId="7" fillId="2" borderId="2"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4" xfId="0" applyFont="1" applyFill="1" applyBorder="1" applyAlignment="1">
      <alignment horizontal="center" vertical="center"/>
    </xf>
    <xf numFmtId="0" fontId="0" fillId="0" borderId="0" xfId="0" applyBorder="1" applyAlignment="1">
      <alignment horizontal="center"/>
    </xf>
    <xf numFmtId="0" fontId="0" fillId="0" borderId="0" xfId="0" applyAlignment="1">
      <alignment horizontal="center"/>
    </xf>
    <xf numFmtId="0" fontId="31" fillId="0" borderId="0" xfId="0" applyFont="1" applyAlignment="1" applyProtection="1">
      <alignment horizontal="centerContinuous"/>
      <protection locked="0"/>
    </xf>
    <xf numFmtId="0" fontId="5" fillId="0" borderId="0" xfId="0" applyFont="1" applyAlignment="1" applyProtection="1">
      <alignment horizontal="centerContinuous"/>
      <protection locked="0"/>
    </xf>
    <xf numFmtId="0" fontId="0" fillId="0" borderId="9" xfId="0" applyBorder="1" applyAlignment="1">
      <alignment horizontal="centerContinuous"/>
    </xf>
    <xf numFmtId="0" fontId="0" fillId="0" borderId="12" xfId="0" applyBorder="1"/>
    <xf numFmtId="0" fontId="9" fillId="0" borderId="13" xfId="0" applyFont="1" applyBorder="1" applyAlignment="1">
      <alignment horizontal="centerContinuous"/>
    </xf>
    <xf numFmtId="0" fontId="9" fillId="0" borderId="2" xfId="0" applyFont="1" applyBorder="1" applyAlignment="1">
      <alignment horizontal="centerContinuous"/>
    </xf>
    <xf numFmtId="0" fontId="9" fillId="0" borderId="11" xfId="0" applyFont="1" applyBorder="1"/>
    <xf numFmtId="0" fontId="9" fillId="0" borderId="2" xfId="0" applyFont="1" applyBorder="1"/>
    <xf numFmtId="0" fontId="9" fillId="0" borderId="6" xfId="0" applyFont="1" applyBorder="1" applyAlignment="1">
      <alignment horizontal="centerContinuous" vertical="center"/>
    </xf>
    <xf numFmtId="0" fontId="9" fillId="0" borderId="13" xfId="0" applyFont="1" applyBorder="1" applyAlignment="1">
      <alignment horizontal="centerContinuous" vertical="center"/>
    </xf>
    <xf numFmtId="0" fontId="9" fillId="0" borderId="7" xfId="0" applyFont="1" applyBorder="1" applyAlignment="1">
      <alignment vertical="center"/>
    </xf>
    <xf numFmtId="0" fontId="9" fillId="0" borderId="13" xfId="0" applyFont="1" applyBorder="1" applyAlignment="1">
      <alignment vertical="center"/>
    </xf>
    <xf numFmtId="0" fontId="9" fillId="0" borderId="3" xfId="0" applyFont="1" applyBorder="1" applyAlignment="1">
      <alignment horizontal="centerContinuous" vertical="center"/>
    </xf>
    <xf numFmtId="0" fontId="9" fillId="0" borderId="10" xfId="0" applyFont="1" applyBorder="1" applyAlignment="1">
      <alignment horizontal="centerContinuous" vertical="center"/>
    </xf>
    <xf numFmtId="0" fontId="9" fillId="0" borderId="14" xfId="0" applyFont="1" applyBorder="1" applyAlignment="1">
      <alignment vertical="center"/>
    </xf>
    <xf numFmtId="0" fontId="9" fillId="0" borderId="14" xfId="0" applyFont="1" applyBorder="1" applyAlignment="1">
      <alignment horizontal="centerContinuous" vertical="center"/>
    </xf>
    <xf numFmtId="0" fontId="9" fillId="0" borderId="12" xfId="0" applyFont="1" applyBorder="1" applyAlignment="1">
      <alignment horizontal="centerContinuous"/>
    </xf>
    <xf numFmtId="0" fontId="9" fillId="0" borderId="7" xfId="0" quotePrefix="1" applyFont="1" applyBorder="1" applyAlignment="1">
      <alignment horizontal="centerContinuous" vertical="center"/>
    </xf>
    <xf numFmtId="165" fontId="9" fillId="0" borderId="13" xfId="0" applyNumberFormat="1" applyFont="1" applyBorder="1" applyAlignment="1">
      <alignment horizontal="centerContinuous" vertical="center"/>
    </xf>
    <xf numFmtId="0" fontId="9" fillId="0" borderId="7" xfId="0" applyFont="1" applyBorder="1" applyAlignment="1">
      <alignment horizontal="center" vertical="center"/>
    </xf>
    <xf numFmtId="0" fontId="9" fillId="0" borderId="0" xfId="0" applyFont="1" applyBorder="1" applyAlignment="1">
      <alignment horizontal="center" vertical="center"/>
    </xf>
    <xf numFmtId="3" fontId="9" fillId="0" borderId="7" xfId="0" applyNumberFormat="1" applyFont="1" applyBorder="1" applyAlignment="1">
      <alignment vertical="center"/>
    </xf>
    <xf numFmtId="165" fontId="9" fillId="0" borderId="13" xfId="0" applyNumberFormat="1" applyFont="1" applyBorder="1" applyAlignment="1">
      <alignment horizontal="center" vertical="center"/>
    </xf>
    <xf numFmtId="0" fontId="9" fillId="0" borderId="3" xfId="0" applyFont="1" applyBorder="1" applyAlignment="1">
      <alignment horizontal="centerContinuous"/>
    </xf>
    <xf numFmtId="0" fontId="9" fillId="0" borderId="14" xfId="0" applyFont="1" applyBorder="1" applyAlignment="1">
      <alignment horizontal="centerContinuous"/>
    </xf>
    <xf numFmtId="0" fontId="9" fillId="0" borderId="15" xfId="0" applyFont="1" applyBorder="1" applyAlignment="1">
      <alignment horizontal="centerContinuous"/>
    </xf>
    <xf numFmtId="0" fontId="9" fillId="0" borderId="0" xfId="0" applyFont="1" applyAlignment="1"/>
    <xf numFmtId="0" fontId="9" fillId="0" borderId="13" xfId="0" applyFont="1" applyBorder="1"/>
    <xf numFmtId="0" fontId="9" fillId="0" borderId="12" xfId="0" applyFont="1" applyBorder="1" applyAlignment="1">
      <alignment horizontal="center"/>
    </xf>
    <xf numFmtId="165" fontId="9" fillId="0" borderId="0" xfId="0" applyNumberFormat="1" applyFont="1" applyAlignment="1">
      <alignment horizontal="centerContinuous" vertical="center"/>
    </xf>
    <xf numFmtId="165" fontId="9" fillId="0" borderId="0" xfId="0" applyNumberFormat="1" applyFont="1" applyAlignment="1">
      <alignment horizontal="center" vertical="center"/>
    </xf>
    <xf numFmtId="1" fontId="9" fillId="0" borderId="0" xfId="0" applyNumberFormat="1" applyFont="1" applyBorder="1" applyAlignment="1">
      <alignment horizontal="center" vertical="center"/>
    </xf>
    <xf numFmtId="165" fontId="9" fillId="0" borderId="0" xfId="0" applyNumberFormat="1" applyFont="1" applyBorder="1" applyAlignment="1">
      <alignment horizontal="center" vertical="center"/>
    </xf>
    <xf numFmtId="3" fontId="9" fillId="0" borderId="7" xfId="0" applyNumberFormat="1" applyFont="1" applyBorder="1" applyAlignment="1">
      <alignment horizontal="centerContinuous" vertical="center"/>
    </xf>
    <xf numFmtId="0" fontId="33" fillId="0" borderId="0" xfId="0" applyFont="1" applyAlignment="1">
      <alignment horizontal="centerContinuous"/>
    </xf>
    <xf numFmtId="0" fontId="0" fillId="0" borderId="11" xfId="0" applyBorder="1" applyAlignment="1">
      <alignment horizontal="centerContinuous" vertical="center"/>
    </xf>
    <xf numFmtId="0" fontId="0" fillId="0" borderId="2" xfId="0" applyBorder="1" applyAlignment="1">
      <alignment horizontal="centerContinuous" vertical="center"/>
    </xf>
    <xf numFmtId="0" fontId="9" fillId="0" borderId="0" xfId="0" applyFont="1" applyAlignment="1">
      <alignment horizontal="centerContinuous" vertical="center"/>
    </xf>
    <xf numFmtId="1" fontId="9" fillId="0" borderId="7" xfId="0" applyNumberFormat="1" applyFont="1" applyBorder="1" applyAlignment="1">
      <alignment horizontal="center" vertical="center"/>
    </xf>
    <xf numFmtId="0" fontId="9" fillId="0" borderId="10" xfId="0" applyFont="1" applyBorder="1" applyAlignment="1">
      <alignment horizontal="center"/>
    </xf>
    <xf numFmtId="0" fontId="9" fillId="0" borderId="14" xfId="0" applyFont="1" applyBorder="1" applyAlignment="1">
      <alignment horizontal="center"/>
    </xf>
    <xf numFmtId="0" fontId="9" fillId="0" borderId="15" xfId="0" applyFont="1" applyBorder="1" applyAlignment="1">
      <alignment horizontal="center"/>
    </xf>
    <xf numFmtId="0" fontId="9" fillId="0" borderId="11" xfId="0" applyFont="1" applyBorder="1" applyAlignment="1">
      <alignment horizontal="centerContinuous" vertical="center"/>
    </xf>
    <xf numFmtId="0" fontId="9" fillId="0" borderId="2" xfId="0" applyFont="1" applyBorder="1" applyAlignment="1">
      <alignment horizontal="centerContinuous" vertical="center"/>
    </xf>
    <xf numFmtId="0" fontId="9" fillId="0" borderId="12" xfId="0" applyFont="1" applyBorder="1" applyAlignment="1">
      <alignment horizontal="centerContinuous" vertical="center"/>
    </xf>
    <xf numFmtId="0" fontId="28" fillId="0" borderId="5" xfId="0" applyFont="1" applyBorder="1" applyAlignment="1">
      <alignment horizontal="centerContinuous" vertical="center"/>
    </xf>
    <xf numFmtId="0" fontId="28" fillId="0" borderId="11" xfId="0" applyFont="1" applyBorder="1" applyAlignment="1">
      <alignment horizontal="centerContinuous" vertical="center"/>
    </xf>
    <xf numFmtId="0" fontId="28" fillId="0" borderId="2" xfId="0" applyFont="1" applyBorder="1" applyAlignment="1">
      <alignment horizontal="centerContinuous" vertical="center"/>
    </xf>
    <xf numFmtId="0" fontId="5" fillId="0" borderId="0" xfId="0" applyFont="1"/>
    <xf numFmtId="0" fontId="10" fillId="0" borderId="5" xfId="0" applyFont="1" applyBorder="1" applyAlignment="1"/>
    <xf numFmtId="0" fontId="0" fillId="0" borderId="12" xfId="0" applyBorder="1" applyAlignment="1">
      <alignment vertical="center"/>
    </xf>
    <xf numFmtId="0" fontId="0" fillId="0" borderId="12" xfId="0" applyBorder="1" applyAlignment="1">
      <alignment horizontal="centerContinuous" vertical="center"/>
    </xf>
    <xf numFmtId="0" fontId="0" fillId="0" borderId="2" xfId="0" applyBorder="1" applyAlignment="1">
      <alignment horizontal="center" vertical="center"/>
    </xf>
    <xf numFmtId="0" fontId="10" fillId="0" borderId="3" xfId="0" applyFont="1" applyBorder="1" applyAlignment="1">
      <alignment vertical="top" wrapText="1"/>
    </xf>
    <xf numFmtId="0" fontId="9" fillId="0" borderId="1" xfId="0" applyFont="1" applyBorder="1" applyAlignment="1">
      <alignment horizontal="center" vertical="top" wrapText="1"/>
    </xf>
    <xf numFmtId="0" fontId="9" fillId="0" borderId="9" xfId="0" applyFont="1" applyBorder="1" applyAlignment="1">
      <alignment horizontal="centerContinuous" vertical="center"/>
    </xf>
    <xf numFmtId="0" fontId="9" fillId="0" borderId="8" xfId="0" applyFont="1" applyBorder="1" applyAlignment="1">
      <alignment horizontal="centerContinuous" vertical="center"/>
    </xf>
    <xf numFmtId="0" fontId="9" fillId="0" borderId="4" xfId="0" applyFont="1" applyBorder="1" applyAlignment="1">
      <alignment horizontal="centerContinuous" vertical="center"/>
    </xf>
    <xf numFmtId="0" fontId="9" fillId="0" borderId="6" xfId="0" applyFont="1" applyBorder="1" applyAlignment="1">
      <alignment vertical="center"/>
    </xf>
    <xf numFmtId="0" fontId="6" fillId="0" borderId="6" xfId="0" applyFont="1" applyBorder="1" applyAlignment="1">
      <alignment horizontal="center" vertical="center"/>
    </xf>
    <xf numFmtId="0" fontId="6" fillId="0" borderId="0" xfId="0" applyFont="1" applyBorder="1" applyAlignment="1">
      <alignment horizontal="center" vertical="center"/>
    </xf>
    <xf numFmtId="0" fontId="9" fillId="0" borderId="3" xfId="0" applyFont="1" applyBorder="1" applyAlignment="1">
      <alignment vertical="center"/>
    </xf>
    <xf numFmtId="0" fontId="6" fillId="0" borderId="3" xfId="0" applyFont="1" applyBorder="1" applyAlignment="1">
      <alignment horizontal="center" vertical="center"/>
    </xf>
    <xf numFmtId="0" fontId="6" fillId="0" borderId="15" xfId="0" applyFont="1" applyBorder="1" applyAlignment="1">
      <alignment horizontal="centerContinuous" vertical="center"/>
    </xf>
    <xf numFmtId="0" fontId="6" fillId="0" borderId="3" xfId="0" applyFont="1" applyBorder="1" applyAlignment="1">
      <alignment horizontal="centerContinuous" vertical="center"/>
    </xf>
    <xf numFmtId="3" fontId="6" fillId="0" borderId="14" xfId="0" applyNumberFormat="1" applyFont="1" applyBorder="1" applyAlignment="1">
      <alignment horizontal="centerContinuous" vertical="center"/>
    </xf>
    <xf numFmtId="0" fontId="9" fillId="0" borderId="0" xfId="0" applyFont="1" applyBorder="1" applyAlignment="1">
      <alignment vertical="center"/>
    </xf>
    <xf numFmtId="0" fontId="22" fillId="0" borderId="0" xfId="0" applyFont="1" applyAlignment="1">
      <alignment horizontal="center"/>
    </xf>
    <xf numFmtId="0" fontId="36" fillId="0" borderId="0" xfId="0" applyFont="1"/>
    <xf numFmtId="0" fontId="15" fillId="0" borderId="0" xfId="0" applyFont="1"/>
    <xf numFmtId="0" fontId="0" fillId="0" borderId="2" xfId="0" applyBorder="1"/>
    <xf numFmtId="0" fontId="10" fillId="0" borderId="3" xfId="0" applyFont="1" applyBorder="1" applyAlignment="1">
      <alignment vertical="center" wrapText="1"/>
    </xf>
    <xf numFmtId="16" fontId="0" fillId="0" borderId="10" xfId="0" quotePrefix="1" applyNumberFormat="1" applyBorder="1" applyAlignment="1">
      <alignment horizontal="center" vertical="center"/>
    </xf>
    <xf numFmtId="16" fontId="0" fillId="0" borderId="15" xfId="0" quotePrefix="1" applyNumberFormat="1" applyBorder="1" applyAlignment="1">
      <alignment horizontal="center" vertical="center"/>
    </xf>
    <xf numFmtId="0" fontId="0" fillId="0" borderId="14" xfId="0" applyBorder="1" applyAlignment="1">
      <alignment vertical="center"/>
    </xf>
    <xf numFmtId="0" fontId="36" fillId="0" borderId="0" xfId="0" applyFont="1" applyAlignment="1">
      <alignment vertical="center"/>
    </xf>
    <xf numFmtId="166" fontId="34" fillId="0" borderId="0" xfId="0" applyNumberFormat="1" applyFont="1" applyBorder="1" applyAlignment="1">
      <alignment horizontal="center" vertical="center"/>
    </xf>
    <xf numFmtId="166" fontId="6" fillId="0" borderId="0" xfId="0" applyNumberFormat="1" applyFont="1" applyBorder="1" applyAlignment="1">
      <alignment horizontal="center" vertical="center"/>
    </xf>
    <xf numFmtId="166" fontId="6" fillId="0" borderId="15" xfId="0" applyNumberFormat="1" applyFont="1" applyBorder="1" applyAlignment="1">
      <alignment horizontal="centerContinuous" vertical="center"/>
    </xf>
    <xf numFmtId="0" fontId="0" fillId="0" borderId="13" xfId="0" applyBorder="1" applyAlignment="1">
      <alignment horizontal="center" vertical="center"/>
    </xf>
    <xf numFmtId="0" fontId="36" fillId="0" borderId="0" xfId="0" applyFont="1" applyFill="1" applyBorder="1" applyAlignment="1">
      <alignment horizontal="center" vertical="center"/>
    </xf>
    <xf numFmtId="0" fontId="6" fillId="0" borderId="14" xfId="0" applyFont="1" applyBorder="1" applyAlignment="1">
      <alignment horizontal="centerContinuous" vertical="center"/>
    </xf>
    <xf numFmtId="0" fontId="9" fillId="0" borderId="6" xfId="0" applyFont="1" applyFill="1" applyBorder="1" applyAlignment="1">
      <alignment vertical="center"/>
    </xf>
    <xf numFmtId="0" fontId="6" fillId="0" borderId="0" xfId="0" applyFont="1" applyFill="1" applyBorder="1" applyAlignment="1">
      <alignment horizontal="center" vertical="center"/>
    </xf>
    <xf numFmtId="3" fontId="19" fillId="0" borderId="1" xfId="0" applyNumberFormat="1" applyFont="1" applyBorder="1" applyAlignment="1">
      <alignment horizontal="center" vertical="center"/>
    </xf>
    <xf numFmtId="3" fontId="0" fillId="0" borderId="11" xfId="0" applyNumberFormat="1" applyBorder="1"/>
    <xf numFmtId="0" fontId="0" fillId="0" borderId="7" xfId="0" applyBorder="1"/>
    <xf numFmtId="0" fontId="0" fillId="0" borderId="13" xfId="0" applyBorder="1" applyAlignment="1">
      <alignment horizontal="centerContinuous"/>
    </xf>
    <xf numFmtId="0" fontId="0" fillId="0" borderId="10" xfId="0" applyBorder="1"/>
    <xf numFmtId="0" fontId="0" fillId="0" borderId="14" xfId="0" applyBorder="1"/>
    <xf numFmtId="0" fontId="0" fillId="0" borderId="2" xfId="0" applyBorder="1" applyAlignment="1">
      <alignment vertical="center"/>
    </xf>
    <xf numFmtId="3" fontId="0" fillId="0" borderId="0" xfId="0" applyNumberFormat="1" applyBorder="1" applyAlignment="1">
      <alignment horizontal="center" vertical="center"/>
    </xf>
    <xf numFmtId="2" fontId="0" fillId="0" borderId="13" xfId="0" applyNumberFormat="1" applyBorder="1" applyAlignment="1">
      <alignment horizontal="center" vertical="center"/>
    </xf>
    <xf numFmtId="3" fontId="0" fillId="0" borderId="15" xfId="0" applyNumberFormat="1" applyBorder="1" applyAlignment="1">
      <alignment horizontal="center" vertical="center"/>
    </xf>
    <xf numFmtId="2" fontId="0" fillId="0" borderId="14" xfId="0" applyNumberFormat="1" applyBorder="1" applyAlignment="1">
      <alignment horizontal="center" vertical="center"/>
    </xf>
    <xf numFmtId="3" fontId="9" fillId="0" borderId="0" xfId="0" applyNumberFormat="1" applyFont="1" applyBorder="1" applyAlignment="1">
      <alignment horizontal="centerContinuous"/>
    </xf>
    <xf numFmtId="0" fontId="37" fillId="0" borderId="0" xfId="0" applyFont="1" applyAlignment="1">
      <alignment horizontal="center"/>
    </xf>
    <xf numFmtId="0" fontId="38" fillId="0" borderId="0" xfId="0" applyFont="1" applyAlignment="1">
      <alignment horizontal="center"/>
    </xf>
    <xf numFmtId="0" fontId="6" fillId="0" borderId="5" xfId="0" applyFont="1" applyBorder="1" applyAlignment="1">
      <alignment vertical="center"/>
    </xf>
    <xf numFmtId="0" fontId="10" fillId="0" borderId="5" xfId="0" applyFont="1" applyBorder="1" applyAlignment="1">
      <alignment horizontal="centerContinuous" vertical="center"/>
    </xf>
    <xf numFmtId="0" fontId="10" fillId="0" borderId="6" xfId="0" applyFont="1" applyBorder="1" applyAlignment="1">
      <alignment horizontal="centerContinuous" vertical="center"/>
    </xf>
    <xf numFmtId="0" fontId="6" fillId="0" borderId="10" xfId="0" applyFont="1" applyBorder="1" applyAlignment="1">
      <alignment horizontal="centerContinuous" vertical="center"/>
    </xf>
    <xf numFmtId="0" fontId="19" fillId="0" borderId="6" xfId="0" applyFont="1" applyBorder="1" applyAlignment="1">
      <alignment vertical="center"/>
    </xf>
    <xf numFmtId="3" fontId="19" fillId="0" borderId="6" xfId="0" applyNumberFormat="1" applyFont="1" applyBorder="1" applyAlignment="1">
      <alignment horizontal="center"/>
    </xf>
    <xf numFmtId="165" fontId="19" fillId="0" borderId="0" xfId="0" applyNumberFormat="1" applyFont="1" applyBorder="1" applyAlignment="1">
      <alignment horizontal="center"/>
    </xf>
    <xf numFmtId="165" fontId="19" fillId="0" borderId="13" xfId="0" applyNumberFormat="1" applyFont="1" applyBorder="1" applyAlignment="1">
      <alignment horizontal="center"/>
    </xf>
    <xf numFmtId="3" fontId="19" fillId="0" borderId="3" xfId="0" applyNumberFormat="1" applyFont="1" applyBorder="1" applyAlignment="1">
      <alignment horizontal="center"/>
    </xf>
    <xf numFmtId="165" fontId="19" fillId="0" borderId="15" xfId="0" applyNumberFormat="1" applyFont="1" applyBorder="1" applyAlignment="1">
      <alignment horizontal="center"/>
    </xf>
    <xf numFmtId="165" fontId="19" fillId="0" borderId="14" xfId="0" applyNumberFormat="1" applyFont="1" applyBorder="1" applyAlignment="1">
      <alignment horizontal="center"/>
    </xf>
    <xf numFmtId="0" fontId="9" fillId="0" borderId="1" xfId="0" applyFont="1" applyBorder="1" applyAlignment="1">
      <alignment horizontal="center" vertical="center"/>
    </xf>
    <xf numFmtId="0" fontId="10" fillId="0" borderId="1" xfId="0" applyFont="1" applyBorder="1" applyAlignment="1">
      <alignment horizontal="center" vertical="center"/>
    </xf>
    <xf numFmtId="3" fontId="19" fillId="0" borderId="1" xfId="0" applyNumberFormat="1" applyFont="1" applyBorder="1" applyAlignment="1">
      <alignment horizontal="center"/>
    </xf>
    <xf numFmtId="165" fontId="19" fillId="0" borderId="1" xfId="0" applyNumberFormat="1" applyFont="1" applyBorder="1" applyAlignment="1">
      <alignment horizontal="center"/>
    </xf>
    <xf numFmtId="3" fontId="0" fillId="0" borderId="0" xfId="0" applyNumberFormat="1" applyAlignment="1">
      <alignment vertical="center"/>
    </xf>
    <xf numFmtId="0" fontId="39" fillId="0" borderId="11" xfId="0" applyFont="1" applyBorder="1" applyAlignment="1">
      <alignment horizontal="center" vertical="center"/>
    </xf>
    <xf numFmtId="0" fontId="39" fillId="0" borderId="5" xfId="0" applyFont="1" applyBorder="1" applyAlignment="1">
      <alignment horizontal="center" vertical="center"/>
    </xf>
    <xf numFmtId="0" fontId="39" fillId="0" borderId="7" xfId="0" applyFont="1" applyBorder="1" applyAlignment="1">
      <alignment horizontal="left" vertical="center"/>
    </xf>
    <xf numFmtId="0" fontId="39" fillId="0" borderId="6" xfId="0" applyFont="1" applyBorder="1" applyAlignment="1">
      <alignment horizontal="left" vertical="center"/>
    </xf>
    <xf numFmtId="0" fontId="39" fillId="0" borderId="7" xfId="0" applyFont="1" applyBorder="1" applyAlignment="1">
      <alignment horizontal="center" vertical="center"/>
    </xf>
    <xf numFmtId="0" fontId="39" fillId="0" borderId="0" xfId="0" applyFont="1" applyBorder="1" applyAlignment="1">
      <alignment horizontal="center" vertical="center"/>
    </xf>
    <xf numFmtId="0" fontId="39" fillId="0" borderId="13" xfId="0" applyFont="1" applyBorder="1" applyAlignment="1">
      <alignment horizontal="center" vertical="center"/>
    </xf>
    <xf numFmtId="0" fontId="39" fillId="0" borderId="10" xfId="0" applyFont="1" applyBorder="1" applyAlignment="1">
      <alignment horizontal="left" vertical="center"/>
    </xf>
    <xf numFmtId="0" fontId="39" fillId="0" borderId="3" xfId="0" applyFont="1" applyBorder="1" applyAlignment="1">
      <alignment horizontal="left" vertical="center"/>
    </xf>
    <xf numFmtId="0" fontId="39" fillId="0" borderId="10" xfId="0" applyFont="1" applyBorder="1" applyAlignment="1">
      <alignment horizontal="center" vertical="center"/>
    </xf>
    <xf numFmtId="0" fontId="39" fillId="0" borderId="15" xfId="0" applyFont="1" applyBorder="1" applyAlignment="1">
      <alignment horizontal="center" vertical="center"/>
    </xf>
    <xf numFmtId="0" fontId="39" fillId="0" borderId="14" xfId="0" applyFont="1" applyBorder="1" applyAlignment="1">
      <alignment horizontal="center" vertical="center"/>
    </xf>
    <xf numFmtId="165" fontId="39" fillId="0" borderId="13" xfId="0" applyNumberFormat="1" applyFont="1" applyBorder="1" applyAlignment="1">
      <alignment horizontal="center" vertical="center"/>
    </xf>
    <xf numFmtId="165" fontId="39" fillId="0" borderId="0" xfId="0" applyNumberFormat="1" applyFont="1" applyBorder="1" applyAlignment="1">
      <alignment horizontal="center" vertical="center"/>
    </xf>
    <xf numFmtId="3" fontId="39" fillId="0" borderId="7" xfId="0" applyNumberFormat="1" applyFont="1" applyBorder="1" applyAlignment="1">
      <alignment horizontal="center" vertical="center"/>
    </xf>
    <xf numFmtId="3" fontId="39" fillId="0" borderId="0" xfId="0" applyNumberFormat="1" applyFont="1" applyBorder="1" applyAlignment="1">
      <alignment horizontal="center" vertical="center"/>
    </xf>
    <xf numFmtId="165" fontId="39" fillId="0" borderId="14" xfId="0" applyNumberFormat="1" applyFont="1" applyBorder="1" applyAlignment="1">
      <alignment horizontal="center" vertical="center"/>
    </xf>
    <xf numFmtId="165" fontId="39" fillId="0" borderId="15" xfId="0" applyNumberFormat="1" applyFont="1" applyBorder="1" applyAlignment="1">
      <alignment horizontal="center" vertical="center"/>
    </xf>
    <xf numFmtId="3" fontId="39" fillId="0" borderId="10" xfId="0" applyNumberFormat="1" applyFont="1" applyBorder="1" applyAlignment="1">
      <alignment horizontal="center" vertical="center"/>
    </xf>
    <xf numFmtId="3" fontId="39" fillId="0" borderId="15" xfId="0" applyNumberFormat="1" applyFont="1" applyBorder="1" applyAlignment="1">
      <alignment horizontal="center" vertical="center"/>
    </xf>
    <xf numFmtId="0" fontId="22" fillId="0" borderId="0" xfId="0" applyFont="1"/>
    <xf numFmtId="0" fontId="39" fillId="0" borderId="11" xfId="0" applyFont="1" applyBorder="1" applyAlignment="1">
      <alignment vertical="center"/>
    </xf>
    <xf numFmtId="0" fontId="39" fillId="0" borderId="9" xfId="0" applyFont="1" applyBorder="1" applyAlignment="1">
      <alignment horizontal="center" vertical="center"/>
    </xf>
    <xf numFmtId="0" fontId="39" fillId="0" borderId="8" xfId="0" applyFont="1" applyBorder="1" applyAlignment="1">
      <alignment horizontal="center" vertical="center"/>
    </xf>
    <xf numFmtId="0" fontId="39" fillId="0" borderId="4" xfId="0" applyFont="1" applyBorder="1" applyAlignment="1">
      <alignment horizontal="center" vertical="center"/>
    </xf>
    <xf numFmtId="0" fontId="39" fillId="0" borderId="7" xfId="0" applyFont="1" applyBorder="1" applyAlignment="1">
      <alignment vertical="center"/>
    </xf>
    <xf numFmtId="0" fontId="39" fillId="0" borderId="10" xfId="0" applyFont="1" applyBorder="1" applyAlignment="1">
      <alignment vertical="center"/>
    </xf>
    <xf numFmtId="1" fontId="39" fillId="0" borderId="13" xfId="0" applyNumberFormat="1" applyFont="1" applyBorder="1" applyAlignment="1">
      <alignment horizontal="center" vertical="center"/>
    </xf>
    <xf numFmtId="1" fontId="39" fillId="0" borderId="0" xfId="0" applyNumberFormat="1" applyFont="1" applyBorder="1" applyAlignment="1">
      <alignment horizontal="center" vertical="center"/>
    </xf>
    <xf numFmtId="0" fontId="0" fillId="0" borderId="4" xfId="0" applyBorder="1"/>
    <xf numFmtId="0" fontId="39" fillId="0" borderId="13" xfId="0" applyFont="1" applyBorder="1" applyAlignment="1">
      <alignment horizontal="center"/>
    </xf>
    <xf numFmtId="0" fontId="39" fillId="0" borderId="10" xfId="0" applyFont="1" applyBorder="1" applyAlignment="1">
      <alignment horizontal="center"/>
    </xf>
    <xf numFmtId="0" fontId="39" fillId="0" borderId="14" xfId="0" applyFont="1" applyBorder="1" applyAlignment="1">
      <alignment horizontal="center"/>
    </xf>
    <xf numFmtId="0" fontId="39" fillId="0" borderId="15" xfId="0" applyFont="1" applyBorder="1" applyAlignment="1">
      <alignment horizontal="center"/>
    </xf>
    <xf numFmtId="0" fontId="39" fillId="0" borderId="7" xfId="0" applyFont="1" applyBorder="1"/>
    <xf numFmtId="0" fontId="39" fillId="0" borderId="13" xfId="0" applyFont="1" applyBorder="1"/>
    <xf numFmtId="3" fontId="39" fillId="0" borderId="7" xfId="0" applyNumberFormat="1" applyFont="1" applyBorder="1" applyAlignment="1">
      <alignment horizontal="center"/>
    </xf>
    <xf numFmtId="3" fontId="39" fillId="0" borderId="0" xfId="0" applyNumberFormat="1" applyFont="1" applyBorder="1" applyAlignment="1">
      <alignment horizontal="center"/>
    </xf>
    <xf numFmtId="0" fontId="39" fillId="0" borderId="10" xfId="0" applyFont="1" applyBorder="1"/>
    <xf numFmtId="0" fontId="39" fillId="0" borderId="14" xfId="0" applyFont="1" applyBorder="1"/>
    <xf numFmtId="3" fontId="39" fillId="0" borderId="10" xfId="0" applyNumberFormat="1" applyFont="1" applyBorder="1" applyAlignment="1">
      <alignment horizontal="center"/>
    </xf>
    <xf numFmtId="3" fontId="39" fillId="0" borderId="15" xfId="0" applyNumberFormat="1" applyFont="1" applyBorder="1" applyAlignment="1">
      <alignment horizontal="center"/>
    </xf>
    <xf numFmtId="3" fontId="39" fillId="0" borderId="14" xfId="0" applyNumberFormat="1" applyFont="1" applyBorder="1" applyAlignment="1">
      <alignment horizontal="center"/>
    </xf>
    <xf numFmtId="0" fontId="39" fillId="0" borderId="0" xfId="0" applyFont="1"/>
    <xf numFmtId="0" fontId="20" fillId="0" borderId="0" xfId="0" applyFont="1"/>
    <xf numFmtId="0" fontId="39" fillId="0" borderId="11" xfId="0" applyFont="1" applyBorder="1"/>
    <xf numFmtId="0" fontId="39" fillId="0" borderId="12" xfId="0" applyFont="1" applyBorder="1"/>
    <xf numFmtId="3" fontId="39" fillId="0" borderId="11" xfId="0" applyNumberFormat="1" applyFont="1" applyBorder="1"/>
    <xf numFmtId="3" fontId="39" fillId="0" borderId="2" xfId="0" applyNumberFormat="1" applyFont="1" applyBorder="1"/>
    <xf numFmtId="3" fontId="39" fillId="0" borderId="12" xfId="0" applyNumberFormat="1" applyFont="1" applyBorder="1"/>
    <xf numFmtId="0" fontId="39" fillId="0" borderId="2" xfId="0" applyFont="1" applyBorder="1"/>
    <xf numFmtId="0" fontId="39" fillId="0" borderId="0" xfId="0" applyFont="1" applyBorder="1"/>
    <xf numFmtId="3" fontId="39" fillId="0" borderId="7" xfId="0" applyNumberFormat="1" applyFont="1" applyBorder="1"/>
    <xf numFmtId="3" fontId="39" fillId="0" borderId="13" xfId="0" applyNumberFormat="1" applyFont="1" applyBorder="1"/>
    <xf numFmtId="3" fontId="39" fillId="0" borderId="0" xfId="0" applyNumberFormat="1" applyFont="1" applyBorder="1"/>
    <xf numFmtId="0" fontId="19" fillId="0" borderId="7" xfId="0" applyFont="1" applyBorder="1"/>
    <xf numFmtId="0" fontId="19" fillId="0" borderId="0" xfId="0" applyFont="1" applyBorder="1"/>
    <xf numFmtId="0" fontId="9" fillId="0" borderId="0" xfId="0" applyFont="1" applyBorder="1"/>
    <xf numFmtId="3" fontId="39" fillId="0" borderId="10" xfId="0" applyNumberFormat="1" applyFont="1" applyBorder="1"/>
    <xf numFmtId="3" fontId="39" fillId="0" borderId="14" xfId="0" applyNumberFormat="1" applyFont="1" applyBorder="1"/>
    <xf numFmtId="3" fontId="39" fillId="0" borderId="15" xfId="0" applyNumberFormat="1" applyFont="1" applyBorder="1"/>
    <xf numFmtId="0" fontId="19" fillId="0" borderId="10" xfId="0" applyFont="1" applyBorder="1"/>
    <xf numFmtId="0" fontId="39" fillId="0" borderId="1" xfId="0" applyFont="1" applyBorder="1"/>
    <xf numFmtId="0" fontId="39" fillId="0" borderId="1" xfId="0" applyFont="1" applyBorder="1" applyAlignment="1">
      <alignment horizontal="center"/>
    </xf>
    <xf numFmtId="3" fontId="39" fillId="0" borderId="1" xfId="0" applyNumberFormat="1" applyFont="1" applyBorder="1" applyAlignment="1">
      <alignment horizontal="center"/>
    </xf>
    <xf numFmtId="0" fontId="39" fillId="0" borderId="5" xfId="0" applyFont="1" applyBorder="1"/>
    <xf numFmtId="0" fontId="39" fillId="0" borderId="9" xfId="0" applyFont="1" applyBorder="1"/>
    <xf numFmtId="0" fontId="39" fillId="0" borderId="4" xfId="0" applyFont="1" applyBorder="1"/>
    <xf numFmtId="0" fontId="27" fillId="0" borderId="0" xfId="0" applyFont="1" applyAlignment="1">
      <alignment horizontal="center"/>
    </xf>
    <xf numFmtId="0" fontId="39" fillId="0" borderId="4" xfId="0" applyFont="1" applyBorder="1" applyAlignment="1">
      <alignment horizontal="center"/>
    </xf>
    <xf numFmtId="0" fontId="39" fillId="0" borderId="6" xfId="0" applyFont="1" applyBorder="1" applyAlignment="1">
      <alignment horizontal="center"/>
    </xf>
    <xf numFmtId="2" fontId="39" fillId="0" borderId="0" xfId="0" applyNumberFormat="1" applyFont="1" applyBorder="1" applyAlignment="1">
      <alignment horizontal="center"/>
    </xf>
    <xf numFmtId="1" fontId="39" fillId="0" borderId="13" xfId="0" applyNumberFormat="1" applyFont="1" applyBorder="1" applyAlignment="1">
      <alignment horizontal="center"/>
    </xf>
    <xf numFmtId="0" fontId="39" fillId="0" borderId="3" xfId="0" applyFont="1" applyBorder="1" applyAlignment="1">
      <alignment horizontal="center"/>
    </xf>
    <xf numFmtId="2" fontId="39" fillId="0" borderId="15" xfId="0" applyNumberFormat="1" applyFont="1" applyBorder="1" applyAlignment="1">
      <alignment horizontal="center"/>
    </xf>
    <xf numFmtId="0" fontId="39" fillId="0" borderId="0" xfId="0" applyFont="1" applyBorder="1" applyAlignment="1">
      <alignment horizontal="center"/>
    </xf>
    <xf numFmtId="0" fontId="19" fillId="0" borderId="0" xfId="0" applyFont="1"/>
    <xf numFmtId="0" fontId="39" fillId="0" borderId="11" xfId="0" applyFont="1" applyBorder="1" applyAlignment="1"/>
    <xf numFmtId="165" fontId="39" fillId="0" borderId="7" xfId="0" applyNumberFormat="1" applyFont="1" applyBorder="1" applyAlignment="1">
      <alignment horizontal="center" vertical="center"/>
    </xf>
    <xf numFmtId="165" fontId="39" fillId="0" borderId="10" xfId="0" applyNumberFormat="1" applyFont="1" applyBorder="1" applyAlignment="1">
      <alignment horizontal="center" vertical="center"/>
    </xf>
    <xf numFmtId="0" fontId="41" fillId="0" borderId="11" xfId="0" applyFont="1" applyBorder="1" applyAlignment="1">
      <alignment horizontal="centerContinuous" vertical="center"/>
    </xf>
    <xf numFmtId="0" fontId="41" fillId="0" borderId="2" xfId="0" applyFont="1" applyBorder="1" applyAlignment="1">
      <alignment horizontal="centerContinuous" vertical="center"/>
    </xf>
    <xf numFmtId="0" fontId="9" fillId="0" borderId="0" xfId="0" applyFont="1" applyBorder="1" applyAlignment="1">
      <alignment horizontal="centerContinuous" vertical="center"/>
    </xf>
    <xf numFmtId="0" fontId="41" fillId="0" borderId="7" xfId="0" applyFont="1" applyBorder="1" applyAlignment="1">
      <alignment horizontal="centerContinuous" vertical="center"/>
    </xf>
    <xf numFmtId="0" fontId="41" fillId="0" borderId="13" xfId="0" applyFont="1" applyBorder="1" applyAlignment="1">
      <alignment horizontal="centerContinuous" vertical="center"/>
    </xf>
    <xf numFmtId="0" fontId="41" fillId="0" borderId="10" xfId="0" applyFont="1" applyBorder="1" applyAlignment="1">
      <alignment horizontal="centerContinuous" vertical="center"/>
    </xf>
    <xf numFmtId="0" fontId="41" fillId="0" borderId="14" xfId="0" applyFont="1" applyBorder="1" applyAlignment="1">
      <alignment horizontal="centerContinuous" vertical="center"/>
    </xf>
    <xf numFmtId="0" fontId="9" fillId="0" borderId="15" xfId="0" applyFont="1" applyBorder="1" applyAlignment="1">
      <alignment horizontal="centerContinuous" vertical="center"/>
    </xf>
    <xf numFmtId="0" fontId="3" fillId="0" borderId="7" xfId="0" applyFont="1" applyBorder="1" applyAlignment="1">
      <alignment horizontal="center" vertical="center"/>
    </xf>
    <xf numFmtId="0" fontId="3" fillId="0" borderId="13" xfId="0" applyFont="1" applyBorder="1" applyAlignment="1">
      <alignment horizontal="center" vertical="center"/>
    </xf>
    <xf numFmtId="0" fontId="3" fillId="0" borderId="7" xfId="0" applyFont="1" applyBorder="1" applyAlignment="1">
      <alignment vertical="center"/>
    </xf>
    <xf numFmtId="0" fontId="3" fillId="0" borderId="13" xfId="0" applyFont="1" applyBorder="1" applyAlignment="1">
      <alignment vertical="center"/>
    </xf>
    <xf numFmtId="0" fontId="9" fillId="0" borderId="6" xfId="0" quotePrefix="1" applyFont="1" applyBorder="1" applyAlignment="1">
      <alignment horizontal="centerContinuous" vertical="center"/>
    </xf>
    <xf numFmtId="0" fontId="19" fillId="0" borderId="0" xfId="0" applyFont="1" applyAlignment="1">
      <alignment horizontal="center" vertical="center"/>
    </xf>
    <xf numFmtId="0" fontId="19" fillId="0" borderId="7" xfId="0" applyFont="1" applyBorder="1" applyAlignment="1">
      <alignment horizontal="center" vertical="center"/>
    </xf>
    <xf numFmtId="0" fontId="19" fillId="0" borderId="13" xfId="0" applyFont="1" applyBorder="1" applyAlignment="1">
      <alignment horizontal="center" vertical="center"/>
    </xf>
    <xf numFmtId="0" fontId="42" fillId="0" borderId="7" xfId="0" applyFont="1" applyBorder="1" applyAlignment="1">
      <alignment horizontal="center" vertical="center"/>
    </xf>
    <xf numFmtId="0" fontId="42" fillId="0" borderId="13" xfId="0" applyFont="1" applyBorder="1" applyAlignment="1">
      <alignment horizontal="center" vertical="center"/>
    </xf>
    <xf numFmtId="3" fontId="41" fillId="0" borderId="7" xfId="0" applyNumberFormat="1" applyFont="1" applyBorder="1" applyAlignment="1">
      <alignment horizontal="center" vertical="center"/>
    </xf>
    <xf numFmtId="3" fontId="41" fillId="0" borderId="13" xfId="0" applyNumberFormat="1" applyFont="1" applyBorder="1" applyAlignment="1">
      <alignment horizontal="center" vertical="center"/>
    </xf>
    <xf numFmtId="3" fontId="41" fillId="0" borderId="0" xfId="0" applyNumberFormat="1" applyFont="1" applyBorder="1" applyAlignment="1">
      <alignment horizontal="center" vertical="center"/>
    </xf>
    <xf numFmtId="3" fontId="19" fillId="0" borderId="10" xfId="0" applyNumberFormat="1" applyFont="1" applyBorder="1" applyAlignment="1">
      <alignment horizontal="center" vertical="center"/>
    </xf>
    <xf numFmtId="3" fontId="19" fillId="0" borderId="15" xfId="0" applyNumberFormat="1" applyFont="1" applyBorder="1" applyAlignment="1">
      <alignment horizontal="center" vertical="center"/>
    </xf>
    <xf numFmtId="3" fontId="19" fillId="0" borderId="14" xfId="0" applyNumberFormat="1" applyFont="1" applyBorder="1" applyAlignment="1">
      <alignment horizontal="center" vertical="center"/>
    </xf>
    <xf numFmtId="3" fontId="42" fillId="0" borderId="10" xfId="0" applyNumberFormat="1" applyFont="1" applyBorder="1" applyAlignment="1">
      <alignment horizontal="center" vertical="center"/>
    </xf>
    <xf numFmtId="3" fontId="42" fillId="0" borderId="14" xfId="0" applyNumberFormat="1" applyFont="1" applyBorder="1" applyAlignment="1">
      <alignment horizontal="center" vertical="center"/>
    </xf>
    <xf numFmtId="3" fontId="41" fillId="0" borderId="10" xfId="0" applyNumberFormat="1" applyFont="1" applyBorder="1" applyAlignment="1">
      <alignment horizontal="center" vertical="center"/>
    </xf>
    <xf numFmtId="3" fontId="41" fillId="0" borderId="14" xfId="0" applyNumberFormat="1" applyFont="1" applyBorder="1" applyAlignment="1">
      <alignment horizontal="center" vertical="center"/>
    </xf>
    <xf numFmtId="0" fontId="43" fillId="0" borderId="0" xfId="0" applyFont="1" applyAlignment="1">
      <alignment horizontal="center" vertical="center"/>
    </xf>
    <xf numFmtId="0" fontId="10" fillId="0" borderId="5" xfId="0" applyFont="1" applyBorder="1" applyAlignment="1">
      <alignment vertical="center"/>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19" fillId="0" borderId="2" xfId="0" applyFont="1" applyBorder="1" applyAlignment="1">
      <alignment horizontal="center" vertical="center"/>
    </xf>
    <xf numFmtId="0" fontId="42" fillId="0" borderId="12" xfId="0" applyFont="1" applyBorder="1" applyAlignment="1">
      <alignment horizontal="center" vertical="center"/>
    </xf>
    <xf numFmtId="3" fontId="41" fillId="0" borderId="11" xfId="0" applyNumberFormat="1" applyFont="1" applyBorder="1" applyAlignment="1">
      <alignment horizontal="center" vertical="center"/>
    </xf>
    <xf numFmtId="3" fontId="41" fillId="0" borderId="2" xfId="0" applyNumberFormat="1" applyFont="1" applyBorder="1" applyAlignment="1">
      <alignment horizontal="center" vertical="center"/>
    </xf>
    <xf numFmtId="0" fontId="10" fillId="0" borderId="3" xfId="0" applyFont="1" applyBorder="1" applyAlignment="1">
      <alignment vertical="center"/>
    </xf>
    <xf numFmtId="2" fontId="19" fillId="0" borderId="10" xfId="0" applyNumberFormat="1" applyFont="1" applyBorder="1" applyAlignment="1">
      <alignment horizontal="center" vertical="center"/>
    </xf>
    <xf numFmtId="2" fontId="19" fillId="0" borderId="15" xfId="0" applyNumberFormat="1" applyFont="1" applyBorder="1" applyAlignment="1">
      <alignment horizontal="center" vertical="center"/>
    </xf>
    <xf numFmtId="2" fontId="41" fillId="0" borderId="15" xfId="0" applyNumberFormat="1" applyFont="1" applyBorder="1" applyAlignment="1">
      <alignment horizontal="center" vertical="center"/>
    </xf>
    <xf numFmtId="3" fontId="41" fillId="0" borderId="15" xfId="0" applyNumberFormat="1" applyFont="1" applyBorder="1" applyAlignment="1">
      <alignment horizontal="center" vertical="center"/>
    </xf>
    <xf numFmtId="2" fontId="41" fillId="0" borderId="10" xfId="0" applyNumberFormat="1" applyFont="1" applyBorder="1" applyAlignment="1">
      <alignment horizontal="center" vertical="center"/>
    </xf>
    <xf numFmtId="0" fontId="6" fillId="0" borderId="11" xfId="0" applyFont="1" applyBorder="1" applyAlignment="1">
      <alignment horizontal="centerContinuous" vertical="center"/>
    </xf>
    <xf numFmtId="0" fontId="0" fillId="0" borderId="3" xfId="0" applyBorder="1" applyAlignment="1">
      <alignment horizontal="center" vertical="top"/>
    </xf>
    <xf numFmtId="0" fontId="28" fillId="0" borderId="1" xfId="0" quotePrefix="1" applyFont="1" applyBorder="1" applyAlignment="1">
      <alignment horizontal="centerContinuous" vertical="center" wrapText="1"/>
    </xf>
    <xf numFmtId="0" fontId="6" fillId="0" borderId="1" xfId="0" applyFont="1" applyBorder="1" applyAlignment="1">
      <alignment horizontal="center" vertical="center"/>
    </xf>
    <xf numFmtId="0" fontId="6" fillId="0" borderId="9" xfId="0" applyFont="1" applyBorder="1" applyAlignment="1">
      <alignment horizontal="center" vertical="center"/>
    </xf>
    <xf numFmtId="0" fontId="28" fillId="0" borderId="1" xfId="0" applyFont="1" applyBorder="1" applyAlignment="1">
      <alignment horizontal="centerContinuous" vertical="center" wrapText="1"/>
    </xf>
    <xf numFmtId="0" fontId="28" fillId="0" borderId="1" xfId="0" applyFont="1" applyBorder="1" applyAlignment="1">
      <alignment horizontal="center" vertical="center" wrapText="1"/>
    </xf>
    <xf numFmtId="0" fontId="28" fillId="0" borderId="12" xfId="0" applyFont="1" applyBorder="1" applyAlignment="1">
      <alignment horizontal="center" vertical="center" wrapText="1"/>
    </xf>
    <xf numFmtId="0" fontId="10" fillId="0" borderId="0" xfId="0" applyFont="1" applyAlignment="1">
      <alignment vertical="center"/>
    </xf>
    <xf numFmtId="0" fontId="19" fillId="0" borderId="5" xfId="0" applyFont="1" applyBorder="1" applyAlignment="1">
      <alignment horizontal="center" vertical="center"/>
    </xf>
    <xf numFmtId="0" fontId="19" fillId="0" borderId="10" xfId="0" applyFont="1" applyBorder="1" applyAlignment="1">
      <alignment vertical="center"/>
    </xf>
    <xf numFmtId="1" fontId="39" fillId="0" borderId="9" xfId="0" applyNumberFormat="1" applyFont="1" applyBorder="1" applyAlignment="1">
      <alignment horizontal="center" vertical="center"/>
    </xf>
    <xf numFmtId="1" fontId="39" fillId="0" borderId="8" xfId="0" applyNumberFormat="1" applyFont="1" applyBorder="1" applyAlignment="1">
      <alignment horizontal="center" vertical="center"/>
    </xf>
    <xf numFmtId="1" fontId="39" fillId="0" borderId="4" xfId="0" applyNumberFormat="1" applyFont="1" applyBorder="1" applyAlignment="1">
      <alignment horizontal="center" vertical="center"/>
    </xf>
    <xf numFmtId="0" fontId="19" fillId="0" borderId="7" xfId="0" applyFont="1" applyBorder="1" applyAlignment="1">
      <alignment vertical="center"/>
    </xf>
    <xf numFmtId="3" fontId="39" fillId="0" borderId="13" xfId="0" applyNumberFormat="1" applyFont="1" applyBorder="1" applyAlignment="1">
      <alignment horizontal="center" vertical="center"/>
    </xf>
    <xf numFmtId="3" fontId="39" fillId="0" borderId="2" xfId="0" applyNumberFormat="1" applyFont="1" applyBorder="1" applyAlignment="1">
      <alignment horizontal="center" vertical="center"/>
    </xf>
    <xf numFmtId="3" fontId="39" fillId="0" borderId="11" xfId="0" applyNumberFormat="1" applyFont="1" applyBorder="1" applyAlignment="1">
      <alignment horizontal="center" vertical="center"/>
    </xf>
    <xf numFmtId="3" fontId="39" fillId="0" borderId="12" xfId="0" applyNumberFormat="1" applyFont="1" applyBorder="1" applyAlignment="1">
      <alignment horizontal="center" vertical="center"/>
    </xf>
    <xf numFmtId="0" fontId="43" fillId="0" borderId="7" xfId="0" applyFont="1" applyBorder="1" applyAlignment="1">
      <alignment vertical="center"/>
    </xf>
    <xf numFmtId="0" fontId="19" fillId="0" borderId="0" xfId="0" applyFont="1" applyBorder="1" applyAlignment="1">
      <alignment vertical="center"/>
    </xf>
    <xf numFmtId="3" fontId="20" fillId="0" borderId="7" xfId="0" applyNumberFormat="1" applyFont="1" applyBorder="1" applyAlignment="1">
      <alignment horizontal="center" vertical="center"/>
    </xf>
    <xf numFmtId="3" fontId="20" fillId="0" borderId="0" xfId="0" applyNumberFormat="1" applyFont="1" applyBorder="1" applyAlignment="1">
      <alignment horizontal="center" vertical="center"/>
    </xf>
    <xf numFmtId="3" fontId="20" fillId="0" borderId="13" xfId="0" applyNumberFormat="1" applyFont="1" applyBorder="1" applyAlignment="1">
      <alignment horizontal="center" vertical="center"/>
    </xf>
    <xf numFmtId="0" fontId="14" fillId="0" borderId="7" xfId="0" applyFont="1" applyBorder="1" applyAlignment="1">
      <alignment vertical="center"/>
    </xf>
    <xf numFmtId="3" fontId="20" fillId="0" borderId="10" xfId="0" applyNumberFormat="1" applyFont="1" applyBorder="1" applyAlignment="1">
      <alignment horizontal="center" vertical="center"/>
    </xf>
    <xf numFmtId="3" fontId="20" fillId="0" borderId="15" xfId="0" applyNumberFormat="1" applyFont="1" applyBorder="1" applyAlignment="1">
      <alignment horizontal="center" vertical="center"/>
    </xf>
    <xf numFmtId="3" fontId="20" fillId="0" borderId="14" xfId="0" applyNumberFormat="1" applyFont="1" applyBorder="1" applyAlignment="1">
      <alignment horizontal="center" vertical="center"/>
    </xf>
    <xf numFmtId="0" fontId="19" fillId="0" borderId="11" xfId="0" applyFont="1" applyBorder="1" applyAlignment="1">
      <alignment vertical="center"/>
    </xf>
    <xf numFmtId="0" fontId="19" fillId="0" borderId="5" xfId="0" applyFont="1" applyBorder="1" applyAlignment="1">
      <alignment vertical="center"/>
    </xf>
    <xf numFmtId="0" fontId="39" fillId="0" borderId="0" xfId="0" applyFont="1" applyAlignment="1">
      <alignment vertical="center"/>
    </xf>
    <xf numFmtId="0" fontId="14" fillId="0" borderId="0" xfId="0" applyFont="1" applyBorder="1" applyAlignment="1">
      <alignment vertical="center"/>
    </xf>
    <xf numFmtId="0" fontId="39" fillId="0" borderId="0" xfId="0" applyFont="1" applyAlignment="1">
      <alignment horizontal="center"/>
    </xf>
    <xf numFmtId="0" fontId="14" fillId="0" borderId="13" xfId="0" applyFont="1" applyBorder="1" applyAlignment="1">
      <alignment vertical="center"/>
    </xf>
    <xf numFmtId="0" fontId="20" fillId="0" borderId="0" xfId="0" applyFont="1" applyAlignment="1">
      <alignment vertical="center"/>
    </xf>
    <xf numFmtId="3" fontId="39" fillId="0" borderId="0" xfId="0" applyNumberFormat="1" applyFont="1" applyAlignment="1">
      <alignment horizontal="center"/>
    </xf>
    <xf numFmtId="3" fontId="39" fillId="0" borderId="11" xfId="0" applyNumberFormat="1" applyFont="1" applyBorder="1" applyAlignment="1">
      <alignment vertical="center"/>
    </xf>
    <xf numFmtId="3" fontId="39" fillId="0" borderId="0" xfId="0" applyNumberFormat="1" applyFont="1" applyBorder="1" applyAlignment="1">
      <alignment vertical="center"/>
    </xf>
    <xf numFmtId="3" fontId="39" fillId="0" borderId="13" xfId="0" applyNumberFormat="1" applyFont="1" applyBorder="1" applyAlignment="1">
      <alignment vertical="center"/>
    </xf>
    <xf numFmtId="3" fontId="39" fillId="0" borderId="7" xfId="0" applyNumberFormat="1" applyFont="1" applyBorder="1" applyAlignment="1">
      <alignment vertical="center"/>
    </xf>
    <xf numFmtId="3" fontId="39" fillId="0" borderId="0" xfId="0" applyNumberFormat="1" applyFont="1" applyAlignment="1">
      <alignment vertical="center"/>
    </xf>
    <xf numFmtId="3" fontId="20" fillId="0" borderId="0" xfId="0" applyNumberFormat="1" applyFont="1" applyAlignment="1">
      <alignment vertical="center"/>
    </xf>
    <xf numFmtId="3" fontId="20" fillId="0" borderId="10" xfId="0" applyNumberFormat="1" applyFont="1" applyBorder="1" applyAlignment="1">
      <alignment vertical="center"/>
    </xf>
    <xf numFmtId="3" fontId="20" fillId="0" borderId="15" xfId="0" applyNumberFormat="1" applyFont="1" applyBorder="1" applyAlignment="1">
      <alignment vertical="center"/>
    </xf>
    <xf numFmtId="3" fontId="39" fillId="0" borderId="0" xfId="0" applyNumberFormat="1" applyFont="1"/>
    <xf numFmtId="0" fontId="19" fillId="0" borderId="11" xfId="0" applyFont="1" applyBorder="1"/>
    <xf numFmtId="0" fontId="19" fillId="0" borderId="3" xfId="0" applyFont="1" applyBorder="1" applyAlignment="1">
      <alignment vertical="center"/>
    </xf>
    <xf numFmtId="3" fontId="39" fillId="0" borderId="0" xfId="0" applyNumberFormat="1" applyFont="1" applyAlignment="1">
      <alignment horizontal="center" vertical="center"/>
    </xf>
    <xf numFmtId="3" fontId="20" fillId="0" borderId="0" xfId="0" applyNumberFormat="1" applyFont="1" applyAlignment="1">
      <alignment horizontal="center" vertical="center"/>
    </xf>
    <xf numFmtId="0" fontId="39" fillId="0" borderId="0" xfId="0" applyFont="1" applyAlignment="1">
      <alignment horizontal="center" vertical="center"/>
    </xf>
    <xf numFmtId="0" fontId="20" fillId="0" borderId="0" xfId="0" applyFont="1" applyAlignment="1">
      <alignment horizontal="center" vertical="center"/>
    </xf>
    <xf numFmtId="0" fontId="19" fillId="0" borderId="9" xfId="0" applyFont="1" applyBorder="1" applyAlignment="1">
      <alignment horizontal="center" vertical="center"/>
    </xf>
    <xf numFmtId="0" fontId="19" fillId="0" borderId="4" xfId="0" applyFont="1" applyBorder="1" applyAlignment="1">
      <alignment horizontal="center" vertical="center"/>
    </xf>
    <xf numFmtId="0" fontId="39" fillId="0" borderId="5" xfId="0" applyFont="1" applyBorder="1" applyAlignment="1">
      <alignment vertical="center"/>
    </xf>
    <xf numFmtId="0" fontId="6" fillId="0" borderId="8" xfId="0" applyFont="1" applyBorder="1" applyAlignment="1">
      <alignment horizontal="center" vertical="center"/>
    </xf>
    <xf numFmtId="0" fontId="39" fillId="0" borderId="6" xfId="0" applyFont="1" applyBorder="1" applyAlignment="1">
      <alignment vertical="center"/>
    </xf>
    <xf numFmtId="3" fontId="6" fillId="0" borderId="13" xfId="0" applyNumberFormat="1" applyFont="1" applyBorder="1" applyAlignment="1">
      <alignment horizontal="center" vertical="center"/>
    </xf>
    <xf numFmtId="0" fontId="39" fillId="0" borderId="3" xfId="0" applyFont="1" applyBorder="1" applyAlignment="1">
      <alignment vertical="center"/>
    </xf>
    <xf numFmtId="3" fontId="39" fillId="0" borderId="14" xfId="0" applyNumberFormat="1" applyFont="1" applyBorder="1" applyAlignment="1">
      <alignment horizontal="center" vertical="center"/>
    </xf>
    <xf numFmtId="0" fontId="6" fillId="0" borderId="4" xfId="0" applyFont="1" applyBorder="1" applyAlignment="1">
      <alignment horizontal="center" vertical="center"/>
    </xf>
    <xf numFmtId="0" fontId="6" fillId="0" borderId="7" xfId="0" applyFont="1" applyBorder="1" applyAlignment="1">
      <alignment horizontal="center" vertical="center"/>
    </xf>
    <xf numFmtId="0" fontId="6" fillId="0" borderId="13" xfId="0" applyFont="1" applyBorder="1" applyAlignment="1">
      <alignment horizontal="center" vertical="center"/>
    </xf>
    <xf numFmtId="0" fontId="6" fillId="0" borderId="12" xfId="0" applyFont="1" applyBorder="1" applyAlignment="1">
      <alignment horizontal="center" vertical="center"/>
    </xf>
    <xf numFmtId="0" fontId="6" fillId="0" borderId="2" xfId="0" applyFont="1" applyBorder="1" applyAlignment="1">
      <alignment horizontal="center" vertical="center"/>
    </xf>
    <xf numFmtId="0" fontId="6" fillId="0" borderId="15" xfId="0" applyFont="1" applyBorder="1" applyAlignment="1">
      <alignment horizontal="center" vertical="center"/>
    </xf>
    <xf numFmtId="0" fontId="6" fillId="0" borderId="11" xfId="0" applyFont="1" applyBorder="1" applyAlignment="1">
      <alignment horizontal="center" vertical="center"/>
    </xf>
    <xf numFmtId="0" fontId="6" fillId="0" borderId="5" xfId="0" applyFont="1" applyBorder="1"/>
    <xf numFmtId="3" fontId="6" fillId="0" borderId="12" xfId="0" applyNumberFormat="1" applyFont="1" applyBorder="1" applyAlignment="1">
      <alignment vertical="center"/>
    </xf>
    <xf numFmtId="3" fontId="6" fillId="0" borderId="2" xfId="0" applyNumberFormat="1" applyFont="1" applyBorder="1" applyAlignment="1">
      <alignment vertical="center"/>
    </xf>
    <xf numFmtId="3" fontId="6" fillId="0" borderId="11" xfId="0" applyNumberFormat="1" applyFont="1" applyBorder="1" applyAlignment="1">
      <alignment vertical="center"/>
    </xf>
    <xf numFmtId="0" fontId="6" fillId="0" borderId="6" xfId="0" applyFont="1" applyBorder="1"/>
    <xf numFmtId="3" fontId="6" fillId="0" borderId="0" xfId="0" applyNumberFormat="1" applyFont="1" applyBorder="1" applyAlignment="1">
      <alignment horizontal="center" vertical="center"/>
    </xf>
    <xf numFmtId="3" fontId="6" fillId="0" borderId="7" xfId="0" applyNumberFormat="1" applyFont="1" applyBorder="1" applyAlignment="1">
      <alignment horizontal="center" vertical="center"/>
    </xf>
    <xf numFmtId="0" fontId="6" fillId="0" borderId="0" xfId="0" applyFont="1" applyAlignment="1">
      <alignment horizontal="center"/>
    </xf>
    <xf numFmtId="3" fontId="6" fillId="0" borderId="15" xfId="0" applyNumberFormat="1" applyFont="1" applyBorder="1" applyAlignment="1">
      <alignment horizontal="center" vertical="center"/>
    </xf>
    <xf numFmtId="3" fontId="6" fillId="0" borderId="14" xfId="0" applyNumberFormat="1" applyFont="1" applyBorder="1" applyAlignment="1">
      <alignment horizontal="center" vertical="center"/>
    </xf>
    <xf numFmtId="3" fontId="6" fillId="0" borderId="10" xfId="0" applyNumberFormat="1" applyFont="1" applyBorder="1" applyAlignment="1">
      <alignment horizontal="center" vertical="center"/>
    </xf>
    <xf numFmtId="3" fontId="6" fillId="0" borderId="0" xfId="0" applyNumberFormat="1" applyFont="1" applyAlignment="1">
      <alignment horizontal="center" vertical="center"/>
    </xf>
    <xf numFmtId="3" fontId="6" fillId="0" borderId="11" xfId="0" applyNumberFormat="1" applyFont="1" applyBorder="1" applyAlignment="1">
      <alignment horizontal="center" vertical="center"/>
    </xf>
    <xf numFmtId="3" fontId="6" fillId="0" borderId="12" xfId="0" applyNumberFormat="1" applyFont="1" applyBorder="1" applyAlignment="1">
      <alignment horizontal="center" vertical="center"/>
    </xf>
    <xf numFmtId="3" fontId="6" fillId="0" borderId="2" xfId="0" applyNumberFormat="1" applyFont="1" applyBorder="1" applyAlignment="1">
      <alignment horizontal="center" vertical="center"/>
    </xf>
    <xf numFmtId="0" fontId="6" fillId="0" borderId="11" xfId="0" applyFont="1" applyBorder="1" applyAlignment="1">
      <alignment vertical="center"/>
    </xf>
    <xf numFmtId="0" fontId="6" fillId="0" borderId="12" xfId="0" applyFont="1" applyBorder="1" applyAlignment="1">
      <alignment vertical="center"/>
    </xf>
    <xf numFmtId="0" fontId="6" fillId="0" borderId="7" xfId="0" applyFont="1" applyBorder="1" applyAlignment="1">
      <alignment vertical="center"/>
    </xf>
    <xf numFmtId="0" fontId="6" fillId="0" borderId="0" xfId="0" applyFont="1" applyBorder="1" applyAlignment="1">
      <alignment vertical="center"/>
    </xf>
    <xf numFmtId="0" fontId="6" fillId="0" borderId="15" xfId="0" applyFont="1" applyBorder="1" applyAlignment="1">
      <alignment vertical="center"/>
    </xf>
    <xf numFmtId="0" fontId="6" fillId="0" borderId="10" xfId="0" applyFont="1" applyBorder="1" applyAlignment="1">
      <alignment horizontal="center" vertical="center"/>
    </xf>
    <xf numFmtId="0" fontId="6" fillId="0" borderId="14" xfId="0" applyFont="1" applyBorder="1" applyAlignment="1">
      <alignment horizontal="center" vertical="center"/>
    </xf>
    <xf numFmtId="0" fontId="6" fillId="0" borderId="10" xfId="0" applyFont="1" applyBorder="1" applyAlignment="1">
      <alignment vertical="center"/>
    </xf>
    <xf numFmtId="3" fontId="6" fillId="0" borderId="0" xfId="0" applyNumberFormat="1" applyFont="1" applyAlignment="1">
      <alignment vertical="center"/>
    </xf>
    <xf numFmtId="0" fontId="0" fillId="0" borderId="15" xfId="0" applyBorder="1" applyAlignment="1">
      <alignment horizontal="center"/>
    </xf>
    <xf numFmtId="3" fontId="39" fillId="0" borderId="9" xfId="0" applyNumberFormat="1" applyFont="1" applyBorder="1" applyAlignment="1">
      <alignment vertical="center"/>
    </xf>
    <xf numFmtId="3" fontId="14" fillId="0" borderId="8" xfId="0" applyNumberFormat="1" applyFont="1" applyBorder="1" applyAlignment="1">
      <alignment horizontal="center" vertical="center" wrapText="1"/>
    </xf>
    <xf numFmtId="3" fontId="14" fillId="0" borderId="4" xfId="0" applyNumberFormat="1" applyFont="1" applyBorder="1" applyAlignment="1">
      <alignment horizontal="center" vertical="center" wrapText="1"/>
    </xf>
    <xf numFmtId="3" fontId="39" fillId="0" borderId="3" xfId="0" applyNumberFormat="1" applyFont="1" applyBorder="1" applyAlignment="1">
      <alignment vertical="center"/>
    </xf>
    <xf numFmtId="3" fontId="14" fillId="0" borderId="14" xfId="0" applyNumberFormat="1" applyFont="1" applyBorder="1" applyAlignment="1">
      <alignment horizontal="center" vertical="center" wrapText="1"/>
    </xf>
    <xf numFmtId="3" fontId="16" fillId="0" borderId="14" xfId="0" applyNumberFormat="1" applyFont="1" applyBorder="1" applyAlignment="1">
      <alignment horizontal="center" vertical="center" wrapText="1"/>
    </xf>
    <xf numFmtId="3" fontId="16" fillId="0" borderId="3" xfId="0" applyNumberFormat="1" applyFont="1" applyBorder="1" applyAlignment="1">
      <alignment horizontal="center" vertical="center" wrapText="1"/>
    </xf>
    <xf numFmtId="3" fontId="45" fillId="0" borderId="16" xfId="0" applyNumberFormat="1" applyFont="1" applyFill="1" applyBorder="1" applyAlignment="1" applyProtection="1">
      <alignment vertical="center"/>
    </xf>
    <xf numFmtId="3" fontId="45" fillId="0" borderId="5" xfId="0" applyNumberFormat="1" applyFont="1" applyFill="1" applyBorder="1" applyAlignment="1" applyProtection="1">
      <alignment horizontal="center" vertical="center"/>
    </xf>
    <xf numFmtId="3" fontId="46" fillId="0" borderId="0" xfId="0" applyNumberFormat="1" applyFont="1" applyFill="1" applyBorder="1" applyAlignment="1" applyProtection="1">
      <alignment horizontal="center" vertical="center"/>
    </xf>
    <xf numFmtId="3" fontId="45" fillId="0" borderId="17" xfId="0" applyNumberFormat="1" applyFont="1" applyFill="1" applyBorder="1" applyAlignment="1" applyProtection="1">
      <alignment vertical="center"/>
    </xf>
    <xf numFmtId="3" fontId="45" fillId="0" borderId="6" xfId="0" applyNumberFormat="1" applyFont="1" applyFill="1" applyBorder="1" applyAlignment="1" applyProtection="1">
      <alignment horizontal="center" vertical="center"/>
    </xf>
    <xf numFmtId="3" fontId="45" fillId="0" borderId="17" xfId="0" quotePrefix="1" applyNumberFormat="1" applyFont="1" applyFill="1" applyBorder="1" applyAlignment="1" applyProtection="1">
      <alignment horizontal="left" vertical="center"/>
    </xf>
    <xf numFmtId="3" fontId="45" fillId="0" borderId="18" xfId="0" applyNumberFormat="1" applyFont="1" applyFill="1" applyBorder="1" applyAlignment="1" applyProtection="1">
      <alignment vertical="center"/>
    </xf>
    <xf numFmtId="3" fontId="45" fillId="0" borderId="3" xfId="0" applyNumberFormat="1" applyFont="1" applyFill="1" applyBorder="1" applyAlignment="1" applyProtection="1">
      <alignment horizontal="center" vertical="center"/>
    </xf>
    <xf numFmtId="3" fontId="39" fillId="0" borderId="3" xfId="0" applyNumberFormat="1" applyFont="1" applyBorder="1" applyAlignment="1">
      <alignment horizontal="center" vertical="center"/>
    </xf>
    <xf numFmtId="0" fontId="19" fillId="0" borderId="0" xfId="0" applyFont="1" applyBorder="1" applyAlignment="1">
      <alignment horizontal="center"/>
    </xf>
    <xf numFmtId="0" fontId="19" fillId="0" borderId="0" xfId="0" applyFont="1" applyAlignment="1">
      <alignment horizontal="center"/>
    </xf>
    <xf numFmtId="3" fontId="19" fillId="0" borderId="1" xfId="0" applyNumberFormat="1" applyFont="1" applyBorder="1" applyAlignment="1">
      <alignment horizontal="center" vertical="center" wrapText="1"/>
    </xf>
    <xf numFmtId="3" fontId="19" fillId="0" borderId="0" xfId="0" applyNumberFormat="1" applyFont="1" applyAlignment="1">
      <alignment horizontal="center" vertical="center"/>
    </xf>
    <xf numFmtId="3" fontId="14" fillId="0" borderId="1" xfId="0" applyNumberFormat="1" applyFont="1" applyBorder="1" applyAlignment="1">
      <alignment horizontal="center" vertical="center" wrapText="1"/>
    </xf>
    <xf numFmtId="0" fontId="45" fillId="0" borderId="1"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xf>
    <xf numFmtId="3" fontId="45" fillId="0" borderId="1" xfId="0" applyNumberFormat="1" applyFont="1" applyFill="1" applyBorder="1" applyAlignment="1" applyProtection="1">
      <alignment vertical="center"/>
    </xf>
    <xf numFmtId="3" fontId="45" fillId="0" borderId="1" xfId="0" applyNumberFormat="1" applyFont="1" applyFill="1" applyBorder="1" applyAlignment="1" applyProtection="1">
      <alignment horizontal="center" vertical="center"/>
    </xf>
    <xf numFmtId="3" fontId="45" fillId="0" borderId="1" xfId="0" quotePrefix="1" applyNumberFormat="1" applyFont="1" applyFill="1" applyBorder="1" applyAlignment="1" applyProtection="1">
      <alignment horizontal="left" vertical="center"/>
    </xf>
    <xf numFmtId="3" fontId="45" fillId="0" borderId="0" xfId="0" applyNumberFormat="1" applyFont="1" applyFill="1" applyBorder="1" applyAlignment="1" applyProtection="1">
      <alignment vertical="center"/>
    </xf>
    <xf numFmtId="0" fontId="15" fillId="0" borderId="0" xfId="0" applyFont="1" applyAlignment="1">
      <alignment horizontal="center"/>
    </xf>
    <xf numFmtId="0" fontId="49" fillId="0" borderId="7" xfId="0" applyFont="1" applyFill="1" applyBorder="1" applyAlignment="1" applyProtection="1">
      <alignment horizontal="center" vertical="center" wrapText="1"/>
    </xf>
    <xf numFmtId="0" fontId="49" fillId="0" borderId="6" xfId="0" applyFont="1" applyFill="1" applyBorder="1" applyAlignment="1" applyProtection="1">
      <alignment horizontal="center" vertical="center" wrapText="1"/>
    </xf>
    <xf numFmtId="3" fontId="14" fillId="0" borderId="13" xfId="0" applyNumberFormat="1" applyFont="1" applyBorder="1" applyAlignment="1">
      <alignment horizontal="center" vertical="center" wrapText="1"/>
    </xf>
    <xf numFmtId="0" fontId="14" fillId="0" borderId="3" xfId="0" applyFont="1" applyBorder="1" applyAlignment="1">
      <alignment horizontal="center" wrapText="1"/>
    </xf>
    <xf numFmtId="3" fontId="50" fillId="0" borderId="10" xfId="0" applyNumberFormat="1" applyFont="1" applyFill="1" applyBorder="1" applyAlignment="1" applyProtection="1">
      <alignment horizontal="center" vertical="center" wrapText="1"/>
    </xf>
    <xf numFmtId="3" fontId="49" fillId="0" borderId="1" xfId="0" applyNumberFormat="1" applyFont="1" applyFill="1" applyBorder="1" applyAlignment="1" applyProtection="1">
      <alignment horizontal="center" vertical="center" wrapText="1"/>
    </xf>
    <xf numFmtId="3" fontId="48" fillId="0" borderId="1" xfId="0" applyNumberFormat="1" applyFont="1" applyBorder="1" applyAlignment="1">
      <alignment horizontal="center"/>
    </xf>
    <xf numFmtId="0" fontId="50" fillId="6" borderId="19" xfId="0" applyFont="1" applyFill="1" applyBorder="1" applyAlignment="1" applyProtection="1">
      <alignment horizontal="left" vertical="center"/>
    </xf>
    <xf numFmtId="0" fontId="48" fillId="6" borderId="7" xfId="0" applyFont="1" applyFill="1" applyBorder="1" applyAlignment="1" applyProtection="1">
      <alignment horizontal="center" vertical="center"/>
    </xf>
    <xf numFmtId="3" fontId="32" fillId="0" borderId="11" xfId="0" applyNumberFormat="1" applyFont="1" applyBorder="1" applyAlignment="1">
      <alignment horizontal="center" vertical="center"/>
    </xf>
    <xf numFmtId="3" fontId="32" fillId="0" borderId="5" xfId="0" applyNumberFormat="1" applyFont="1" applyBorder="1" applyAlignment="1">
      <alignment horizontal="center" vertical="center"/>
    </xf>
    <xf numFmtId="0" fontId="50" fillId="6" borderId="20" xfId="0" applyFont="1" applyFill="1" applyBorder="1" applyAlignment="1" applyProtection="1">
      <alignment horizontal="left" vertical="center"/>
    </xf>
    <xf numFmtId="0" fontId="49" fillId="6" borderId="20" xfId="0" applyFont="1" applyFill="1" applyBorder="1" applyAlignment="1" applyProtection="1">
      <alignment horizontal="center" vertical="center"/>
    </xf>
    <xf numFmtId="3" fontId="32" fillId="0" borderId="7" xfId="0" applyNumberFormat="1" applyFont="1" applyBorder="1" applyAlignment="1">
      <alignment horizontal="center" vertical="center"/>
    </xf>
    <xf numFmtId="3" fontId="32" fillId="0" borderId="6" xfId="0" applyNumberFormat="1" applyFont="1" applyBorder="1" applyAlignment="1">
      <alignment horizontal="center" vertical="center"/>
    </xf>
    <xf numFmtId="3" fontId="32" fillId="0" borderId="0" xfId="0" applyNumberFormat="1" applyFont="1" applyBorder="1" applyAlignment="1">
      <alignment horizontal="center" vertical="center"/>
    </xf>
    <xf numFmtId="0" fontId="50" fillId="6" borderId="20" xfId="0" applyFont="1" applyFill="1" applyBorder="1" applyAlignment="1" applyProtection="1">
      <alignment horizontal="left" vertical="center" wrapText="1"/>
    </xf>
    <xf numFmtId="3" fontId="32" fillId="0" borderId="13" xfId="0" applyNumberFormat="1" applyFont="1" applyBorder="1" applyAlignment="1">
      <alignment horizontal="center" vertical="center"/>
    </xf>
    <xf numFmtId="3" fontId="50" fillId="6" borderId="20" xfId="0" applyNumberFormat="1" applyFont="1" applyFill="1" applyBorder="1" applyAlignment="1" applyProtection="1">
      <alignment horizontal="left" vertical="center" wrapText="1"/>
    </xf>
    <xf numFmtId="3" fontId="32" fillId="0" borderId="10" xfId="0" applyNumberFormat="1" applyFont="1" applyBorder="1" applyAlignment="1">
      <alignment horizontal="center" vertical="center"/>
    </xf>
    <xf numFmtId="3" fontId="32" fillId="0" borderId="3" xfId="0" applyNumberFormat="1" applyFont="1" applyBorder="1" applyAlignment="1">
      <alignment horizontal="center" vertical="center"/>
    </xf>
    <xf numFmtId="0" fontId="14" fillId="0" borderId="0" xfId="0" applyFont="1" applyFill="1" applyBorder="1" applyAlignment="1">
      <alignment horizontal="center" vertical="center"/>
    </xf>
    <xf numFmtId="0" fontId="14" fillId="0" borderId="0" xfId="0" applyFont="1" applyFill="1" applyBorder="1" applyAlignment="1">
      <alignment vertical="center"/>
    </xf>
    <xf numFmtId="0" fontId="9" fillId="0" borderId="0" xfId="0" applyFont="1" applyFill="1" applyBorder="1" applyAlignment="1">
      <alignment vertical="center"/>
    </xf>
    <xf numFmtId="0" fontId="9" fillId="0" borderId="1" xfId="0" applyFont="1" applyFill="1" applyBorder="1" applyAlignment="1">
      <alignment vertical="center"/>
    </xf>
    <xf numFmtId="0" fontId="10" fillId="0" borderId="1" xfId="0" applyFont="1" applyFill="1" applyBorder="1" applyAlignment="1">
      <alignment horizontal="center" vertical="center" wrapText="1"/>
    </xf>
    <xf numFmtId="1" fontId="14" fillId="0" borderId="1" xfId="0" applyNumberFormat="1" applyFont="1" applyFill="1" applyBorder="1" applyAlignment="1">
      <alignment horizontal="center" vertical="center"/>
    </xf>
    <xf numFmtId="0" fontId="9" fillId="0" borderId="1" xfId="0" applyFont="1" applyFill="1" applyBorder="1" applyAlignment="1">
      <alignment horizontal="left" vertical="center"/>
    </xf>
    <xf numFmtId="3" fontId="9" fillId="0" borderId="1" xfId="0" applyNumberFormat="1" applyFont="1" applyFill="1" applyBorder="1" applyAlignment="1">
      <alignment horizontal="center" vertical="center"/>
    </xf>
    <xf numFmtId="166" fontId="9" fillId="0" borderId="1" xfId="0" applyNumberFormat="1" applyFont="1" applyFill="1" applyBorder="1" applyAlignment="1">
      <alignment horizontal="center" vertical="center"/>
    </xf>
    <xf numFmtId="0" fontId="27" fillId="0" borderId="0" xfId="0" applyFont="1"/>
    <xf numFmtId="0" fontId="19" fillId="0" borderId="1" xfId="0" applyFont="1" applyBorder="1" applyAlignment="1">
      <alignment vertical="center"/>
    </xf>
    <xf numFmtId="2" fontId="39" fillId="0" borderId="0" xfId="0" applyNumberFormat="1" applyFont="1" applyAlignment="1">
      <alignment vertical="center"/>
    </xf>
    <xf numFmtId="3" fontId="20" fillId="0" borderId="6" xfId="0" applyNumberFormat="1" applyFont="1" applyBorder="1" applyAlignment="1">
      <alignment horizontal="center" vertical="center"/>
    </xf>
    <xf numFmtId="3" fontId="20" fillId="0" borderId="3" xfId="0" applyNumberFormat="1" applyFont="1" applyBorder="1" applyAlignment="1">
      <alignment horizontal="center" vertical="center"/>
    </xf>
    <xf numFmtId="2" fontId="39" fillId="0" borderId="0" xfId="0" applyNumberFormat="1" applyFont="1"/>
    <xf numFmtId="3" fontId="6" fillId="0" borderId="6" xfId="0" applyNumberFormat="1" applyFont="1" applyBorder="1" applyAlignment="1">
      <alignment horizontal="center" vertical="center"/>
    </xf>
    <xf numFmtId="0" fontId="6" fillId="0" borderId="6" xfId="0" applyFont="1" applyBorder="1" applyAlignment="1">
      <alignment horizontal="left" vertical="center"/>
    </xf>
    <xf numFmtId="3" fontId="6" fillId="0" borderId="3" xfId="0" applyNumberFormat="1" applyFont="1" applyBorder="1" applyAlignment="1">
      <alignment horizontal="center" vertical="center"/>
    </xf>
    <xf numFmtId="0" fontId="6" fillId="0" borderId="11" xfId="0" applyFont="1" applyBorder="1" applyAlignment="1">
      <alignment horizontal="left" vertical="center"/>
    </xf>
    <xf numFmtId="3" fontId="6" fillId="0" borderId="5" xfId="0" applyNumberFormat="1" applyFont="1" applyBorder="1" applyAlignment="1">
      <alignment horizontal="center" vertical="center"/>
    </xf>
    <xf numFmtId="0" fontId="6" fillId="0" borderId="7" xfId="0" applyFont="1" applyBorder="1" applyAlignment="1">
      <alignment horizontal="left" vertical="center"/>
    </xf>
    <xf numFmtId="0" fontId="6" fillId="0" borderId="10" xfId="0" applyFont="1" applyBorder="1" applyAlignment="1">
      <alignment horizontal="left" vertical="center"/>
    </xf>
    <xf numFmtId="0" fontId="26" fillId="0" borderId="0" xfId="0" applyFont="1" applyAlignment="1">
      <alignment horizontal="center"/>
    </xf>
    <xf numFmtId="0" fontId="16" fillId="0" borderId="0" xfId="0" applyFont="1"/>
    <xf numFmtId="0" fontId="39" fillId="0" borderId="5" xfId="0" applyFont="1" applyBorder="1" applyAlignment="1">
      <alignment horizontal="center"/>
    </xf>
    <xf numFmtId="0" fontId="39" fillId="0" borderId="5" xfId="0" applyFont="1" applyBorder="1" applyAlignment="1">
      <alignment horizontal="center" wrapText="1"/>
    </xf>
    <xf numFmtId="0" fontId="0" fillId="0" borderId="5" xfId="0" applyBorder="1" applyAlignment="1">
      <alignment horizontal="center" wrapText="1"/>
    </xf>
    <xf numFmtId="0" fontId="39" fillId="0" borderId="3" xfId="0" applyFont="1" applyBorder="1" applyAlignment="1">
      <alignment horizontal="center" vertical="center"/>
    </xf>
    <xf numFmtId="0" fontId="45" fillId="0" borderId="23" xfId="0" quotePrefix="1" applyFont="1" applyFill="1" applyBorder="1" applyAlignment="1" applyProtection="1">
      <alignment horizontal="center" vertical="center"/>
    </xf>
    <xf numFmtId="0" fontId="45" fillId="0" borderId="24" xfId="0" applyFont="1" applyFill="1" applyBorder="1" applyAlignment="1" applyProtection="1">
      <alignment horizontal="center" vertical="center"/>
    </xf>
    <xf numFmtId="0" fontId="45" fillId="0" borderId="25" xfId="0" quotePrefix="1" applyFont="1" applyFill="1" applyBorder="1" applyAlignment="1" applyProtection="1">
      <alignment horizontal="center" vertical="center"/>
    </xf>
    <xf numFmtId="0" fontId="45" fillId="0" borderId="26" xfId="0" applyFont="1" applyFill="1" applyBorder="1" applyAlignment="1" applyProtection="1">
      <alignment horizontal="center" vertical="center"/>
    </xf>
    <xf numFmtId="0" fontId="39" fillId="0" borderId="3" xfId="0" applyFont="1" applyBorder="1" applyAlignment="1">
      <alignment horizontal="center" vertical="center" wrapText="1"/>
    </xf>
    <xf numFmtId="0" fontId="0" fillId="0" borderId="3" xfId="0" applyBorder="1" applyAlignment="1">
      <alignment horizontal="center" vertical="center" wrapText="1"/>
    </xf>
    <xf numFmtId="0" fontId="39" fillId="0" borderId="6" xfId="0" applyFont="1" applyBorder="1" applyAlignment="1">
      <alignment horizontal="center" vertical="center"/>
    </xf>
    <xf numFmtId="3" fontId="39" fillId="0" borderId="5" xfId="0" applyNumberFormat="1" applyFont="1" applyBorder="1" applyAlignment="1">
      <alignment horizontal="center" vertical="center"/>
    </xf>
    <xf numFmtId="3" fontId="39" fillId="0" borderId="6" xfId="0" applyNumberFormat="1" applyFont="1" applyBorder="1" applyAlignment="1">
      <alignment horizontal="center" vertical="center"/>
    </xf>
    <xf numFmtId="166" fontId="39" fillId="0" borderId="6" xfId="0" applyNumberFormat="1" applyFont="1" applyBorder="1" applyAlignment="1">
      <alignment horizontal="center" vertical="center"/>
    </xf>
    <xf numFmtId="166" fontId="39" fillId="0" borderId="3" xfId="0" applyNumberFormat="1" applyFont="1" applyBorder="1" applyAlignment="1">
      <alignment horizontal="center" vertical="center"/>
    </xf>
    <xf numFmtId="0" fontId="10" fillId="0" borderId="3"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3" xfId="0" applyFont="1" applyBorder="1" applyAlignment="1">
      <alignment horizontal="center" vertical="center"/>
    </xf>
    <xf numFmtId="0" fontId="10" fillId="0" borderId="10" xfId="0" applyFont="1" applyBorder="1" applyAlignment="1">
      <alignment horizontal="center" vertical="center" wrapText="1"/>
    </xf>
    <xf numFmtId="0" fontId="10" fillId="0" borderId="14" xfId="0" applyFont="1" applyBorder="1" applyAlignment="1">
      <alignment horizontal="center" vertical="center"/>
    </xf>
    <xf numFmtId="0" fontId="9" fillId="0" borderId="14" xfId="0" applyFont="1" applyBorder="1" applyAlignment="1">
      <alignment horizontal="center" vertical="top"/>
    </xf>
    <xf numFmtId="0" fontId="9" fillId="0" borderId="6" xfId="0" applyFont="1" applyBorder="1" applyAlignment="1">
      <alignment horizontal="center" vertical="center" wrapText="1"/>
    </xf>
    <xf numFmtId="0" fontId="9" fillId="0" borderId="0" xfId="0" applyFont="1" applyBorder="1" applyAlignment="1">
      <alignment horizontal="center" vertical="center" wrapText="1"/>
    </xf>
    <xf numFmtId="0" fontId="9" fillId="0" borderId="6" xfId="0" applyFont="1" applyBorder="1" applyAlignment="1">
      <alignment horizontal="center" vertical="center"/>
    </xf>
    <xf numFmtId="0" fontId="9" fillId="0" borderId="13" xfId="0" applyFont="1" applyBorder="1" applyAlignment="1">
      <alignment horizontal="center" vertical="center"/>
    </xf>
    <xf numFmtId="3" fontId="0" fillId="0" borderId="13" xfId="0" applyNumberFormat="1" applyBorder="1" applyAlignment="1">
      <alignment horizontal="center" vertical="center"/>
    </xf>
    <xf numFmtId="0" fontId="52" fillId="0" borderId="20" xfId="7" applyNumberFormat="1" applyFont="1" applyFill="1" applyBorder="1" applyAlignment="1" applyProtection="1">
      <alignment vertical="center" wrapText="1"/>
      <protection hidden="1"/>
    </xf>
    <xf numFmtId="0" fontId="52" fillId="0" borderId="6" xfId="7" applyNumberFormat="1" applyFont="1" applyFill="1" applyBorder="1" applyAlignment="1" applyProtection="1">
      <alignment horizontal="center" vertical="center" wrapText="1"/>
      <protection hidden="1"/>
    </xf>
    <xf numFmtId="3" fontId="0" fillId="0" borderId="14" xfId="0" applyNumberFormat="1" applyBorder="1" applyAlignment="1">
      <alignment horizontal="center" vertical="center"/>
    </xf>
    <xf numFmtId="3" fontId="0" fillId="0" borderId="10" xfId="0" applyNumberFormat="1" applyBorder="1" applyAlignment="1">
      <alignment horizontal="center" vertical="center"/>
    </xf>
    <xf numFmtId="0" fontId="0" fillId="0" borderId="1" xfId="0" applyBorder="1" applyAlignment="1">
      <alignment horizontal="centerContinuous" vertical="center" wrapText="1"/>
    </xf>
    <xf numFmtId="0" fontId="9" fillId="0" borderId="11" xfId="0" applyFont="1" applyBorder="1" applyAlignment="1">
      <alignment vertical="center"/>
    </xf>
    <xf numFmtId="0" fontId="9" fillId="0" borderId="5" xfId="0" applyFont="1" applyBorder="1" applyAlignment="1">
      <alignment vertical="center"/>
    </xf>
    <xf numFmtId="3" fontId="9" fillId="0" borderId="13" xfId="0" applyNumberFormat="1" applyFont="1" applyBorder="1" applyAlignment="1">
      <alignment horizontal="center"/>
    </xf>
    <xf numFmtId="3" fontId="9" fillId="0" borderId="6" xfId="0" applyNumberFormat="1" applyFont="1" applyBorder="1" applyAlignment="1">
      <alignment horizontal="center"/>
    </xf>
    <xf numFmtId="0" fontId="9" fillId="0" borderId="10" xfId="0" applyFont="1" applyBorder="1" applyAlignment="1">
      <alignment vertical="center"/>
    </xf>
    <xf numFmtId="3" fontId="9" fillId="0" borderId="14" xfId="0" applyNumberFormat="1" applyFont="1" applyBorder="1" applyAlignment="1">
      <alignment horizontal="centerContinuous"/>
    </xf>
    <xf numFmtId="0" fontId="0" fillId="0" borderId="13" xfId="0" applyBorder="1" applyAlignment="1">
      <alignment horizontal="center"/>
    </xf>
    <xf numFmtId="0" fontId="0" fillId="0" borderId="6" xfId="0" applyBorder="1" applyAlignment="1">
      <alignment horizontal="center"/>
    </xf>
    <xf numFmtId="41" fontId="0" fillId="0" borderId="13" xfId="0" applyNumberFormat="1" applyBorder="1" applyAlignment="1">
      <alignment horizontal="center" vertical="center"/>
    </xf>
    <xf numFmtId="41" fontId="0" fillId="0" borderId="0" xfId="0" applyNumberFormat="1"/>
    <xf numFmtId="3" fontId="28" fillId="0" borderId="14" xfId="0" applyNumberFormat="1" applyFont="1" applyBorder="1" applyAlignment="1">
      <alignment horizontal="centerContinuous"/>
    </xf>
    <xf numFmtId="2" fontId="0" fillId="0" borderId="13" xfId="0" applyNumberFormat="1" applyBorder="1" applyAlignment="1">
      <alignment horizontal="centerContinuous" vertical="center"/>
    </xf>
    <xf numFmtId="2" fontId="1" fillId="0" borderId="14" xfId="0" applyNumberFormat="1" applyFont="1" applyBorder="1" applyAlignment="1">
      <alignment horizontal="centerContinuous" vertical="center"/>
    </xf>
    <xf numFmtId="0" fontId="9" fillId="0" borderId="3" xfId="0" applyFont="1" applyBorder="1" applyAlignment="1">
      <alignment vertical="top"/>
    </xf>
    <xf numFmtId="0" fontId="10" fillId="0" borderId="9" xfId="0" applyFont="1" applyBorder="1" applyAlignment="1">
      <alignment horizontal="centerContinuous" vertical="center"/>
    </xf>
    <xf numFmtId="0" fontId="10" fillId="0" borderId="1" xfId="0" applyFont="1" applyBorder="1" applyAlignment="1">
      <alignment horizontal="centerContinuous" vertical="center"/>
    </xf>
    <xf numFmtId="0" fontId="10" fillId="0" borderId="8" xfId="0" applyFont="1" applyBorder="1" applyAlignment="1">
      <alignment horizontal="centerContinuous" vertical="center"/>
    </xf>
    <xf numFmtId="0" fontId="10" fillId="0" borderId="1" xfId="0" applyFont="1" applyBorder="1" applyAlignment="1">
      <alignment horizontal="centerContinuous" vertical="center" wrapText="1"/>
    </xf>
    <xf numFmtId="0" fontId="10" fillId="0" borderId="4" xfId="0" applyFont="1" applyBorder="1" applyAlignment="1">
      <alignment horizontal="centerContinuous" vertical="center" wrapText="1"/>
    </xf>
    <xf numFmtId="3" fontId="28" fillId="0" borderId="12" xfId="0" applyNumberFormat="1" applyFont="1" applyBorder="1" applyAlignment="1">
      <alignment horizontal="center" vertical="center"/>
    </xf>
    <xf numFmtId="3" fontId="28" fillId="0" borderId="5" xfId="0" applyNumberFormat="1" applyFont="1" applyBorder="1" applyAlignment="1">
      <alignment horizontal="center" vertical="center"/>
    </xf>
    <xf numFmtId="3" fontId="28" fillId="0" borderId="11" xfId="0" applyNumberFormat="1" applyFont="1" applyBorder="1" applyAlignment="1">
      <alignment horizontal="center" vertical="center"/>
    </xf>
    <xf numFmtId="3" fontId="28" fillId="0" borderId="2" xfId="0" applyNumberFormat="1" applyFont="1" applyBorder="1" applyAlignment="1">
      <alignment horizontal="centerContinuous" vertical="center"/>
    </xf>
    <xf numFmtId="3" fontId="28" fillId="0" borderId="7" xfId="0" applyNumberFormat="1" applyFont="1" applyBorder="1" applyAlignment="1">
      <alignment horizontal="center" vertical="center"/>
    </xf>
    <xf numFmtId="3" fontId="28" fillId="0" borderId="10" xfId="0" applyNumberFormat="1" applyFont="1" applyBorder="1" applyAlignment="1">
      <alignment horizontal="center" vertical="center"/>
    </xf>
    <xf numFmtId="3" fontId="28" fillId="0" borderId="2" xfId="0" applyNumberFormat="1" applyFont="1" applyBorder="1" applyAlignment="1">
      <alignment horizontal="center" vertical="center"/>
    </xf>
    <xf numFmtId="0" fontId="53" fillId="0" borderId="0" xfId="0" applyFont="1"/>
    <xf numFmtId="0" fontId="28" fillId="0" borderId="1" xfId="0" applyFont="1" applyBorder="1" applyAlignment="1">
      <alignment horizontal="centerContinuous" vertical="center"/>
    </xf>
    <xf numFmtId="3" fontId="28" fillId="0" borderId="5" xfId="0" applyNumberFormat="1" applyFont="1" applyBorder="1" applyAlignment="1">
      <alignment horizontal="centerContinuous" vertical="center"/>
    </xf>
    <xf numFmtId="4" fontId="28" fillId="0" borderId="5" xfId="0" applyNumberFormat="1" applyFont="1" applyBorder="1" applyAlignment="1">
      <alignment horizontal="centerContinuous" vertical="center"/>
    </xf>
    <xf numFmtId="3" fontId="28" fillId="0" borderId="6" xfId="0" applyNumberFormat="1" applyFont="1" applyBorder="1" applyAlignment="1">
      <alignment horizontal="centerContinuous" vertical="center"/>
    </xf>
    <xf numFmtId="4" fontId="28" fillId="0" borderId="6" xfId="0" applyNumberFormat="1" applyFont="1" applyBorder="1" applyAlignment="1">
      <alignment horizontal="centerContinuous" vertical="center"/>
    </xf>
    <xf numFmtId="4" fontId="28" fillId="0" borderId="6" xfId="0" applyNumberFormat="1" applyFont="1" applyBorder="1" applyAlignment="1">
      <alignment horizontal="center" vertical="center"/>
    </xf>
    <xf numFmtId="3" fontId="28" fillId="0" borderId="3" xfId="0" applyNumberFormat="1" applyFont="1" applyBorder="1" applyAlignment="1">
      <alignment horizontal="centerContinuous" vertical="center"/>
    </xf>
    <xf numFmtId="3" fontId="28" fillId="0" borderId="15" xfId="0" applyNumberFormat="1" applyFont="1" applyBorder="1" applyAlignment="1">
      <alignment horizontal="centerContinuous" vertical="center"/>
    </xf>
    <xf numFmtId="4" fontId="28" fillId="0" borderId="3" xfId="0" applyNumberFormat="1" applyFont="1" applyBorder="1" applyAlignment="1">
      <alignment horizontal="centerContinuous" vertical="center"/>
    </xf>
    <xf numFmtId="4" fontId="6" fillId="0" borderId="0" xfId="0" applyNumberFormat="1" applyFont="1" applyBorder="1" applyAlignment="1">
      <alignment horizontal="centerContinuous" vertical="center"/>
    </xf>
    <xf numFmtId="3" fontId="6" fillId="0" borderId="0" xfId="0" applyNumberFormat="1" applyFont="1" applyBorder="1" applyAlignment="1">
      <alignment horizontal="left" vertical="center"/>
    </xf>
    <xf numFmtId="4" fontId="6" fillId="0" borderId="0" xfId="0" applyNumberFormat="1" applyFont="1" applyBorder="1" applyAlignment="1">
      <alignment horizontal="left" vertical="center"/>
    </xf>
    <xf numFmtId="0" fontId="5" fillId="0" borderId="0" xfId="0" applyFont="1" applyAlignment="1">
      <alignment horizontal="center"/>
    </xf>
    <xf numFmtId="0" fontId="0" fillId="0" borderId="0" xfId="0" applyAlignment="1">
      <alignment horizontal="center" vertical="center"/>
    </xf>
    <xf numFmtId="0" fontId="9" fillId="0" borderId="9" xfId="0" applyFont="1" applyBorder="1" applyAlignment="1">
      <alignment horizontal="centerContinuous" vertical="center" wrapText="1"/>
    </xf>
    <xf numFmtId="0" fontId="9" fillId="0" borderId="1" xfId="0" applyFont="1" applyBorder="1" applyAlignment="1">
      <alignment horizontal="centerContinuous" vertical="center"/>
    </xf>
    <xf numFmtId="0" fontId="9" fillId="0" borderId="1" xfId="0" applyFont="1" applyBorder="1" applyAlignment="1">
      <alignment vertical="center"/>
    </xf>
    <xf numFmtId="3" fontId="54" fillId="0" borderId="1" xfId="0" applyNumberFormat="1" applyFont="1" applyBorder="1" applyAlignment="1">
      <alignment horizontal="center" vertical="center"/>
    </xf>
    <xf numFmtId="3" fontId="54" fillId="0" borderId="1" xfId="0" applyNumberFormat="1" applyFont="1" applyBorder="1" applyAlignment="1">
      <alignment horizontal="centerContinuous" vertical="center"/>
    </xf>
    <xf numFmtId="0" fontId="9" fillId="0" borderId="9" xfId="0" applyFont="1" applyBorder="1" applyAlignment="1">
      <alignment vertical="center"/>
    </xf>
    <xf numFmtId="0" fontId="9" fillId="0" borderId="4" xfId="0" applyFont="1" applyBorder="1" applyAlignment="1">
      <alignment vertical="center"/>
    </xf>
    <xf numFmtId="3" fontId="54" fillId="0" borderId="4" xfId="0" applyNumberFormat="1" applyFont="1" applyBorder="1" applyAlignment="1">
      <alignment horizontal="center" vertical="center"/>
    </xf>
    <xf numFmtId="0" fontId="9" fillId="0" borderId="10" xfId="0" applyFont="1" applyBorder="1"/>
    <xf numFmtId="0" fontId="0" fillId="0" borderId="10" xfId="0" applyBorder="1" applyAlignment="1">
      <alignment horizontal="centerContinuous" vertical="center"/>
    </xf>
    <xf numFmtId="3" fontId="9" fillId="0" borderId="13" xfId="0" applyNumberFormat="1" applyFont="1" applyBorder="1" applyAlignment="1">
      <alignment horizontal="centerContinuous" vertical="center"/>
    </xf>
    <xf numFmtId="3" fontId="9" fillId="0" borderId="0" xfId="0" applyNumberFormat="1" applyFont="1" applyBorder="1" applyAlignment="1">
      <alignment horizontal="centerContinuous" vertical="center"/>
    </xf>
    <xf numFmtId="0" fontId="9" fillId="0" borderId="10" xfId="0" applyFont="1" applyBorder="1" applyAlignment="1">
      <alignment horizontal="center" vertical="center"/>
    </xf>
    <xf numFmtId="3" fontId="9" fillId="0" borderId="10" xfId="0" applyNumberFormat="1" applyFont="1" applyBorder="1" applyAlignment="1">
      <alignment horizontal="centerContinuous" vertical="center"/>
    </xf>
    <xf numFmtId="3" fontId="9" fillId="0" borderId="14" xfId="0" applyNumberFormat="1" applyFont="1" applyBorder="1" applyAlignment="1">
      <alignment horizontal="centerContinuous" vertical="center"/>
    </xf>
    <xf numFmtId="0" fontId="9" fillId="0" borderId="0" xfId="0" applyFont="1" applyBorder="1" applyAlignment="1">
      <alignment horizontal="centerContinuous"/>
    </xf>
    <xf numFmtId="3" fontId="9" fillId="0" borderId="0" xfId="0" applyNumberFormat="1" applyFont="1" applyBorder="1"/>
    <xf numFmtId="168" fontId="9" fillId="0" borderId="0" xfId="0" applyNumberFormat="1" applyFont="1" applyAlignment="1">
      <alignment vertical="center"/>
    </xf>
    <xf numFmtId="3" fontId="6" fillId="0" borderId="7" xfId="0" applyNumberFormat="1" applyFont="1" applyBorder="1" applyAlignment="1">
      <alignment horizontal="centerContinuous" vertical="center"/>
    </xf>
    <xf numFmtId="3" fontId="6" fillId="0" borderId="13" xfId="0" applyNumberFormat="1" applyFont="1" applyBorder="1" applyAlignment="1">
      <alignment horizontal="centerContinuous" vertical="center"/>
    </xf>
    <xf numFmtId="3" fontId="6" fillId="0" borderId="10" xfId="0" applyNumberFormat="1" applyFont="1" applyBorder="1" applyAlignment="1">
      <alignment horizontal="centerContinuous" vertical="center"/>
    </xf>
    <xf numFmtId="3" fontId="6" fillId="0" borderId="12" xfId="0" applyNumberFormat="1" applyFont="1" applyBorder="1" applyAlignment="1">
      <alignment horizontal="centerContinuous" vertical="center"/>
    </xf>
    <xf numFmtId="3" fontId="6" fillId="0" borderId="2" xfId="0" applyNumberFormat="1" applyFont="1" applyBorder="1" applyAlignment="1">
      <alignment horizontal="centerContinuous" vertical="center"/>
    </xf>
    <xf numFmtId="3" fontId="6" fillId="0" borderId="11" xfId="0" applyNumberFormat="1" applyFont="1" applyBorder="1" applyAlignment="1">
      <alignment horizontal="centerContinuous" vertical="center"/>
    </xf>
    <xf numFmtId="3" fontId="6" fillId="0" borderId="0" xfId="0" applyNumberFormat="1" applyFont="1" applyFill="1" applyBorder="1" applyAlignment="1">
      <alignment horizontal="center" vertical="center"/>
    </xf>
    <xf numFmtId="0" fontId="45" fillId="0" borderId="17" xfId="9" applyNumberFormat="1" applyFont="1" applyFill="1" applyBorder="1" applyAlignment="1" applyProtection="1">
      <alignment horizontal="left" vertical="center"/>
    </xf>
    <xf numFmtId="0" fontId="9" fillId="0" borderId="15" xfId="0" applyFont="1" applyBorder="1" applyAlignment="1">
      <alignment horizontal="center" vertical="center"/>
    </xf>
    <xf numFmtId="0" fontId="9" fillId="0" borderId="14" xfId="0" applyFont="1" applyBorder="1" applyAlignment="1">
      <alignment horizontal="center" vertical="center"/>
    </xf>
    <xf numFmtId="0" fontId="9" fillId="0" borderId="15" xfId="0" applyFont="1" applyBorder="1" applyAlignment="1">
      <alignment vertical="center"/>
    </xf>
    <xf numFmtId="3" fontId="6" fillId="0" borderId="9" xfId="0" applyNumberFormat="1" applyFont="1" applyBorder="1" applyAlignment="1">
      <alignment horizontal="center" vertical="center"/>
    </xf>
    <xf numFmtId="3" fontId="6" fillId="0" borderId="4" xfId="0" applyNumberFormat="1" applyFont="1" applyBorder="1" applyAlignment="1">
      <alignment horizontal="center" vertical="center"/>
    </xf>
    <xf numFmtId="3" fontId="6" fillId="0" borderId="8" xfId="0" applyNumberFormat="1" applyFont="1" applyBorder="1" applyAlignment="1">
      <alignment horizontal="center" vertical="center"/>
    </xf>
    <xf numFmtId="3" fontId="6" fillId="0" borderId="13" xfId="0" applyNumberFormat="1" applyFont="1" applyBorder="1" applyAlignment="1">
      <alignment horizontal="center"/>
    </xf>
    <xf numFmtId="3" fontId="6" fillId="0" borderId="0" xfId="0" applyNumberFormat="1" applyFont="1" applyBorder="1" applyAlignment="1">
      <alignment horizontal="center"/>
    </xf>
    <xf numFmtId="3" fontId="6" fillId="0" borderId="4" xfId="0" applyNumberFormat="1" applyFont="1" applyBorder="1" applyAlignment="1">
      <alignment horizontal="centerContinuous" vertical="center"/>
    </xf>
    <xf numFmtId="3" fontId="6" fillId="0" borderId="9" xfId="0" applyNumberFormat="1" applyFont="1" applyBorder="1" applyAlignment="1">
      <alignment horizontal="centerContinuous" vertical="center"/>
    </xf>
    <xf numFmtId="0" fontId="10" fillId="0" borderId="5" xfId="0" applyFont="1" applyFill="1" applyBorder="1" applyAlignment="1">
      <alignment vertical="center"/>
    </xf>
    <xf numFmtId="3" fontId="6" fillId="0" borderId="4" xfId="0" applyNumberFormat="1" applyFont="1" applyFill="1" applyBorder="1" applyAlignment="1">
      <alignment horizontal="center" vertical="center"/>
    </xf>
    <xf numFmtId="0" fontId="0" fillId="0" borderId="8" xfId="0" applyBorder="1"/>
    <xf numFmtId="0" fontId="10" fillId="0" borderId="3" xfId="0" applyFont="1" applyFill="1" applyBorder="1" applyAlignment="1">
      <alignment vertical="center"/>
    </xf>
    <xf numFmtId="3" fontId="6" fillId="0" borderId="14" xfId="0" applyNumberFormat="1" applyFont="1" applyFill="1" applyBorder="1" applyAlignment="1">
      <alignment horizontal="center" vertical="center"/>
    </xf>
    <xf numFmtId="0" fontId="0" fillId="0" borderId="15" xfId="0" applyBorder="1"/>
    <xf numFmtId="0" fontId="10" fillId="0" borderId="10" xfId="0" applyFont="1" applyBorder="1" applyAlignment="1">
      <alignment horizontal="centerContinuous" vertical="center"/>
    </xf>
    <xf numFmtId="0" fontId="10" fillId="0" borderId="14" xfId="0" applyFont="1" applyBorder="1" applyAlignment="1">
      <alignment horizontal="centerContinuous" vertical="center"/>
    </xf>
    <xf numFmtId="3" fontId="9" fillId="0" borderId="13" xfId="0" applyNumberFormat="1" applyFont="1" applyBorder="1" applyAlignment="1">
      <alignment vertical="center"/>
    </xf>
    <xf numFmtId="3" fontId="9" fillId="0" borderId="15" xfId="0" applyNumberFormat="1" applyFont="1" applyBorder="1" applyAlignment="1">
      <alignment horizontal="centerContinuous" vertical="center"/>
    </xf>
    <xf numFmtId="0" fontId="55" fillId="0" borderId="0" xfId="0" applyFont="1" applyAlignment="1">
      <alignment horizontal="centerContinuous"/>
    </xf>
    <xf numFmtId="0" fontId="57" fillId="0" borderId="0" xfId="3" applyNumberFormat="1" applyFont="1" applyAlignment="1">
      <alignment horizontal="centerContinuous"/>
    </xf>
    <xf numFmtId="0" fontId="28" fillId="0" borderId="0" xfId="3" applyNumberFormat="1" applyFont="1" applyAlignment="1">
      <alignment horizontal="centerContinuous"/>
    </xf>
    <xf numFmtId="0" fontId="58" fillId="0" borderId="0" xfId="3" applyNumberFormat="1" applyFont="1" applyAlignment="1">
      <alignment horizontal="centerContinuous"/>
    </xf>
    <xf numFmtId="171" fontId="28" fillId="0" borderId="0" xfId="3" applyFont="1"/>
    <xf numFmtId="171" fontId="56" fillId="0" borderId="0" xfId="3"/>
    <xf numFmtId="0" fontId="58" fillId="0" borderId="0" xfId="3" applyNumberFormat="1" applyFont="1"/>
    <xf numFmtId="0" fontId="28" fillId="0" borderId="5" xfId="3" applyNumberFormat="1" applyFont="1" applyBorder="1" applyAlignment="1">
      <alignment vertical="center"/>
    </xf>
    <xf numFmtId="0" fontId="6" fillId="0" borderId="5" xfId="3" applyNumberFormat="1" applyFont="1" applyBorder="1" applyAlignment="1">
      <alignment vertical="center"/>
    </xf>
    <xf numFmtId="0" fontId="6" fillId="0" borderId="8" xfId="3" applyNumberFormat="1" applyFont="1" applyBorder="1" applyAlignment="1">
      <alignment vertical="center"/>
    </xf>
    <xf numFmtId="0" fontId="6" fillId="0" borderId="4" xfId="3" applyNumberFormat="1" applyFont="1" applyBorder="1" applyAlignment="1">
      <alignment vertical="center"/>
    </xf>
    <xf numFmtId="0" fontId="6" fillId="0" borderId="11" xfId="3" applyNumberFormat="1" applyFont="1" applyBorder="1" applyAlignment="1" applyProtection="1">
      <alignment horizontal="centerContinuous"/>
    </xf>
    <xf numFmtId="0" fontId="6" fillId="0" borderId="2" xfId="3" applyNumberFormat="1" applyFont="1" applyBorder="1" applyAlignment="1">
      <alignment horizontal="centerContinuous"/>
    </xf>
    <xf numFmtId="0" fontId="9" fillId="0" borderId="12" xfId="3" applyNumberFormat="1" applyFont="1" applyBorder="1" applyAlignment="1" applyProtection="1">
      <alignment horizontal="left"/>
    </xf>
    <xf numFmtId="0" fontId="6" fillId="0" borderId="12" xfId="3" applyNumberFormat="1" applyFont="1" applyBorder="1" applyAlignment="1"/>
    <xf numFmtId="0" fontId="6" fillId="0" borderId="12" xfId="3" applyNumberFormat="1" applyFont="1" applyBorder="1" applyAlignment="1" applyProtection="1">
      <alignment horizontal="centerContinuous"/>
    </xf>
    <xf numFmtId="171" fontId="56" fillId="0" borderId="0" xfId="3" applyAlignment="1">
      <alignment vertical="center"/>
    </xf>
    <xf numFmtId="171" fontId="28" fillId="0" borderId="0" xfId="3" applyFont="1" applyAlignment="1">
      <alignment vertical="center"/>
    </xf>
    <xf numFmtId="0" fontId="28" fillId="0" borderId="6" xfId="3" applyNumberFormat="1" applyFont="1" applyBorder="1" applyAlignment="1" applyProtection="1">
      <alignment horizontal="center" vertical="center"/>
    </xf>
    <xf numFmtId="0" fontId="6" fillId="0" borderId="6" xfId="3" applyNumberFormat="1" applyFont="1" applyBorder="1" applyAlignment="1">
      <alignment vertical="center"/>
    </xf>
    <xf numFmtId="0" fontId="6" fillId="0" borderId="5" xfId="3" applyNumberFormat="1" applyFont="1" applyBorder="1" applyAlignment="1" applyProtection="1">
      <alignment horizontal="center" vertical="center"/>
    </xf>
    <xf numFmtId="0" fontId="59" fillId="0" borderId="9" xfId="3" applyNumberFormat="1" applyFont="1" applyBorder="1" applyAlignment="1">
      <alignment horizontal="centerContinuous" vertical="center"/>
    </xf>
    <xf numFmtId="0" fontId="59" fillId="0" borderId="8" xfId="3" applyNumberFormat="1" applyFont="1" applyBorder="1" applyAlignment="1">
      <alignment horizontal="centerContinuous" vertical="center"/>
    </xf>
    <xf numFmtId="0" fontId="59" fillId="0" borderId="4" xfId="3" applyNumberFormat="1" applyFont="1" applyBorder="1" applyAlignment="1">
      <alignment horizontal="centerContinuous" vertical="center"/>
    </xf>
    <xf numFmtId="0" fontId="59" fillId="0" borderId="0" xfId="3" applyNumberFormat="1" applyFont="1" applyBorder="1" applyAlignment="1">
      <alignment horizontal="centerContinuous" vertical="center"/>
    </xf>
    <xf numFmtId="0" fontId="59" fillId="0" borderId="7" xfId="3" applyNumberFormat="1" applyFont="1" applyBorder="1" applyAlignment="1">
      <alignment vertical="center"/>
    </xf>
    <xf numFmtId="0" fontId="59" fillId="0" borderId="13" xfId="3" applyNumberFormat="1" applyFont="1" applyBorder="1" applyAlignment="1">
      <alignment vertical="center"/>
    </xf>
    <xf numFmtId="0" fontId="59" fillId="0" borderId="0" xfId="3" applyNumberFormat="1" applyFont="1" applyBorder="1" applyAlignment="1">
      <alignment vertical="center"/>
    </xf>
    <xf numFmtId="0" fontId="59" fillId="0" borderId="10" xfId="3" applyNumberFormat="1" applyFont="1" applyBorder="1" applyAlignment="1">
      <alignment horizontal="centerContinuous" vertical="center"/>
    </xf>
    <xf numFmtId="0" fontId="59" fillId="0" borderId="15" xfId="3" applyNumberFormat="1" applyFont="1" applyBorder="1" applyAlignment="1">
      <alignment horizontal="centerContinuous" vertical="center"/>
    </xf>
    <xf numFmtId="0" fontId="59" fillId="0" borderId="14" xfId="3" applyNumberFormat="1" applyFont="1" applyBorder="1" applyAlignment="1">
      <alignment horizontal="centerContinuous" vertical="center"/>
    </xf>
    <xf numFmtId="0" fontId="9" fillId="0" borderId="3" xfId="3" applyNumberFormat="1" applyFont="1" applyBorder="1" applyAlignment="1" applyProtection="1">
      <alignment horizontal="center" vertical="center" wrapText="1"/>
    </xf>
    <xf numFmtId="0" fontId="10" fillId="0" borderId="1" xfId="3" applyNumberFormat="1" applyFont="1" applyBorder="1" applyAlignment="1" applyProtection="1">
      <alignment horizontal="center" vertical="center"/>
    </xf>
    <xf numFmtId="0" fontId="9" fillId="0" borderId="1" xfId="3" applyNumberFormat="1" applyFont="1" applyBorder="1" applyAlignment="1" applyProtection="1">
      <alignment horizontal="center" vertical="center"/>
    </xf>
    <xf numFmtId="0" fontId="9" fillId="0" borderId="1" xfId="3" applyNumberFormat="1" applyFont="1" applyBorder="1" applyAlignment="1" applyProtection="1">
      <alignment horizontal="center" vertical="center" wrapText="1"/>
    </xf>
    <xf numFmtId="0" fontId="10" fillId="0" borderId="15" xfId="3" applyNumberFormat="1" applyFont="1" applyBorder="1" applyAlignment="1" applyProtection="1">
      <alignment horizontal="center" vertical="center" wrapText="1"/>
    </xf>
    <xf numFmtId="0" fontId="9" fillId="0" borderId="9" xfId="3" applyNumberFormat="1" applyFont="1" applyBorder="1" applyAlignment="1" applyProtection="1">
      <alignment horizontal="center" vertical="center" wrapText="1"/>
    </xf>
    <xf numFmtId="0" fontId="9" fillId="0" borderId="8" xfId="3" applyNumberFormat="1" applyFont="1" applyBorder="1" applyAlignment="1" applyProtection="1">
      <alignment horizontal="center" vertical="center"/>
    </xf>
    <xf numFmtId="0" fontId="9" fillId="0" borderId="14" xfId="3" applyNumberFormat="1" applyFont="1" applyBorder="1" applyAlignment="1" applyProtection="1">
      <alignment horizontal="center" vertical="top" wrapText="1"/>
    </xf>
    <xf numFmtId="0" fontId="9" fillId="0" borderId="4" xfId="3" applyNumberFormat="1" applyFont="1" applyBorder="1" applyAlignment="1" applyProtection="1">
      <alignment horizontal="center" vertical="center" wrapText="1"/>
    </xf>
    <xf numFmtId="0" fontId="9" fillId="0" borderId="4" xfId="3" applyNumberFormat="1" applyFont="1" applyBorder="1" applyAlignment="1" applyProtection="1">
      <alignment horizontal="center" vertical="center"/>
    </xf>
    <xf numFmtId="171" fontId="9" fillId="0" borderId="15" xfId="3" applyFont="1" applyBorder="1" applyAlignment="1">
      <alignment horizontal="center" vertical="center"/>
    </xf>
    <xf numFmtId="171" fontId="9" fillId="0" borderId="3" xfId="3" applyFont="1" applyBorder="1" applyAlignment="1">
      <alignment horizontal="center" vertical="center" wrapText="1"/>
    </xf>
    <xf numFmtId="0" fontId="28" fillId="0" borderId="5" xfId="3" applyNumberFormat="1" applyFont="1" applyBorder="1" applyAlignment="1" applyProtection="1">
      <alignment horizontal="left" vertical="center"/>
    </xf>
    <xf numFmtId="3" fontId="28" fillId="0" borderId="5" xfId="3" applyNumberFormat="1" applyFont="1" applyBorder="1" applyAlignment="1" applyProtection="1">
      <alignment horizontal="centerContinuous" vertical="center"/>
    </xf>
    <xf numFmtId="3" fontId="28" fillId="0" borderId="0" xfId="3" applyNumberFormat="1" applyFont="1" applyBorder="1" applyAlignment="1" applyProtection="1">
      <alignment horizontal="centerContinuous" vertical="center"/>
    </xf>
    <xf numFmtId="169" fontId="28" fillId="0" borderId="7" xfId="3" applyNumberFormat="1" applyFont="1" applyBorder="1" applyAlignment="1" applyProtection="1">
      <alignment horizontal="centerContinuous" vertical="center"/>
    </xf>
    <xf numFmtId="169" fontId="28" fillId="0" borderId="6" xfId="3" applyNumberFormat="1" applyFont="1" applyBorder="1" applyAlignment="1" applyProtection="1">
      <alignment horizontal="centerContinuous" vertical="center"/>
    </xf>
    <xf numFmtId="165" fontId="28" fillId="0" borderId="0" xfId="3" applyNumberFormat="1" applyFont="1" applyBorder="1" applyAlignment="1">
      <alignment horizontal="centerContinuous" vertical="center"/>
    </xf>
    <xf numFmtId="165" fontId="28" fillId="0" borderId="6" xfId="3" applyNumberFormat="1" applyFont="1" applyBorder="1" applyAlignment="1">
      <alignment horizontal="centerContinuous" vertical="center"/>
    </xf>
    <xf numFmtId="0" fontId="28" fillId="0" borderId="6" xfId="3" applyNumberFormat="1" applyFont="1" applyBorder="1" applyAlignment="1" applyProtection="1">
      <alignment horizontal="left" vertical="center"/>
    </xf>
    <xf numFmtId="3" fontId="28" fillId="0" borderId="0" xfId="3" applyNumberFormat="1" applyFont="1" applyBorder="1" applyAlignment="1" applyProtection="1">
      <alignment horizontal="centerContinuous" vertical="center"/>
      <protection locked="0"/>
    </xf>
    <xf numFmtId="3" fontId="28" fillId="0" borderId="6" xfId="3" applyNumberFormat="1" applyFont="1" applyBorder="1" applyAlignment="1" applyProtection="1">
      <alignment horizontal="centerContinuous" vertical="center"/>
      <protection locked="0"/>
    </xf>
    <xf numFmtId="3" fontId="28" fillId="0" borderId="6" xfId="3" applyNumberFormat="1" applyFont="1" applyBorder="1" applyAlignment="1" applyProtection="1">
      <alignment horizontal="center" vertical="center"/>
      <protection locked="0"/>
    </xf>
    <xf numFmtId="3" fontId="28" fillId="0" borderId="6" xfId="3" applyNumberFormat="1" applyFont="1" applyBorder="1" applyAlignment="1" applyProtection="1">
      <alignment horizontal="centerContinuous" vertical="center"/>
    </xf>
    <xf numFmtId="3" fontId="23" fillId="0" borderId="6" xfId="3" applyNumberFormat="1" applyFont="1" applyBorder="1" applyAlignment="1" applyProtection="1">
      <alignment horizontal="center" vertical="center"/>
      <protection locked="0"/>
    </xf>
    <xf numFmtId="0" fontId="28" fillId="0" borderId="3" xfId="3" applyNumberFormat="1" applyFont="1" applyBorder="1" applyAlignment="1" applyProtection="1">
      <alignment horizontal="left" vertical="center"/>
    </xf>
    <xf numFmtId="3" fontId="28" fillId="0" borderId="15" xfId="3" applyNumberFormat="1" applyFont="1" applyBorder="1" applyAlignment="1" applyProtection="1">
      <alignment horizontal="centerContinuous" vertical="center"/>
      <protection locked="0"/>
    </xf>
    <xf numFmtId="3" fontId="28" fillId="0" borderId="3" xfId="3" applyNumberFormat="1" applyFont="1" applyBorder="1" applyAlignment="1" applyProtection="1">
      <alignment horizontal="centerContinuous" vertical="center"/>
      <protection locked="0"/>
    </xf>
    <xf numFmtId="3" fontId="28" fillId="0" borderId="3" xfId="3" applyNumberFormat="1" applyFont="1" applyBorder="1" applyAlignment="1" applyProtection="1">
      <alignment horizontal="center" vertical="center"/>
      <protection locked="0"/>
    </xf>
    <xf numFmtId="3" fontId="28" fillId="0" borderId="15" xfId="3" applyNumberFormat="1" applyFont="1" applyBorder="1" applyAlignment="1" applyProtection="1">
      <alignment horizontal="centerContinuous" vertical="center"/>
    </xf>
    <xf numFmtId="3" fontId="28" fillId="0" borderId="3" xfId="3" applyNumberFormat="1" applyFont="1" applyBorder="1" applyAlignment="1" applyProtection="1">
      <alignment horizontal="centerContinuous" vertical="center"/>
    </xf>
    <xf numFmtId="169" fontId="28" fillId="0" borderId="10" xfId="3" applyNumberFormat="1" applyFont="1" applyBorder="1" applyAlignment="1" applyProtection="1">
      <alignment horizontal="centerContinuous" vertical="center"/>
    </xf>
    <xf numFmtId="169" fontId="28" fillId="0" borderId="3" xfId="3" applyNumberFormat="1" applyFont="1" applyBorder="1" applyAlignment="1" applyProtection="1">
      <alignment horizontal="centerContinuous" vertical="center"/>
    </xf>
    <xf numFmtId="165" fontId="28" fillId="0" borderId="15" xfId="3" applyNumberFormat="1" applyFont="1" applyBorder="1" applyAlignment="1">
      <alignment horizontal="centerContinuous" vertical="center"/>
    </xf>
    <xf numFmtId="165" fontId="28" fillId="0" borderId="3" xfId="3" applyNumberFormat="1" applyFont="1" applyBorder="1" applyAlignment="1">
      <alignment horizontal="centerContinuous" vertical="center"/>
    </xf>
    <xf numFmtId="0" fontId="28" fillId="0" borderId="0" xfId="3" applyNumberFormat="1" applyFont="1"/>
    <xf numFmtId="16" fontId="28" fillId="0" borderId="0" xfId="3" applyNumberFormat="1" applyFont="1"/>
    <xf numFmtId="172" fontId="28" fillId="0" borderId="0" xfId="3" applyNumberFormat="1" applyFont="1"/>
    <xf numFmtId="170" fontId="28" fillId="0" borderId="0" xfId="3" applyNumberFormat="1" applyFont="1"/>
    <xf numFmtId="3" fontId="28" fillId="0" borderId="0" xfId="3" applyNumberFormat="1" applyFont="1" applyBorder="1" applyAlignment="1" applyProtection="1">
      <alignment horizontal="center" vertical="center"/>
    </xf>
    <xf numFmtId="3" fontId="28" fillId="0" borderId="6" xfId="3" applyNumberFormat="1" applyFont="1" applyBorder="1" applyAlignment="1" applyProtection="1">
      <alignment horizontal="center" vertical="center"/>
    </xf>
    <xf numFmtId="3" fontId="28" fillId="0" borderId="0" xfId="3" applyNumberFormat="1" applyFont="1" applyBorder="1" applyAlignment="1" applyProtection="1">
      <alignment horizontal="center" vertical="center"/>
      <protection locked="0"/>
    </xf>
    <xf numFmtId="3" fontId="28" fillId="0" borderId="3" xfId="3" applyNumberFormat="1" applyFont="1" applyBorder="1" applyAlignment="1" applyProtection="1">
      <alignment vertical="center"/>
      <protection locked="0"/>
    </xf>
    <xf numFmtId="3" fontId="28" fillId="0" borderId="15" xfId="3" applyNumberFormat="1" applyFont="1" applyBorder="1" applyAlignment="1" applyProtection="1">
      <alignment vertical="center"/>
      <protection locked="0"/>
    </xf>
    <xf numFmtId="169" fontId="28" fillId="0" borderId="7" xfId="3" applyNumberFormat="1" applyFont="1" applyBorder="1" applyAlignment="1" applyProtection="1">
      <alignment horizontal="center" vertical="center"/>
    </xf>
    <xf numFmtId="3" fontId="28" fillId="0" borderId="6" xfId="3" applyNumberFormat="1" applyFont="1" applyBorder="1" applyAlignment="1" applyProtection="1">
      <alignment vertical="center"/>
      <protection locked="0"/>
    </xf>
    <xf numFmtId="3" fontId="28" fillId="0" borderId="0" xfId="3" applyNumberFormat="1" applyFont="1" applyBorder="1" applyAlignment="1" applyProtection="1">
      <alignment vertical="center"/>
      <protection locked="0"/>
    </xf>
    <xf numFmtId="169" fontId="28" fillId="0" borderId="11" xfId="3" applyNumberFormat="1" applyFont="1" applyBorder="1" applyAlignment="1" applyProtection="1">
      <alignment horizontal="centerContinuous" vertical="center"/>
    </xf>
    <xf numFmtId="169" fontId="28" fillId="0" borderId="5" xfId="3" applyNumberFormat="1" applyFont="1" applyBorder="1" applyAlignment="1" applyProtection="1">
      <alignment horizontal="centerContinuous" vertical="center"/>
    </xf>
    <xf numFmtId="165" fontId="28" fillId="0" borderId="12" xfId="3" applyNumberFormat="1" applyFont="1" applyBorder="1" applyAlignment="1">
      <alignment horizontal="centerContinuous" vertical="center"/>
    </xf>
    <xf numFmtId="165" fontId="28" fillId="0" borderId="5" xfId="3" applyNumberFormat="1" applyFont="1" applyBorder="1" applyAlignment="1">
      <alignment horizontal="centerContinuous" vertical="center"/>
    </xf>
    <xf numFmtId="0" fontId="28" fillId="0" borderId="6" xfId="3" applyNumberFormat="1" applyFont="1" applyBorder="1" applyAlignment="1">
      <alignment vertical="center"/>
    </xf>
    <xf numFmtId="0" fontId="28" fillId="0" borderId="6" xfId="3" applyNumberFormat="1" applyFont="1" applyBorder="1" applyAlignment="1">
      <alignment horizontal="center" vertical="center"/>
    </xf>
    <xf numFmtId="0" fontId="28" fillId="0" borderId="6" xfId="3" applyNumberFormat="1" applyFont="1" applyBorder="1" applyAlignment="1">
      <alignment horizontal="centerContinuous" vertical="center"/>
    </xf>
    <xf numFmtId="3" fontId="28" fillId="0" borderId="6" xfId="3" applyNumberFormat="1" applyFont="1" applyBorder="1" applyAlignment="1">
      <alignment horizontal="center" vertical="center"/>
    </xf>
    <xf numFmtId="0" fontId="28" fillId="0" borderId="6" xfId="3" applyNumberFormat="1" applyFont="1" applyBorder="1" applyAlignment="1">
      <alignment horizontal="left" vertical="center"/>
    </xf>
    <xf numFmtId="0" fontId="28" fillId="0" borderId="3" xfId="3" applyNumberFormat="1" applyFont="1" applyBorder="1" applyAlignment="1">
      <alignment vertical="center"/>
    </xf>
    <xf numFmtId="0" fontId="28" fillId="0" borderId="3" xfId="3" applyNumberFormat="1" applyFont="1" applyBorder="1" applyAlignment="1">
      <alignment horizontal="center" vertical="center"/>
    </xf>
    <xf numFmtId="3" fontId="28" fillId="0" borderId="15" xfId="3" applyNumberFormat="1" applyFont="1" applyBorder="1" applyAlignment="1" applyProtection="1">
      <alignment horizontal="center" vertical="center"/>
    </xf>
    <xf numFmtId="3" fontId="28" fillId="0" borderId="3" xfId="3" applyNumberFormat="1" applyFont="1" applyBorder="1" applyAlignment="1" applyProtection="1">
      <alignment horizontal="center" vertical="center"/>
    </xf>
    <xf numFmtId="3" fontId="28" fillId="0" borderId="3" xfId="3" applyNumberFormat="1" applyFont="1" applyBorder="1" applyAlignment="1">
      <alignment horizontal="center" vertical="center"/>
    </xf>
    <xf numFmtId="0" fontId="60" fillId="0" borderId="0" xfId="4" applyFont="1" applyAlignment="1">
      <alignment horizontal="centerContinuous"/>
    </xf>
    <xf numFmtId="0" fontId="12" fillId="0" borderId="0" xfId="4" applyFont="1" applyAlignment="1">
      <alignment horizontal="centerContinuous"/>
    </xf>
    <xf numFmtId="0" fontId="8" fillId="0" borderId="0" xfId="4" applyFont="1" applyAlignment="1">
      <alignment horizontal="centerContinuous"/>
    </xf>
    <xf numFmtId="0" fontId="2" fillId="0" borderId="0" xfId="4"/>
    <xf numFmtId="0" fontId="2" fillId="0" borderId="0" xfId="4" applyAlignment="1">
      <alignment horizontal="centerContinuous"/>
    </xf>
    <xf numFmtId="0" fontId="2" fillId="0" borderId="11" xfId="4" applyBorder="1" applyAlignment="1">
      <alignment vertical="center"/>
    </xf>
    <xf numFmtId="0" fontId="19" fillId="0" borderId="11" xfId="5" applyFont="1" applyBorder="1" applyAlignment="1">
      <alignment horizontal="center" vertical="center"/>
    </xf>
    <xf numFmtId="0" fontId="6" fillId="0" borderId="11" xfId="4" applyFont="1" applyBorder="1" applyAlignment="1">
      <alignment horizontal="centerContinuous" vertical="center"/>
    </xf>
    <xf numFmtId="0" fontId="6" fillId="0" borderId="5" xfId="4" applyFont="1" applyBorder="1" applyAlignment="1">
      <alignment horizontal="centerContinuous" vertical="center"/>
    </xf>
    <xf numFmtId="0" fontId="6" fillId="0" borderId="2" xfId="4" applyFont="1" applyBorder="1" applyAlignment="1">
      <alignment horizontal="centerContinuous" vertical="center"/>
    </xf>
    <xf numFmtId="0" fontId="6" fillId="0" borderId="0" xfId="4" applyFont="1" applyAlignment="1">
      <alignment vertical="center"/>
    </xf>
    <xf numFmtId="0" fontId="2" fillId="0" borderId="10" xfId="4" applyBorder="1" applyAlignment="1">
      <alignment horizontal="center" vertical="top"/>
    </xf>
    <xf numFmtId="0" fontId="19" fillId="0" borderId="10" xfId="5" applyFont="1" applyBorder="1" applyAlignment="1">
      <alignment horizontal="center" vertical="center"/>
    </xf>
    <xf numFmtId="0" fontId="6" fillId="0" borderId="10" xfId="4" applyFont="1" applyBorder="1" applyAlignment="1">
      <alignment horizontal="centerContinuous" vertical="center"/>
    </xf>
    <xf numFmtId="0" fontId="6" fillId="0" borderId="3" xfId="4" applyFont="1" applyBorder="1" applyAlignment="1">
      <alignment horizontal="centerContinuous" vertical="center"/>
    </xf>
    <xf numFmtId="0" fontId="6" fillId="0" borderId="14" xfId="4" applyFont="1" applyBorder="1" applyAlignment="1">
      <alignment horizontal="centerContinuous" vertical="center"/>
    </xf>
    <xf numFmtId="0" fontId="2" fillId="0" borderId="7" xfId="4" applyBorder="1" applyAlignment="1">
      <alignment horizontal="center" vertical="center"/>
    </xf>
    <xf numFmtId="3" fontId="6" fillId="0" borderId="5" xfId="4" applyNumberFormat="1" applyFont="1" applyBorder="1" applyAlignment="1">
      <alignment horizontal="centerContinuous" vertical="center"/>
    </xf>
    <xf numFmtId="3" fontId="6" fillId="0" borderId="0" xfId="4" applyNumberFormat="1" applyFont="1" applyBorder="1" applyAlignment="1">
      <alignment horizontal="centerContinuous" vertical="center"/>
    </xf>
    <xf numFmtId="166" fontId="6" fillId="0" borderId="6" xfId="4" applyNumberFormat="1" applyFont="1" applyBorder="1" applyAlignment="1">
      <alignment horizontal="centerContinuous" vertical="center"/>
    </xf>
    <xf numFmtId="2" fontId="6" fillId="0" borderId="13" xfId="4" applyNumberFormat="1" applyFont="1" applyBorder="1" applyAlignment="1">
      <alignment horizontal="centerContinuous" vertical="center"/>
    </xf>
    <xf numFmtId="0" fontId="2" fillId="0" borderId="6" xfId="4" applyBorder="1" applyAlignment="1">
      <alignment horizontal="center" vertical="center"/>
    </xf>
    <xf numFmtId="3" fontId="6" fillId="0" borderId="6" xfId="4" applyNumberFormat="1" applyFont="1" applyBorder="1" applyAlignment="1">
      <alignment horizontal="centerContinuous" vertical="center"/>
    </xf>
    <xf numFmtId="3" fontId="6" fillId="0" borderId="0" xfId="4" applyNumberFormat="1" applyFont="1" applyBorder="1" applyAlignment="1">
      <alignment horizontal="center" vertical="center"/>
    </xf>
    <xf numFmtId="3" fontId="6" fillId="0" borderId="6" xfId="4" applyNumberFormat="1" applyFont="1" applyBorder="1" applyAlignment="1">
      <alignment horizontal="center" vertical="center"/>
    </xf>
    <xf numFmtId="166" fontId="6" fillId="0" borderId="6" xfId="4" applyNumberFormat="1" applyFont="1" applyBorder="1" applyAlignment="1">
      <alignment horizontal="center" vertical="center"/>
    </xf>
    <xf numFmtId="2" fontId="6" fillId="0" borderId="13" xfId="4" applyNumberFormat="1" applyFont="1" applyBorder="1" applyAlignment="1">
      <alignment horizontal="center" vertical="center"/>
    </xf>
    <xf numFmtId="0" fontId="2" fillId="0" borderId="3" xfId="4" applyBorder="1" applyAlignment="1">
      <alignment horizontal="center" vertical="center"/>
    </xf>
    <xf numFmtId="3" fontId="6" fillId="0" borderId="15" xfId="4" applyNumberFormat="1" applyFont="1" applyBorder="1" applyAlignment="1">
      <alignment horizontal="centerContinuous" vertical="center"/>
    </xf>
    <xf numFmtId="3" fontId="6" fillId="0" borderId="3" xfId="4" applyNumberFormat="1" applyFont="1" applyBorder="1" applyAlignment="1">
      <alignment horizontal="centerContinuous" vertical="center"/>
    </xf>
    <xf numFmtId="166" fontId="6" fillId="0" borderId="3" xfId="4" applyNumberFormat="1" applyFont="1" applyBorder="1" applyAlignment="1">
      <alignment horizontal="centerContinuous" vertical="center"/>
    </xf>
    <xf numFmtId="2" fontId="6" fillId="0" borderId="14" xfId="4" applyNumberFormat="1" applyFont="1" applyBorder="1" applyAlignment="1">
      <alignment horizontal="centerContinuous" vertical="center"/>
    </xf>
    <xf numFmtId="0" fontId="2" fillId="0" borderId="0" xfId="4" applyBorder="1" applyAlignment="1">
      <alignment horizontal="centerContinuous" vertical="center"/>
    </xf>
    <xf numFmtId="2" fontId="6" fillId="0" borderId="0" xfId="4" applyNumberFormat="1" applyFont="1" applyBorder="1" applyAlignment="1">
      <alignment horizontal="centerContinuous" vertical="center"/>
    </xf>
    <xf numFmtId="0" fontId="2" fillId="0" borderId="0" xfId="4" applyAlignment="1">
      <alignment vertical="center"/>
    </xf>
    <xf numFmtId="0" fontId="8" fillId="0" borderId="0" xfId="4" applyFont="1" applyAlignment="1"/>
    <xf numFmtId="0" fontId="6" fillId="0" borderId="0" xfId="4" applyFont="1"/>
    <xf numFmtId="0" fontId="2" fillId="0" borderId="10" xfId="4" applyBorder="1" applyAlignment="1">
      <alignment horizontal="centerContinuous" vertical="top"/>
    </xf>
    <xf numFmtId="0" fontId="2" fillId="0" borderId="11" xfId="4" applyBorder="1" applyAlignment="1">
      <alignment horizontal="center" vertical="center"/>
    </xf>
    <xf numFmtId="0" fontId="2" fillId="0" borderId="5" xfId="4" applyBorder="1" applyAlignment="1">
      <alignment horizontal="center" vertical="center"/>
    </xf>
    <xf numFmtId="3" fontId="6" fillId="0" borderId="7" xfId="4" applyNumberFormat="1" applyFont="1" applyBorder="1" applyAlignment="1">
      <alignment horizontal="centerContinuous" vertical="center"/>
    </xf>
    <xf numFmtId="2" fontId="6" fillId="0" borderId="6" xfId="4" applyNumberFormat="1" applyFont="1" applyBorder="1" applyAlignment="1">
      <alignment horizontal="centerContinuous" vertical="center"/>
    </xf>
    <xf numFmtId="3" fontId="6" fillId="0" borderId="7" xfId="4" applyNumberFormat="1" applyFont="1" applyBorder="1" applyAlignment="1">
      <alignment horizontal="center" vertical="center"/>
    </xf>
    <xf numFmtId="0" fontId="2" fillId="0" borderId="10" xfId="4" applyBorder="1" applyAlignment="1">
      <alignment horizontal="center" vertical="center"/>
    </xf>
    <xf numFmtId="1" fontId="2" fillId="0" borderId="3" xfId="4" applyNumberFormat="1" applyBorder="1" applyAlignment="1">
      <alignment horizontal="center" vertical="center"/>
    </xf>
    <xf numFmtId="3" fontId="6" fillId="0" borderId="10" xfId="4" applyNumberFormat="1" applyFont="1" applyBorder="1" applyAlignment="1">
      <alignment horizontal="centerContinuous" vertical="center"/>
    </xf>
    <xf numFmtId="0" fontId="12" fillId="0" borderId="0" xfId="4" applyFont="1" applyAlignment="1"/>
    <xf numFmtId="0" fontId="15" fillId="0" borderId="0" xfId="4" applyFont="1"/>
    <xf numFmtId="0" fontId="28" fillId="0" borderId="0" xfId="4" applyFont="1"/>
    <xf numFmtId="0" fontId="28" fillId="0" borderId="0" xfId="4" applyFont="1" applyAlignment="1">
      <alignment horizontal="centerContinuous"/>
    </xf>
    <xf numFmtId="0" fontId="28" fillId="0" borderId="0" xfId="4" applyFont="1" applyAlignment="1"/>
    <xf numFmtId="0" fontId="28" fillId="0" borderId="11" xfId="4" applyFont="1" applyBorder="1" applyAlignment="1">
      <alignment horizontal="centerContinuous" vertical="center"/>
    </xf>
    <xf numFmtId="0" fontId="28" fillId="0" borderId="5" xfId="4" applyFont="1" applyBorder="1" applyAlignment="1">
      <alignment horizontal="centerContinuous" vertical="center"/>
    </xf>
    <xf numFmtId="0" fontId="28" fillId="0" borderId="2" xfId="4" applyFont="1" applyBorder="1" applyAlignment="1">
      <alignment horizontal="centerContinuous" vertical="center"/>
    </xf>
    <xf numFmtId="0" fontId="28" fillId="0" borderId="0" xfId="4" applyFont="1" applyAlignment="1">
      <alignment vertical="center"/>
    </xf>
    <xf numFmtId="0" fontId="28" fillId="0" borderId="10" xfId="4" applyFont="1" applyBorder="1" applyAlignment="1">
      <alignment horizontal="centerContinuous" vertical="center"/>
    </xf>
    <xf numFmtId="0" fontId="28" fillId="0" borderId="3" xfId="4" applyFont="1" applyBorder="1" applyAlignment="1">
      <alignment horizontal="centerContinuous" vertical="center"/>
    </xf>
    <xf numFmtId="0" fontId="28" fillId="0" borderId="14" xfId="4" applyFont="1" applyBorder="1" applyAlignment="1">
      <alignment horizontal="centerContinuous" vertical="center"/>
    </xf>
    <xf numFmtId="3" fontId="28" fillId="0" borderId="7" xfId="4" applyNumberFormat="1" applyFont="1" applyBorder="1" applyAlignment="1">
      <alignment horizontal="centerContinuous" vertical="center"/>
    </xf>
    <xf numFmtId="166" fontId="28" fillId="0" borderId="6" xfId="4" applyNumberFormat="1" applyFont="1" applyBorder="1" applyAlignment="1">
      <alignment horizontal="centerContinuous" vertical="center"/>
    </xf>
    <xf numFmtId="2" fontId="28" fillId="0" borderId="13" xfId="4" applyNumberFormat="1" applyFont="1" applyBorder="1" applyAlignment="1">
      <alignment horizontal="centerContinuous" vertical="center"/>
    </xf>
    <xf numFmtId="166" fontId="28" fillId="0" borderId="7" xfId="4" applyNumberFormat="1" applyFont="1" applyBorder="1" applyAlignment="1">
      <alignment horizontal="centerContinuous" vertical="center"/>
    </xf>
    <xf numFmtId="2" fontId="28" fillId="0" borderId="6" xfId="4" applyNumberFormat="1" applyFont="1" applyBorder="1" applyAlignment="1">
      <alignment horizontal="centerContinuous" vertical="center"/>
    </xf>
    <xf numFmtId="3" fontId="28" fillId="0" borderId="7" xfId="4" applyNumberFormat="1" applyFont="1" applyBorder="1" applyAlignment="1">
      <alignment horizontal="center" vertical="center"/>
    </xf>
    <xf numFmtId="166" fontId="28" fillId="0" borderId="6" xfId="4" applyNumberFormat="1" applyFont="1" applyBorder="1" applyAlignment="1">
      <alignment horizontal="center" vertical="center"/>
    </xf>
    <xf numFmtId="2" fontId="28" fillId="0" borderId="13" xfId="4" applyNumberFormat="1" applyFont="1" applyBorder="1" applyAlignment="1">
      <alignment horizontal="center" vertical="center"/>
    </xf>
    <xf numFmtId="3" fontId="28" fillId="0" borderId="10" xfId="4" applyNumberFormat="1" applyFont="1" applyBorder="1" applyAlignment="1">
      <alignment horizontal="centerContinuous" vertical="center"/>
    </xf>
    <xf numFmtId="166" fontId="28" fillId="0" borderId="3" xfId="4" applyNumberFormat="1" applyFont="1" applyBorder="1" applyAlignment="1">
      <alignment horizontal="centerContinuous" vertical="center"/>
    </xf>
    <xf numFmtId="2" fontId="28" fillId="0" borderId="14" xfId="4" applyNumberFormat="1" applyFont="1" applyBorder="1" applyAlignment="1">
      <alignment horizontal="centerContinuous" vertical="center"/>
    </xf>
    <xf numFmtId="3" fontId="6" fillId="0" borderId="13" xfId="4" applyNumberFormat="1" applyFont="1" applyBorder="1" applyAlignment="1">
      <alignment horizontal="centerContinuous" vertical="center"/>
    </xf>
    <xf numFmtId="0" fontId="2" fillId="0" borderId="0" xfId="4" applyAlignment="1"/>
    <xf numFmtId="0" fontId="6" fillId="0" borderId="0" xfId="4" applyFont="1" applyAlignment="1"/>
    <xf numFmtId="166" fontId="6" fillId="0" borderId="0" xfId="4" applyNumberFormat="1" applyFont="1" applyBorder="1" applyAlignment="1">
      <alignment horizontal="centerContinuous" vertical="center"/>
    </xf>
    <xf numFmtId="0" fontId="22" fillId="0" borderId="0" xfId="6" applyFont="1" applyAlignment="1">
      <alignment horizontal="centerContinuous"/>
    </xf>
    <xf numFmtId="0" fontId="2" fillId="0" borderId="0" xfId="6" applyAlignment="1">
      <alignment horizontal="centerContinuous"/>
    </xf>
    <xf numFmtId="3" fontId="2" fillId="0" borderId="0" xfId="6" applyNumberFormat="1" applyAlignment="1">
      <alignment horizontal="centerContinuous"/>
    </xf>
    <xf numFmtId="0" fontId="2" fillId="0" borderId="0" xfId="6"/>
    <xf numFmtId="0" fontId="5" fillId="0" borderId="0" xfId="6" applyFont="1"/>
    <xf numFmtId="3" fontId="2" fillId="0" borderId="0" xfId="6" applyNumberFormat="1"/>
    <xf numFmtId="0" fontId="10" fillId="0" borderId="5" xfId="6" applyFont="1" applyBorder="1" applyAlignment="1"/>
    <xf numFmtId="0" fontId="2" fillId="0" borderId="5" xfId="6" applyBorder="1" applyAlignment="1">
      <alignment vertical="center"/>
    </xf>
    <xf numFmtId="0" fontId="2" fillId="0" borderId="12" xfId="6" applyBorder="1" applyAlignment="1">
      <alignment vertical="center"/>
    </xf>
    <xf numFmtId="0" fontId="2" fillId="0" borderId="12" xfId="6" applyBorder="1" applyAlignment="1">
      <alignment horizontal="centerContinuous" vertical="center"/>
    </xf>
    <xf numFmtId="0" fontId="2" fillId="0" borderId="2" xfId="6" applyBorder="1" applyAlignment="1">
      <alignment horizontal="center" vertical="center"/>
    </xf>
    <xf numFmtId="0" fontId="10" fillId="0" borderId="3" xfId="6" applyFont="1" applyBorder="1" applyAlignment="1">
      <alignment vertical="top" wrapText="1"/>
    </xf>
    <xf numFmtId="0" fontId="6" fillId="0" borderId="3" xfId="6" applyFont="1" applyBorder="1" applyAlignment="1">
      <alignment vertical="top"/>
    </xf>
    <xf numFmtId="0" fontId="9" fillId="0" borderId="1" xfId="6" applyFont="1" applyBorder="1" applyAlignment="1">
      <alignment horizontal="center" vertical="top" wrapText="1"/>
    </xf>
    <xf numFmtId="0" fontId="9" fillId="0" borderId="9" xfId="6" applyFont="1" applyBorder="1" applyAlignment="1">
      <alignment horizontal="centerContinuous" vertical="center"/>
    </xf>
    <xf numFmtId="0" fontId="9" fillId="0" borderId="8" xfId="6" applyFont="1" applyBorder="1" applyAlignment="1">
      <alignment horizontal="centerContinuous" vertical="center"/>
    </xf>
    <xf numFmtId="0" fontId="9" fillId="0" borderId="4" xfId="6" applyFont="1" applyBorder="1" applyAlignment="1">
      <alignment horizontal="centerContinuous" vertical="center"/>
    </xf>
    <xf numFmtId="0" fontId="10" fillId="0" borderId="6" xfId="6" applyFont="1" applyBorder="1" applyAlignment="1">
      <alignment vertical="center"/>
    </xf>
    <xf numFmtId="0" fontId="2" fillId="0" borderId="6" xfId="6" applyBorder="1" applyAlignment="1">
      <alignment vertical="center"/>
    </xf>
    <xf numFmtId="0" fontId="2" fillId="0" borderId="0" xfId="6" applyBorder="1" applyAlignment="1">
      <alignment vertical="center"/>
    </xf>
    <xf numFmtId="3" fontId="2" fillId="0" borderId="13" xfId="6" applyNumberFormat="1" applyBorder="1" applyAlignment="1">
      <alignment vertical="center"/>
    </xf>
    <xf numFmtId="0" fontId="9" fillId="0" borderId="6" xfId="6" applyFont="1" applyBorder="1" applyAlignment="1">
      <alignment horizontal="centerContinuous" vertical="center"/>
    </xf>
    <xf numFmtId="0" fontId="9" fillId="0" borderId="6" xfId="6" applyFont="1" applyBorder="1" applyAlignment="1">
      <alignment vertical="center"/>
    </xf>
    <xf numFmtId="3" fontId="28" fillId="0" borderId="6" xfId="6" applyNumberFormat="1" applyFont="1" applyBorder="1" applyAlignment="1">
      <alignment horizontal="center" vertical="center"/>
    </xf>
    <xf numFmtId="3" fontId="28" fillId="0" borderId="0" xfId="6" applyNumberFormat="1" applyFont="1" applyBorder="1" applyAlignment="1">
      <alignment horizontal="centerContinuous" vertical="center"/>
    </xf>
    <xf numFmtId="3" fontId="28" fillId="0" borderId="6" xfId="6" applyNumberFormat="1" applyFont="1" applyBorder="1" applyAlignment="1">
      <alignment horizontal="centerContinuous" vertical="center"/>
    </xf>
    <xf numFmtId="3" fontId="28" fillId="0" borderId="13" xfId="6" applyNumberFormat="1" applyFont="1" applyBorder="1" applyAlignment="1">
      <alignment horizontal="centerContinuous" vertical="center"/>
    </xf>
    <xf numFmtId="0" fontId="9" fillId="0" borderId="6" xfId="6" applyFont="1" applyBorder="1" applyAlignment="1">
      <alignment vertical="center" wrapText="1"/>
    </xf>
    <xf numFmtId="0" fontId="9" fillId="0" borderId="3" xfId="6" applyFont="1" applyBorder="1" applyAlignment="1">
      <alignment vertical="center"/>
    </xf>
    <xf numFmtId="3" fontId="28" fillId="0" borderId="3" xfId="6" applyNumberFormat="1" applyFont="1" applyBorder="1" applyAlignment="1">
      <alignment horizontal="center" vertical="center"/>
    </xf>
    <xf numFmtId="3" fontId="28" fillId="0" borderId="15" xfId="6" applyNumberFormat="1" applyFont="1" applyBorder="1" applyAlignment="1">
      <alignment horizontal="centerContinuous" vertical="center"/>
    </xf>
    <xf numFmtId="3" fontId="28" fillId="0" borderId="3" xfId="6" applyNumberFormat="1" applyFont="1" applyBorder="1" applyAlignment="1">
      <alignment horizontal="centerContinuous" vertical="center"/>
    </xf>
    <xf numFmtId="3" fontId="28" fillId="0" borderId="14" xfId="6" applyNumberFormat="1" applyFont="1" applyBorder="1" applyAlignment="1">
      <alignment horizontal="centerContinuous" vertical="center"/>
    </xf>
    <xf numFmtId="0" fontId="9" fillId="0" borderId="0" xfId="6" applyFont="1" applyBorder="1" applyAlignment="1">
      <alignment vertical="center"/>
    </xf>
    <xf numFmtId="0" fontId="9" fillId="0" borderId="0" xfId="6" applyFont="1" applyBorder="1" applyAlignment="1">
      <alignment horizontal="centerContinuous" vertical="center"/>
    </xf>
    <xf numFmtId="3" fontId="9" fillId="0" borderId="0" xfId="6" applyNumberFormat="1" applyFont="1" applyBorder="1" applyAlignment="1">
      <alignment horizontal="centerContinuous" vertical="center"/>
    </xf>
    <xf numFmtId="0" fontId="61" fillId="0" borderId="0" xfId="6" applyFont="1" applyAlignment="1">
      <alignment horizontal="centerContinuous" vertical="center"/>
    </xf>
    <xf numFmtId="0" fontId="9" fillId="0" borderId="0" xfId="6" applyFont="1" applyAlignment="1">
      <alignment horizontal="centerContinuous" vertical="center"/>
    </xf>
    <xf numFmtId="3" fontId="9" fillId="0" borderId="0" xfId="6" applyNumberFormat="1" applyFont="1" applyAlignment="1">
      <alignment vertical="center"/>
    </xf>
    <xf numFmtId="0" fontId="31" fillId="0" borderId="0" xfId="6" applyFont="1" applyAlignment="1">
      <alignment horizontal="centerContinuous" vertical="center"/>
    </xf>
    <xf numFmtId="0" fontId="2" fillId="0" borderId="0" xfId="6" applyAlignment="1">
      <alignment horizontal="centerContinuous" vertical="center"/>
    </xf>
    <xf numFmtId="3" fontId="2" fillId="0" borderId="0" xfId="6" applyNumberFormat="1" applyAlignment="1">
      <alignment vertical="center"/>
    </xf>
    <xf numFmtId="0" fontId="2" fillId="0" borderId="0" xfId="6" applyAlignment="1">
      <alignment vertical="center"/>
    </xf>
    <xf numFmtId="0" fontId="2" fillId="0" borderId="2" xfId="6" applyBorder="1" applyAlignment="1">
      <alignment horizontal="centerContinuous" vertical="center"/>
    </xf>
    <xf numFmtId="0" fontId="2" fillId="0" borderId="13" xfId="6" applyBorder="1" applyAlignment="1">
      <alignment vertical="center"/>
    </xf>
    <xf numFmtId="3" fontId="23" fillId="0" borderId="0" xfId="6" applyNumberFormat="1" applyFont="1" applyBorder="1" applyAlignment="1">
      <alignment horizontal="centerContinuous" vertical="center"/>
    </xf>
    <xf numFmtId="0" fontId="15" fillId="0" borderId="0" xfId="6" applyFont="1" applyAlignment="1">
      <alignment horizontal="centerContinuous"/>
    </xf>
    <xf numFmtId="0" fontId="21" fillId="0" borderId="0" xfId="6" applyFont="1" applyAlignment="1">
      <alignment horizontal="centerContinuous"/>
    </xf>
    <xf numFmtId="0" fontId="9" fillId="0" borderId="5" xfId="6" applyFont="1" applyBorder="1" applyAlignment="1">
      <alignment horizontal="centerContinuous" vertical="center"/>
    </xf>
    <xf numFmtId="0" fontId="9" fillId="0" borderId="3" xfId="6" applyFont="1" applyBorder="1" applyAlignment="1">
      <alignment horizontal="centerContinuous" vertical="center"/>
    </xf>
    <xf numFmtId="3" fontId="28" fillId="0" borderId="0" xfId="6" quotePrefix="1" applyNumberFormat="1" applyFont="1" applyBorder="1" applyAlignment="1">
      <alignment horizontal="centerContinuous" vertical="center"/>
    </xf>
    <xf numFmtId="0" fontId="28" fillId="0" borderId="0" xfId="6" applyFont="1"/>
    <xf numFmtId="165" fontId="28" fillId="0" borderId="6" xfId="6" applyNumberFormat="1" applyFont="1" applyBorder="1" applyAlignment="1">
      <alignment horizontal="centerContinuous" vertical="center"/>
    </xf>
    <xf numFmtId="0" fontId="28" fillId="0" borderId="3" xfId="6" applyFont="1" applyBorder="1" applyAlignment="1">
      <alignment horizontal="centerContinuous" vertical="center"/>
    </xf>
    <xf numFmtId="0" fontId="26" fillId="0" borderId="0" xfId="6" applyFont="1" applyAlignment="1">
      <alignment horizontal="centerContinuous" vertical="center"/>
    </xf>
    <xf numFmtId="0" fontId="5" fillId="0" borderId="0" xfId="6" applyFont="1" applyAlignment="1">
      <alignment vertical="center"/>
    </xf>
    <xf numFmtId="0" fontId="10" fillId="0" borderId="5" xfId="6" applyFont="1" applyBorder="1" applyAlignment="1">
      <alignment vertical="center"/>
    </xf>
    <xf numFmtId="0" fontId="10" fillId="0" borderId="3" xfId="6" applyFont="1" applyBorder="1" applyAlignment="1">
      <alignment vertical="center" wrapText="1"/>
    </xf>
    <xf numFmtId="0" fontId="6" fillId="0" borderId="3" xfId="6" applyFont="1" applyBorder="1" applyAlignment="1">
      <alignment vertical="center"/>
    </xf>
    <xf numFmtId="0" fontId="9" fillId="0" borderId="1" xfId="6" applyFont="1" applyBorder="1" applyAlignment="1">
      <alignment horizontal="center" vertical="center" wrapText="1"/>
    </xf>
    <xf numFmtId="0" fontId="2" fillId="0" borderId="0" xfId="6" applyBorder="1" applyAlignment="1">
      <alignment horizontal="center" vertical="center"/>
    </xf>
    <xf numFmtId="0" fontId="2" fillId="0" borderId="5" xfId="6" applyBorder="1" applyAlignment="1">
      <alignment horizontal="center" vertical="center"/>
    </xf>
    <xf numFmtId="0" fontId="28" fillId="0" borderId="0" xfId="6" applyFont="1" applyBorder="1" applyAlignment="1">
      <alignment horizontal="center" vertical="center"/>
    </xf>
    <xf numFmtId="0" fontId="28" fillId="0" borderId="6" xfId="6" applyFont="1" applyBorder="1" applyAlignment="1">
      <alignment horizontal="center" vertical="center"/>
    </xf>
    <xf numFmtId="0" fontId="2" fillId="0" borderId="0" xfId="6" applyAlignment="1">
      <alignment horizontal="center" vertical="center"/>
    </xf>
    <xf numFmtId="0" fontId="2" fillId="0" borderId="0" xfId="6" applyFont="1" applyAlignment="1">
      <alignment horizontal="center" vertical="center"/>
    </xf>
    <xf numFmtId="0" fontId="9" fillId="0" borderId="0" xfId="6" applyFont="1" applyBorder="1" applyAlignment="1">
      <alignment horizontal="center" vertical="center"/>
    </xf>
    <xf numFmtId="0" fontId="62" fillId="0" borderId="0" xfId="6" applyFont="1" applyAlignment="1">
      <alignment horizontal="centerContinuous" vertical="center"/>
    </xf>
    <xf numFmtId="0" fontId="9" fillId="0" borderId="0" xfId="6" applyFont="1" applyAlignment="1">
      <alignment vertical="center"/>
    </xf>
    <xf numFmtId="0" fontId="33" fillId="0" borderId="0" xfId="6" applyFont="1" applyAlignment="1">
      <alignment horizontal="centerContinuous" vertical="center"/>
    </xf>
    <xf numFmtId="0" fontId="36" fillId="0" borderId="0" xfId="6" applyFont="1" applyAlignment="1">
      <alignment horizontal="center" vertical="center"/>
    </xf>
    <xf numFmtId="0" fontId="25" fillId="0" borderId="0" xfId="6" applyFont="1" applyAlignment="1">
      <alignment horizontal="center" vertical="center"/>
    </xf>
    <xf numFmtId="0" fontId="2" fillId="0" borderId="0" xfId="6" applyFont="1" applyAlignment="1">
      <alignment vertical="center"/>
    </xf>
    <xf numFmtId="0" fontId="26" fillId="0" borderId="0" xfId="6" applyFont="1" applyAlignment="1">
      <alignment horizontal="center" vertical="center"/>
    </xf>
    <xf numFmtId="0" fontId="33" fillId="0" borderId="0" xfId="6" applyFont="1" applyAlignment="1">
      <alignment vertical="center"/>
    </xf>
    <xf numFmtId="0" fontId="28" fillId="0" borderId="13" xfId="6" applyFont="1" applyBorder="1" applyAlignment="1">
      <alignment horizontal="centerContinuous" vertical="center"/>
    </xf>
    <xf numFmtId="0" fontId="28" fillId="0" borderId="3" xfId="6" applyFont="1" applyBorder="1" applyAlignment="1">
      <alignment horizontal="center" vertical="center"/>
    </xf>
    <xf numFmtId="0" fontId="28" fillId="0" borderId="15" xfId="6" applyFont="1" applyBorder="1" applyAlignment="1">
      <alignment horizontal="center" vertical="center"/>
    </xf>
    <xf numFmtId="3" fontId="9" fillId="0" borderId="0" xfId="6" applyNumberFormat="1" applyFont="1" applyBorder="1" applyAlignment="1">
      <alignment horizontal="center" vertical="center"/>
    </xf>
    <xf numFmtId="0" fontId="22" fillId="0" borderId="0" xfId="6" applyFont="1" applyAlignment="1">
      <alignment horizontal="center" vertical="center"/>
    </xf>
    <xf numFmtId="0" fontId="9" fillId="0" borderId="0" xfId="6" applyFont="1" applyAlignment="1">
      <alignment horizontal="center" vertical="center"/>
    </xf>
    <xf numFmtId="0" fontId="15" fillId="0" borderId="0" xfId="6" applyFont="1" applyAlignment="1">
      <alignment horizontal="center" vertical="center"/>
    </xf>
    <xf numFmtId="0" fontId="2" fillId="0" borderId="7" xfId="6" applyBorder="1" applyAlignment="1">
      <alignment horizontal="center" vertical="center"/>
    </xf>
    <xf numFmtId="0" fontId="9" fillId="0" borderId="8" xfId="6" applyFont="1" applyBorder="1" applyAlignment="1">
      <alignment horizontal="center" vertical="center"/>
    </xf>
    <xf numFmtId="0" fontId="9" fillId="0" borderId="4" xfId="6" applyFont="1" applyBorder="1" applyAlignment="1">
      <alignment horizontal="center" vertical="center"/>
    </xf>
    <xf numFmtId="0" fontId="2" fillId="0" borderId="13" xfId="6" applyBorder="1" applyAlignment="1">
      <alignment horizontal="center" vertical="center"/>
    </xf>
    <xf numFmtId="3" fontId="28" fillId="0" borderId="13" xfId="6" applyNumberFormat="1" applyFont="1" applyBorder="1" applyAlignment="1">
      <alignment horizontal="center" vertical="center"/>
    </xf>
    <xf numFmtId="0" fontId="28" fillId="0" borderId="15" xfId="6" applyFont="1" applyBorder="1" applyAlignment="1">
      <alignment horizontal="centerContinuous" vertical="center"/>
    </xf>
    <xf numFmtId="3" fontId="28" fillId="0" borderId="15" xfId="6" applyNumberFormat="1" applyFont="1" applyBorder="1" applyAlignment="1">
      <alignment horizontal="center" vertical="center"/>
    </xf>
    <xf numFmtId="3" fontId="28" fillId="0" borderId="14" xfId="6" applyNumberFormat="1" applyFont="1" applyBorder="1" applyAlignment="1">
      <alignment horizontal="center" vertical="center"/>
    </xf>
    <xf numFmtId="0" fontId="31" fillId="0" borderId="0" xfId="6" applyFont="1" applyAlignment="1">
      <alignment horizontal="center" vertical="center"/>
    </xf>
    <xf numFmtId="0" fontId="5" fillId="0" borderId="0" xfId="6" applyFont="1" applyAlignment="1">
      <alignment horizontal="center" vertical="center"/>
    </xf>
    <xf numFmtId="0" fontId="10" fillId="0" borderId="5" xfId="6" applyFont="1" applyBorder="1" applyAlignment="1">
      <alignment horizontal="center" vertical="center"/>
    </xf>
    <xf numFmtId="0" fontId="10" fillId="0" borderId="3" xfId="6" applyFont="1" applyBorder="1" applyAlignment="1">
      <alignment horizontal="center" vertical="center" wrapText="1"/>
    </xf>
    <xf numFmtId="0" fontId="6" fillId="0" borderId="3" xfId="6" applyFont="1" applyBorder="1" applyAlignment="1">
      <alignment horizontal="center" vertical="center"/>
    </xf>
    <xf numFmtId="0" fontId="9" fillId="0" borderId="9" xfId="6" applyFont="1" applyBorder="1" applyAlignment="1">
      <alignment horizontal="center" vertical="center"/>
    </xf>
    <xf numFmtId="0" fontId="10" fillId="0" borderId="6" xfId="6" applyFont="1" applyBorder="1" applyAlignment="1">
      <alignment horizontal="center" vertical="center"/>
    </xf>
    <xf numFmtId="0" fontId="2" fillId="0" borderId="6" xfId="6" applyBorder="1" applyAlignment="1">
      <alignment horizontal="center" vertical="center"/>
    </xf>
    <xf numFmtId="0" fontId="9" fillId="0" borderId="6" xfId="6" applyFont="1" applyBorder="1" applyAlignment="1">
      <alignment horizontal="center" vertical="center"/>
    </xf>
    <xf numFmtId="0" fontId="9" fillId="0" borderId="6" xfId="6" applyFont="1" applyBorder="1" applyAlignment="1">
      <alignment horizontal="left" vertical="center"/>
    </xf>
    <xf numFmtId="0" fontId="28" fillId="0" borderId="13" xfId="6" applyFont="1" applyBorder="1" applyAlignment="1">
      <alignment horizontal="center" vertical="center"/>
    </xf>
    <xf numFmtId="0" fontId="9" fillId="0" borderId="3" xfId="6" applyFont="1" applyBorder="1" applyAlignment="1">
      <alignment horizontal="center" vertical="center"/>
    </xf>
    <xf numFmtId="0" fontId="22" fillId="5" borderId="0" xfId="6" applyFont="1" applyFill="1" applyAlignment="1">
      <alignment horizontal="centerContinuous" vertical="center"/>
    </xf>
    <xf numFmtId="0" fontId="31" fillId="5" borderId="0" xfId="6" applyFont="1" applyFill="1" applyAlignment="1">
      <alignment horizontal="centerContinuous" vertical="center"/>
    </xf>
    <xf numFmtId="0" fontId="22" fillId="0" borderId="0" xfId="6" applyFont="1" applyAlignment="1">
      <alignment horizontal="centerContinuous" vertical="center"/>
    </xf>
    <xf numFmtId="0" fontId="11" fillId="0" borderId="0" xfId="6" applyFont="1" applyAlignment="1">
      <alignment horizontal="center" vertical="center"/>
    </xf>
    <xf numFmtId="0" fontId="31" fillId="0" borderId="0" xfId="6" applyFont="1" applyAlignment="1">
      <alignment horizontal="centerContinuous"/>
    </xf>
    <xf numFmtId="0" fontId="11" fillId="0" borderId="0" xfId="6" applyFont="1" applyAlignment="1">
      <alignment horizontal="centerContinuous"/>
    </xf>
    <xf numFmtId="0" fontId="31" fillId="0" borderId="0" xfId="6" applyFont="1"/>
    <xf numFmtId="0" fontId="11" fillId="0" borderId="0" xfId="6" applyFont="1" applyAlignment="1"/>
    <xf numFmtId="0" fontId="2" fillId="0" borderId="7" xfId="6" applyBorder="1"/>
    <xf numFmtId="0" fontId="2" fillId="0" borderId="0" xfId="0" applyFont="1"/>
    <xf numFmtId="0" fontId="2" fillId="0" borderId="0" xfId="0" applyFont="1" applyAlignment="1">
      <alignment vertical="center"/>
    </xf>
    <xf numFmtId="0" fontId="2" fillId="0" borderId="0" xfId="0" applyFont="1" applyAlignment="1">
      <alignment horizontal="left" vertical="center"/>
    </xf>
    <xf numFmtId="0" fontId="1" fillId="0" borderId="0" xfId="0" applyFont="1" applyAlignment="1">
      <alignment vertical="center" wrapText="1"/>
    </xf>
    <xf numFmtId="0" fontId="1" fillId="0" borderId="0" xfId="0" applyFont="1" applyAlignment="1">
      <alignment vertical="center"/>
    </xf>
    <xf numFmtId="0" fontId="1" fillId="0" borderId="0" xfId="0" applyFont="1" applyAlignment="1">
      <alignment horizontal="left" vertical="center"/>
    </xf>
    <xf numFmtId="0" fontId="5" fillId="0" borderId="0" xfId="0" applyFont="1" applyAlignment="1">
      <alignment horizontal="centerContinuous" vertical="center"/>
    </xf>
    <xf numFmtId="1" fontId="2" fillId="0" borderId="6" xfId="4" applyNumberFormat="1" applyBorder="1" applyAlignment="1">
      <alignment horizontal="center" vertical="center"/>
    </xf>
    <xf numFmtId="0" fontId="19" fillId="0" borderId="13" xfId="0" applyFont="1" applyBorder="1" applyAlignment="1">
      <alignment vertical="center"/>
    </xf>
    <xf numFmtId="0" fontId="19" fillId="0" borderId="8" xfId="0" applyFont="1" applyBorder="1" applyAlignment="1">
      <alignment horizontal="center" vertical="center"/>
    </xf>
    <xf numFmtId="3" fontId="9" fillId="0" borderId="0" xfId="0" applyNumberFormat="1" applyFont="1" applyFill="1" applyBorder="1" applyAlignment="1">
      <alignment horizontal="center"/>
    </xf>
    <xf numFmtId="0" fontId="0" fillId="0" borderId="0" xfId="0" applyFill="1" applyBorder="1" applyAlignment="1">
      <alignment horizontal="center"/>
    </xf>
    <xf numFmtId="0" fontId="63" fillId="0" borderId="20" xfId="0" applyNumberFormat="1" applyFont="1" applyFill="1" applyBorder="1" applyAlignment="1" applyProtection="1">
      <alignment horizontal="left" vertical="center"/>
    </xf>
    <xf numFmtId="0" fontId="63" fillId="0" borderId="20" xfId="0" applyNumberFormat="1" applyFont="1" applyFill="1" applyBorder="1" applyAlignment="1" applyProtection="1">
      <alignment vertical="center"/>
    </xf>
    <xf numFmtId="3" fontId="6" fillId="0" borderId="5" xfId="0" applyNumberFormat="1" applyFont="1" applyBorder="1" applyAlignment="1">
      <alignment horizontal="left" vertical="center"/>
    </xf>
    <xf numFmtId="3" fontId="6" fillId="0" borderId="6" xfId="0" applyNumberFormat="1" applyFont="1" applyBorder="1" applyAlignment="1">
      <alignment horizontal="left" vertical="center"/>
    </xf>
    <xf numFmtId="3" fontId="6" fillId="0" borderId="3" xfId="0" applyNumberFormat="1" applyFont="1" applyBorder="1" applyAlignment="1">
      <alignment horizontal="left" vertical="center"/>
    </xf>
    <xf numFmtId="0" fontId="64" fillId="0" borderId="17" xfId="0" applyNumberFormat="1" applyFont="1" applyFill="1" applyBorder="1" applyAlignment="1" applyProtection="1">
      <alignment vertical="center"/>
    </xf>
    <xf numFmtId="165" fontId="28" fillId="0" borderId="0" xfId="3" applyNumberFormat="1" applyFont="1" applyBorder="1" applyAlignment="1">
      <alignment horizontal="center" vertical="center"/>
    </xf>
    <xf numFmtId="3" fontId="64" fillId="0" borderId="0" xfId="0" applyNumberFormat="1" applyFont="1" applyFill="1" applyBorder="1" applyAlignment="1" applyProtection="1">
      <alignment horizontal="center" vertical="center"/>
    </xf>
    <xf numFmtId="3" fontId="19" fillId="0" borderId="0" xfId="0" applyNumberFormat="1" applyFont="1" applyAlignment="1">
      <alignment horizontal="center"/>
    </xf>
    <xf numFmtId="3" fontId="28" fillId="0" borderId="0" xfId="3" applyNumberFormat="1" applyFont="1"/>
    <xf numFmtId="3" fontId="9" fillId="0" borderId="0" xfId="0" applyNumberFormat="1" applyFont="1" applyFill="1" applyBorder="1" applyAlignment="1">
      <alignment horizontal="center" vertical="center"/>
    </xf>
    <xf numFmtId="0" fontId="0" fillId="0" borderId="0" xfId="0" applyAlignment="1">
      <alignment horizontal="left"/>
    </xf>
    <xf numFmtId="3" fontId="36" fillId="0" borderId="0" xfId="0" applyNumberFormat="1" applyFont="1" applyBorder="1" applyAlignment="1">
      <alignment vertical="center"/>
    </xf>
    <xf numFmtId="3" fontId="36" fillId="0" borderId="13" xfId="0" applyNumberFormat="1" applyFont="1" applyBorder="1" applyAlignment="1">
      <alignment vertical="center"/>
    </xf>
    <xf numFmtId="3" fontId="6" fillId="0" borderId="0" xfId="0" applyNumberFormat="1" applyFont="1" applyBorder="1" applyAlignment="1">
      <alignment vertical="center"/>
    </xf>
    <xf numFmtId="3" fontId="6" fillId="0" borderId="7" xfId="0" applyNumberFormat="1" applyFont="1" applyBorder="1" applyAlignment="1">
      <alignment vertical="center"/>
    </xf>
    <xf numFmtId="0" fontId="28" fillId="0" borderId="0" xfId="3" applyNumberFormat="1" applyFont="1" applyAlignment="1">
      <alignment horizontal="center"/>
    </xf>
    <xf numFmtId="0" fontId="9" fillId="0" borderId="14" xfId="0" applyFont="1" applyBorder="1" applyAlignment="1">
      <alignment horizontal="left"/>
    </xf>
    <xf numFmtId="0" fontId="67" fillId="0" borderId="0" xfId="6" applyFont="1" applyAlignment="1">
      <alignment horizontal="center" vertical="center"/>
    </xf>
    <xf numFmtId="0" fontId="15" fillId="0" borderId="9" xfId="0" applyFont="1" applyBorder="1" applyAlignment="1">
      <alignment vertical="center" wrapText="1"/>
    </xf>
    <xf numFmtId="3" fontId="28" fillId="0" borderId="1" xfId="0" applyNumberFormat="1" applyFont="1" applyBorder="1" applyAlignment="1">
      <alignment horizontal="center" vertical="center" wrapText="1"/>
    </xf>
    <xf numFmtId="0" fontId="67" fillId="0" borderId="0" xfId="0" applyFont="1" applyAlignment="1">
      <alignment vertical="center"/>
    </xf>
    <xf numFmtId="0" fontId="14" fillId="0" borderId="15" xfId="0" applyFont="1" applyBorder="1" applyAlignment="1">
      <alignment horizontal="center" vertical="center"/>
    </xf>
    <xf numFmtId="3" fontId="0" fillId="0" borderId="27" xfId="0" applyNumberFormat="1" applyBorder="1" applyAlignment="1">
      <alignment horizontal="center" vertical="center"/>
    </xf>
    <xf numFmtId="2" fontId="0" fillId="0" borderId="28" xfId="0" applyNumberFormat="1" applyBorder="1" applyAlignment="1">
      <alignment horizontal="center" vertical="center"/>
    </xf>
    <xf numFmtId="3" fontId="0" fillId="0" borderId="29" xfId="0" applyNumberFormat="1" applyBorder="1" applyAlignment="1">
      <alignment horizontal="center" vertical="center"/>
    </xf>
    <xf numFmtId="3" fontId="0" fillId="0" borderId="30" xfId="0" applyNumberFormat="1" applyBorder="1" applyAlignment="1">
      <alignment horizontal="center" vertical="center"/>
    </xf>
    <xf numFmtId="2" fontId="0" fillId="0" borderId="31" xfId="0" applyNumberFormat="1" applyBorder="1" applyAlignment="1">
      <alignment horizontal="center" vertical="center"/>
    </xf>
    <xf numFmtId="3" fontId="9" fillId="0" borderId="32" xfId="0" applyNumberFormat="1" applyFont="1" applyBorder="1" applyAlignment="1">
      <alignment horizontal="center" vertical="center"/>
    </xf>
    <xf numFmtId="3" fontId="9" fillId="0" borderId="33" xfId="0" applyNumberFormat="1" applyFont="1" applyBorder="1" applyAlignment="1">
      <alignment horizontal="center" vertical="center" wrapText="1"/>
    </xf>
    <xf numFmtId="3" fontId="9" fillId="0" borderId="34" xfId="0" applyNumberFormat="1" applyFont="1" applyBorder="1" applyAlignment="1">
      <alignment horizontal="center" vertical="center" wrapText="1"/>
    </xf>
    <xf numFmtId="0" fontId="0" fillId="0" borderId="35" xfId="0" applyBorder="1"/>
    <xf numFmtId="3" fontId="9" fillId="0" borderId="33" xfId="0" applyNumberFormat="1" applyFont="1" applyBorder="1" applyAlignment="1">
      <alignment horizontal="center" vertical="center"/>
    </xf>
    <xf numFmtId="0" fontId="19" fillId="0" borderId="36" xfId="0" applyFont="1" applyBorder="1" applyAlignment="1">
      <alignment vertical="top"/>
    </xf>
    <xf numFmtId="173" fontId="0" fillId="0" borderId="0" xfId="0" applyNumberFormat="1" applyAlignment="1">
      <alignment vertical="center"/>
    </xf>
    <xf numFmtId="3" fontId="0" fillId="0" borderId="37" xfId="0" applyNumberFormat="1" applyBorder="1" applyAlignment="1">
      <alignment horizontal="center" vertical="center"/>
    </xf>
    <xf numFmtId="3" fontId="0" fillId="0" borderId="38" xfId="0" applyNumberFormat="1" applyBorder="1" applyAlignment="1">
      <alignment horizontal="center" vertical="center"/>
    </xf>
    <xf numFmtId="2" fontId="0" fillId="0" borderId="39" xfId="0" applyNumberFormat="1" applyBorder="1" applyAlignment="1">
      <alignment horizontal="center" vertical="center"/>
    </xf>
    <xf numFmtId="0" fontId="14" fillId="0" borderId="0" xfId="0" applyFont="1" applyBorder="1" applyAlignment="1">
      <alignment horizontal="center" vertical="center"/>
    </xf>
    <xf numFmtId="2" fontId="0" fillId="0" borderId="0" xfId="0" applyNumberFormat="1" applyBorder="1" applyAlignment="1">
      <alignment horizontal="center" vertical="center"/>
    </xf>
    <xf numFmtId="0" fontId="14" fillId="0" borderId="0" xfId="0" applyFont="1" applyBorder="1" applyAlignment="1">
      <alignment horizontal="left" vertical="center"/>
    </xf>
    <xf numFmtId="3" fontId="67" fillId="0" borderId="15" xfId="3" applyNumberFormat="1" applyFont="1" applyBorder="1" applyAlignment="1" applyProtection="1">
      <alignment horizontal="center" vertical="center"/>
      <protection locked="0"/>
    </xf>
    <xf numFmtId="3" fontId="67" fillId="0" borderId="3" xfId="3" applyNumberFormat="1" applyFont="1" applyBorder="1" applyAlignment="1" applyProtection="1">
      <alignment horizontal="center" vertical="center"/>
      <protection locked="0"/>
    </xf>
    <xf numFmtId="3" fontId="67" fillId="0" borderId="15" xfId="3" applyNumberFormat="1" applyFont="1" applyBorder="1" applyAlignment="1" applyProtection="1">
      <alignment horizontal="center" vertical="center"/>
    </xf>
    <xf numFmtId="3" fontId="2" fillId="0" borderId="0" xfId="6" applyNumberFormat="1" applyAlignment="1">
      <alignment horizontal="center" vertical="center"/>
    </xf>
    <xf numFmtId="4" fontId="28" fillId="0" borderId="13" xfId="0" applyNumberFormat="1" applyFont="1" applyBorder="1" applyAlignment="1">
      <alignment horizontal="centerContinuous" vertical="center"/>
    </xf>
    <xf numFmtId="4" fontId="28" fillId="0" borderId="2" xfId="0" applyNumberFormat="1" applyFont="1" applyBorder="1" applyAlignment="1">
      <alignment horizontal="centerContinuous" vertical="center"/>
    </xf>
    <xf numFmtId="0" fontId="0" fillId="0" borderId="15" xfId="0" applyBorder="1" applyAlignment="1">
      <alignment horizontal="centerContinuous"/>
    </xf>
    <xf numFmtId="165" fontId="9" fillId="0" borderId="14" xfId="0" applyNumberFormat="1" applyFont="1" applyBorder="1" applyAlignment="1">
      <alignment horizontal="center" vertical="center"/>
    </xf>
    <xf numFmtId="3" fontId="6" fillId="0" borderId="15" xfId="0" applyNumberFormat="1" applyFont="1" applyBorder="1" applyAlignment="1">
      <alignment horizontal="center"/>
    </xf>
    <xf numFmtId="3" fontId="6" fillId="0" borderId="7" xfId="0" applyNumberFormat="1" applyFont="1" applyBorder="1" applyAlignment="1">
      <alignment horizontal="center"/>
    </xf>
    <xf numFmtId="0" fontId="2" fillId="0" borderId="6" xfId="0" applyFont="1" applyBorder="1" applyAlignment="1">
      <alignment horizontal="left" vertical="center"/>
    </xf>
    <xf numFmtId="0" fontId="2" fillId="0" borderId="0" xfId="6" applyFont="1" applyBorder="1" applyAlignment="1">
      <alignment horizontal="center" vertical="center"/>
    </xf>
    <xf numFmtId="0" fontId="28" fillId="0" borderId="4" xfId="0" applyFont="1" applyBorder="1" applyAlignment="1">
      <alignment horizontal="center" vertical="center" wrapText="1"/>
    </xf>
    <xf numFmtId="3" fontId="16" fillId="7" borderId="1" xfId="0" applyNumberFormat="1" applyFont="1" applyFill="1" applyBorder="1" applyAlignment="1">
      <alignment horizontal="center" vertical="center" wrapText="1"/>
    </xf>
    <xf numFmtId="3" fontId="35" fillId="0" borderId="0" xfId="0" applyNumberFormat="1" applyFont="1" applyAlignment="1">
      <alignment vertical="center"/>
    </xf>
    <xf numFmtId="3" fontId="31" fillId="0" borderId="13" xfId="0" applyNumberFormat="1" applyFont="1" applyBorder="1" applyAlignment="1">
      <alignment horizontal="center" vertical="center"/>
    </xf>
    <xf numFmtId="0" fontId="6" fillId="0" borderId="0" xfId="0" applyFont="1" applyFill="1" applyBorder="1" applyAlignment="1">
      <alignment horizontal="centerContinuous" vertical="center"/>
    </xf>
    <xf numFmtId="4" fontId="6" fillId="0" borderId="1" xfId="0" applyNumberFormat="1" applyFont="1" applyBorder="1" applyAlignment="1">
      <alignment horizontal="center" vertical="center"/>
    </xf>
    <xf numFmtId="0" fontId="45" fillId="0" borderId="21" xfId="8" applyNumberFormat="1" applyFont="1" applyFill="1" applyBorder="1" applyAlignment="1" applyProtection="1">
      <alignment horizontal="left" vertical="center" wrapText="1"/>
    </xf>
    <xf numFmtId="0" fontId="45" fillId="0" borderId="20" xfId="8" applyNumberFormat="1" applyFont="1" applyFill="1" applyBorder="1" applyAlignment="1" applyProtection="1">
      <alignment horizontal="left" vertical="center" wrapText="1"/>
    </xf>
    <xf numFmtId="0" fontId="45" fillId="0" borderId="40" xfId="8" applyNumberFormat="1" applyFont="1" applyFill="1" applyBorder="1" applyAlignment="1" applyProtection="1">
      <alignment horizontal="left" vertical="center" wrapText="1"/>
    </xf>
    <xf numFmtId="0" fontId="45" fillId="0" borderId="22" xfId="8" applyNumberFormat="1" applyFont="1" applyFill="1" applyBorder="1" applyAlignment="1" applyProtection="1">
      <alignment horizontal="left" vertical="center" wrapText="1"/>
    </xf>
    <xf numFmtId="3" fontId="45" fillId="0" borderId="10" xfId="0" applyNumberFormat="1" applyFont="1" applyFill="1" applyBorder="1" applyAlignment="1" applyProtection="1">
      <alignment horizontal="center" vertical="center"/>
    </xf>
    <xf numFmtId="3" fontId="65" fillId="0" borderId="0" xfId="0" applyNumberFormat="1" applyFont="1" applyFill="1" applyBorder="1" applyAlignment="1" applyProtection="1">
      <alignment vertical="center"/>
    </xf>
    <xf numFmtId="174" fontId="66" fillId="6" borderId="19" xfId="1" applyNumberFormat="1" applyFont="1" applyFill="1" applyBorder="1" applyAlignment="1">
      <alignment horizontal="left" vertical="center" wrapText="1"/>
    </xf>
    <xf numFmtId="0" fontId="9" fillId="0" borderId="41" xfId="0" applyFont="1" applyBorder="1" applyAlignment="1">
      <alignment vertical="center"/>
    </xf>
    <xf numFmtId="0" fontId="9" fillId="0" borderId="42" xfId="0" applyFont="1" applyBorder="1" applyAlignment="1">
      <alignment vertical="center"/>
    </xf>
    <xf numFmtId="3" fontId="28" fillId="0" borderId="42" xfId="0" applyNumberFormat="1" applyFont="1" applyBorder="1" applyAlignment="1">
      <alignment horizontal="center" vertical="center"/>
    </xf>
    <xf numFmtId="3" fontId="28" fillId="0" borderId="41" xfId="0" applyNumberFormat="1" applyFont="1" applyBorder="1" applyAlignment="1">
      <alignment horizontal="center" vertical="center"/>
    </xf>
    <xf numFmtId="3" fontId="28" fillId="0" borderId="43" xfId="0" applyNumberFormat="1" applyFont="1" applyBorder="1" applyAlignment="1">
      <alignment horizontal="center" vertical="center"/>
    </xf>
    <xf numFmtId="0" fontId="68" fillId="0" borderId="7" xfId="0" applyFont="1" applyBorder="1" applyAlignment="1">
      <alignment vertical="center"/>
    </xf>
    <xf numFmtId="0" fontId="1" fillId="0" borderId="0" xfId="6" applyFont="1" applyBorder="1" applyAlignment="1">
      <alignment horizontal="center" vertical="center"/>
    </xf>
    <xf numFmtId="3" fontId="2" fillId="0" borderId="0" xfId="6" applyNumberFormat="1" applyFont="1" applyBorder="1" applyAlignment="1">
      <alignment horizontal="centerContinuous" vertical="center"/>
    </xf>
    <xf numFmtId="3" fontId="69" fillId="0" borderId="0" xfId="6" applyNumberFormat="1" applyFont="1" applyBorder="1" applyAlignment="1">
      <alignment horizontal="centerContinuous" vertical="center"/>
    </xf>
    <xf numFmtId="0" fontId="0" fillId="0" borderId="0" xfId="0" applyBorder="1" applyAlignment="1">
      <alignment horizontal="center"/>
    </xf>
    <xf numFmtId="0" fontId="6" fillId="0" borderId="0" xfId="0" applyFont="1" applyBorder="1" applyAlignment="1">
      <alignment horizontal="left" vertical="center"/>
    </xf>
    <xf numFmtId="3" fontId="6" fillId="0" borderId="1" xfId="0" applyNumberFormat="1" applyFont="1" applyBorder="1" applyAlignment="1">
      <alignment horizontal="center" vertical="center"/>
    </xf>
    <xf numFmtId="0" fontId="9" fillId="0" borderId="0" xfId="0" applyFont="1" applyBorder="1" applyAlignment="1">
      <alignment horizontal="centerContinuous" vertical="center" wrapText="1"/>
    </xf>
    <xf numFmtId="0" fontId="9" fillId="0" borderId="5" xfId="0" applyFont="1" applyBorder="1" applyAlignment="1">
      <alignment horizontal="center" vertical="center"/>
    </xf>
    <xf numFmtId="0" fontId="9" fillId="0" borderId="3" xfId="0" applyFont="1" applyBorder="1" applyAlignment="1">
      <alignment horizontal="center" vertical="center" wrapText="1"/>
    </xf>
    <xf numFmtId="0" fontId="6" fillId="0" borderId="0" xfId="0" applyFont="1" applyBorder="1" applyAlignment="1">
      <alignment horizontal="center" vertical="center" wrapText="1"/>
    </xf>
    <xf numFmtId="4" fontId="6" fillId="0" borderId="0" xfId="0" applyNumberFormat="1" applyFont="1" applyBorder="1" applyAlignment="1">
      <alignment horizontal="center" vertical="center"/>
    </xf>
    <xf numFmtId="165" fontId="6" fillId="0" borderId="0" xfId="0" applyNumberFormat="1" applyFont="1" applyBorder="1" applyAlignment="1">
      <alignment horizontal="center" vertical="center"/>
    </xf>
    <xf numFmtId="165" fontId="7" fillId="0" borderId="0" xfId="0" applyNumberFormat="1" applyFont="1" applyBorder="1" applyAlignment="1">
      <alignment horizontal="center" vertical="center"/>
    </xf>
    <xf numFmtId="0" fontId="70" fillId="0" borderId="0" xfId="0" applyFont="1"/>
    <xf numFmtId="3" fontId="19" fillId="0" borderId="1" xfId="0" applyNumberFormat="1" applyFont="1" applyBorder="1" applyAlignment="1">
      <alignment horizontal="center" vertical="center"/>
    </xf>
    <xf numFmtId="0" fontId="0" fillId="0" borderId="11" xfId="0" applyBorder="1" applyAlignment="1">
      <alignment horizontal="right"/>
    </xf>
    <xf numFmtId="3" fontId="39" fillId="0" borderId="2" xfId="0" applyNumberFormat="1" applyFont="1" applyBorder="1" applyAlignment="1">
      <alignment horizontal="right" vertical="center"/>
    </xf>
    <xf numFmtId="0" fontId="0" fillId="0" borderId="7" xfId="0" applyBorder="1" applyAlignment="1">
      <alignment horizontal="right"/>
    </xf>
    <xf numFmtId="3" fontId="39" fillId="0" borderId="13" xfId="0" applyNumberFormat="1" applyFont="1" applyBorder="1" applyAlignment="1">
      <alignment horizontal="right" vertical="center"/>
    </xf>
    <xf numFmtId="0" fontId="45" fillId="0" borderId="20" xfId="0" applyNumberFormat="1" applyFont="1" applyFill="1" applyBorder="1" applyAlignment="1" applyProtection="1">
      <alignment vertical="center"/>
    </xf>
    <xf numFmtId="3" fontId="10" fillId="0" borderId="3" xfId="0" applyNumberFormat="1" applyFont="1" applyBorder="1" applyAlignment="1">
      <alignment horizontal="center" vertical="center" wrapText="1"/>
    </xf>
    <xf numFmtId="0" fontId="39" fillId="0" borderId="4" xfId="0" applyFont="1" applyBorder="1" applyAlignment="1">
      <alignment horizontal="center" vertical="center"/>
    </xf>
    <xf numFmtId="0" fontId="9" fillId="0" borderId="13" xfId="0" applyFont="1" applyBorder="1" applyAlignment="1">
      <alignment horizontal="center"/>
    </xf>
    <xf numFmtId="3" fontId="67" fillId="0" borderId="0" xfId="0" applyNumberFormat="1" applyFont="1" applyBorder="1" applyAlignment="1">
      <alignment vertical="center"/>
    </xf>
    <xf numFmtId="3" fontId="67" fillId="0" borderId="13" xfId="0" applyNumberFormat="1" applyFont="1" applyBorder="1" applyAlignment="1">
      <alignment vertical="center"/>
    </xf>
    <xf numFmtId="3" fontId="2" fillId="0" borderId="5" xfId="0" applyNumberFormat="1" applyFont="1" applyBorder="1" applyAlignment="1">
      <alignment horizontal="center" vertical="center"/>
    </xf>
    <xf numFmtId="3" fontId="2" fillId="0" borderId="6" xfId="0" applyNumberFormat="1" applyFont="1" applyBorder="1" applyAlignment="1">
      <alignment horizontal="center" vertical="center"/>
    </xf>
    <xf numFmtId="0" fontId="39" fillId="0" borderId="13" xfId="0" applyFont="1" applyBorder="1" applyAlignment="1">
      <alignment horizontal="center"/>
    </xf>
    <xf numFmtId="0" fontId="2" fillId="0" borderId="6" xfId="3" applyNumberFormat="1" applyFont="1" applyBorder="1" applyAlignment="1" applyProtection="1">
      <alignment horizontal="left" vertical="center"/>
    </xf>
    <xf numFmtId="3" fontId="28" fillId="0" borderId="13" xfId="3" applyNumberFormat="1" applyFont="1" applyBorder="1" applyAlignment="1" applyProtection="1">
      <alignment horizontal="center" vertical="center"/>
    </xf>
    <xf numFmtId="0" fontId="6" fillId="0" borderId="7" xfId="0" applyFont="1" applyFill="1" applyBorder="1" applyAlignment="1">
      <alignment horizontal="left" vertical="center"/>
    </xf>
    <xf numFmtId="0" fontId="14" fillId="0" borderId="0" xfId="0" applyFont="1" applyAlignment="1">
      <alignment horizontal="center" vertical="center"/>
    </xf>
    <xf numFmtId="3" fontId="28" fillId="0" borderId="2" xfId="3" applyNumberFormat="1" applyFont="1" applyBorder="1" applyAlignment="1" applyProtection="1">
      <alignment horizontal="centerContinuous" vertical="center"/>
    </xf>
    <xf numFmtId="0" fontId="2" fillId="0" borderId="6" xfId="3" applyNumberFormat="1" applyFont="1" applyBorder="1" applyAlignment="1" applyProtection="1">
      <alignment horizontal="center" vertical="center"/>
    </xf>
    <xf numFmtId="0" fontId="28" fillId="0" borderId="5" xfId="3" applyNumberFormat="1" applyFont="1" applyBorder="1" applyAlignment="1">
      <alignment horizontal="center" vertical="center"/>
    </xf>
    <xf numFmtId="0" fontId="28" fillId="0" borderId="5" xfId="3" applyNumberFormat="1" applyFont="1" applyBorder="1" applyAlignment="1" applyProtection="1">
      <alignment horizontal="center" vertical="center"/>
    </xf>
    <xf numFmtId="0" fontId="28" fillId="0" borderId="3" xfId="3" applyNumberFormat="1" applyFont="1" applyBorder="1" applyAlignment="1" applyProtection="1">
      <alignment horizontal="center" vertical="center"/>
    </xf>
    <xf numFmtId="3" fontId="0" fillId="0" borderId="1" xfId="0" applyNumberFormat="1" applyBorder="1" applyAlignment="1">
      <alignment horizontal="center"/>
    </xf>
    <xf numFmtId="3" fontId="0" fillId="0" borderId="4" xfId="0" applyNumberFormat="1" applyBorder="1"/>
    <xf numFmtId="3" fontId="0" fillId="0" borderId="8" xfId="0" applyNumberFormat="1" applyBorder="1"/>
    <xf numFmtId="0" fontId="2" fillId="0" borderId="0" xfId="4" applyBorder="1" applyAlignment="1">
      <alignment vertical="center"/>
    </xf>
    <xf numFmtId="165" fontId="2" fillId="0" borderId="0" xfId="3" applyNumberFormat="1" applyFont="1" applyBorder="1" applyAlignment="1">
      <alignment horizontal="centerContinuous" vertical="center"/>
    </xf>
    <xf numFmtId="0" fontId="49" fillId="6" borderId="44" xfId="0" applyFont="1" applyFill="1" applyBorder="1" applyAlignment="1" applyProtection="1">
      <alignment horizontal="center" vertical="center"/>
    </xf>
    <xf numFmtId="0" fontId="50" fillId="6" borderId="40"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13" xfId="0" applyFont="1" applyFill="1" applyBorder="1" applyAlignment="1" applyProtection="1">
      <alignment horizontal="left" vertical="center"/>
    </xf>
    <xf numFmtId="3" fontId="9" fillId="0" borderId="0" xfId="0" applyNumberFormat="1" applyFont="1" applyAlignment="1">
      <alignment horizontal="center" vertical="center"/>
    </xf>
    <xf numFmtId="0" fontId="0" fillId="0" borderId="0" xfId="0" applyAlignment="1">
      <alignment horizontal="center"/>
    </xf>
    <xf numFmtId="0" fontId="70" fillId="0" borderId="0" xfId="0" applyFont="1" applyBorder="1" applyAlignment="1">
      <alignment horizontal="center" vertical="center"/>
    </xf>
    <xf numFmtId="3" fontId="71" fillId="0" borderId="0" xfId="0" applyNumberFormat="1" applyFont="1" applyAlignment="1">
      <alignment horizontal="center" vertical="center"/>
    </xf>
    <xf numFmtId="0" fontId="40" fillId="0" borderId="0" xfId="0" applyFont="1" applyBorder="1" applyAlignment="1">
      <alignment vertical="center"/>
    </xf>
    <xf numFmtId="0" fontId="19" fillId="0" borderId="9" xfId="0" applyFont="1" applyBorder="1" applyAlignment="1">
      <alignment horizontal="center"/>
    </xf>
    <xf numFmtId="0" fontId="19" fillId="0" borderId="4" xfId="0" applyFont="1" applyBorder="1" applyAlignment="1">
      <alignment horizontal="center"/>
    </xf>
    <xf numFmtId="0" fontId="39" fillId="0" borderId="11" xfId="0" applyFont="1" applyBorder="1" applyAlignment="1">
      <alignment horizontal="center" vertical="center"/>
    </xf>
    <xf numFmtId="0" fontId="39" fillId="0" borderId="12" xfId="0" applyFont="1" applyBorder="1" applyAlignment="1">
      <alignment horizontal="center" vertical="center"/>
    </xf>
    <xf numFmtId="0" fontId="39" fillId="0" borderId="2" xfId="0" applyFont="1" applyBorder="1" applyAlignment="1">
      <alignment horizontal="center" vertical="center"/>
    </xf>
    <xf numFmtId="2" fontId="6" fillId="0" borderId="13" xfId="0" applyNumberFormat="1" applyFont="1" applyBorder="1" applyAlignment="1">
      <alignment horizontal="centerContinuous" vertical="center"/>
    </xf>
    <xf numFmtId="2" fontId="6" fillId="0" borderId="3" xfId="0" applyNumberFormat="1" applyFont="1" applyBorder="1" applyAlignment="1">
      <alignment horizontal="centerContinuous" vertical="center"/>
    </xf>
    <xf numFmtId="2" fontId="6" fillId="0" borderId="14" xfId="0" applyNumberFormat="1" applyFont="1" applyBorder="1" applyAlignment="1">
      <alignment horizontal="centerContinuous" vertical="center"/>
    </xf>
    <xf numFmtId="0" fontId="72" fillId="0" borderId="0" xfId="0" applyFont="1" applyAlignment="1">
      <alignment horizontal="center"/>
    </xf>
    <xf numFmtId="2" fontId="6" fillId="0" borderId="0" xfId="0" applyNumberFormat="1" applyFont="1" applyBorder="1" applyAlignment="1">
      <alignment horizontal="centerContinuous" vertical="center"/>
    </xf>
    <xf numFmtId="0" fontId="39" fillId="0" borderId="9" xfId="0" applyFont="1" applyBorder="1" applyAlignment="1">
      <alignment horizontal="center" vertical="center"/>
    </xf>
    <xf numFmtId="0" fontId="39" fillId="0" borderId="8" xfId="0" applyFont="1" applyBorder="1" applyAlignment="1">
      <alignment horizontal="center" vertical="center"/>
    </xf>
    <xf numFmtId="0" fontId="39" fillId="0" borderId="4" xfId="0" applyFont="1" applyBorder="1" applyAlignment="1">
      <alignment horizontal="center" vertical="center"/>
    </xf>
    <xf numFmtId="0" fontId="19" fillId="0" borderId="11" xfId="0" applyFont="1" applyBorder="1" applyAlignment="1">
      <alignment horizontal="center" vertical="center"/>
    </xf>
    <xf numFmtId="0" fontId="0" fillId="0" borderId="9" xfId="0" applyBorder="1" applyAlignment="1">
      <alignment horizontal="center" vertical="center"/>
    </xf>
    <xf numFmtId="0" fontId="67" fillId="0" borderId="0" xfId="0" applyFont="1"/>
    <xf numFmtId="0" fontId="39" fillId="0" borderId="0" xfId="0" applyFont="1" applyBorder="1" applyAlignment="1">
      <alignment vertical="center"/>
    </xf>
    <xf numFmtId="0" fontId="9" fillId="0" borderId="8" xfId="0" applyFont="1" applyBorder="1" applyAlignment="1">
      <alignment horizontal="center" vertical="center"/>
    </xf>
    <xf numFmtId="0" fontId="9" fillId="0" borderId="4" xfId="0" applyFont="1" applyBorder="1" applyAlignment="1">
      <alignment horizontal="center" vertical="center"/>
    </xf>
    <xf numFmtId="0" fontId="0" fillId="0" borderId="8" xfId="0" applyBorder="1" applyAlignment="1">
      <alignment horizontal="center" vertical="center"/>
    </xf>
    <xf numFmtId="3" fontId="0" fillId="0" borderId="11" xfId="0" applyNumberFormat="1" applyBorder="1" applyAlignment="1">
      <alignment horizontal="center" vertical="center"/>
    </xf>
    <xf numFmtId="3" fontId="0" fillId="0" borderId="12" xfId="0" applyNumberFormat="1" applyBorder="1" applyAlignment="1">
      <alignment horizontal="center" vertical="center"/>
    </xf>
    <xf numFmtId="3" fontId="0" fillId="0" borderId="7" xfId="0" applyNumberFormat="1" applyBorder="1" applyAlignment="1">
      <alignment horizontal="center" vertical="center"/>
    </xf>
    <xf numFmtId="0" fontId="6" fillId="0" borderId="5" xfId="0" applyFont="1" applyBorder="1" applyAlignment="1">
      <alignment vertical="center" wrapText="1"/>
    </xf>
    <xf numFmtId="0" fontId="6" fillId="0" borderId="6" xfId="0" applyFont="1" applyBorder="1" applyAlignment="1">
      <alignment vertical="center" wrapText="1"/>
    </xf>
    <xf numFmtId="0" fontId="7" fillId="0" borderId="3" xfId="0" applyFont="1" applyBorder="1" applyAlignment="1">
      <alignment horizontal="center" vertical="center" wrapText="1"/>
    </xf>
    <xf numFmtId="0" fontId="2" fillId="0" borderId="1" xfId="3" applyNumberFormat="1" applyFont="1" applyBorder="1" applyAlignment="1" applyProtection="1">
      <alignment horizontal="center" vertical="center"/>
    </xf>
    <xf numFmtId="0" fontId="2" fillId="0" borderId="3" xfId="3" applyNumberFormat="1" applyFont="1" applyBorder="1" applyAlignment="1" applyProtection="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8" fillId="0" borderId="0" xfId="3" applyNumberFormat="1" applyFont="1" applyAlignment="1">
      <alignment horizontal="centerContinuous" vertical="center"/>
    </xf>
    <xf numFmtId="0" fontId="57" fillId="0" borderId="0" xfId="3" applyNumberFormat="1" applyFont="1" applyAlignment="1">
      <alignment horizontal="centerContinuous" vertical="center"/>
    </xf>
    <xf numFmtId="0" fontId="28" fillId="0" borderId="0" xfId="3" applyNumberFormat="1" applyFont="1" applyAlignment="1">
      <alignment vertical="center"/>
    </xf>
    <xf numFmtId="0" fontId="39" fillId="0" borderId="9" xfId="0" applyFont="1" applyBorder="1" applyAlignment="1">
      <alignment horizontal="center" vertical="center"/>
    </xf>
    <xf numFmtId="0" fontId="39" fillId="0" borderId="8" xfId="0" applyFont="1" applyBorder="1" applyAlignment="1">
      <alignment horizontal="center" vertical="center"/>
    </xf>
    <xf numFmtId="0" fontId="39" fillId="0" borderId="4" xfId="0" applyFont="1" applyBorder="1" applyAlignment="1">
      <alignment horizontal="center" vertical="center"/>
    </xf>
    <xf numFmtId="0" fontId="6" fillId="0" borderId="9" xfId="0" applyFont="1" applyBorder="1" applyAlignment="1">
      <alignment horizontal="center" vertical="center"/>
    </xf>
    <xf numFmtId="0" fontId="6" fillId="0" borderId="8" xfId="0" applyFont="1" applyBorder="1" applyAlignment="1">
      <alignment horizontal="center" vertical="center"/>
    </xf>
    <xf numFmtId="0" fontId="6" fillId="0" borderId="4" xfId="0" applyFont="1" applyBorder="1" applyAlignment="1">
      <alignment horizontal="center" vertical="center"/>
    </xf>
    <xf numFmtId="41" fontId="19" fillId="0" borderId="7" xfId="0" applyNumberFormat="1" applyFont="1" applyBorder="1" applyAlignment="1">
      <alignment horizontal="center" vertical="center"/>
    </xf>
    <xf numFmtId="41" fontId="19" fillId="0" borderId="0" xfId="0" applyNumberFormat="1" applyFont="1" applyAlignment="1">
      <alignment horizontal="center" vertical="center"/>
    </xf>
    <xf numFmtId="41" fontId="19" fillId="0" borderId="13" xfId="0" applyNumberFormat="1" applyFont="1" applyBorder="1" applyAlignment="1">
      <alignment horizontal="center" vertical="center"/>
    </xf>
    <xf numFmtId="41" fontId="42" fillId="0" borderId="7" xfId="0" applyNumberFormat="1" applyFont="1" applyBorder="1" applyAlignment="1">
      <alignment horizontal="center" vertical="center"/>
    </xf>
    <xf numFmtId="3" fontId="70" fillId="0" borderId="0" xfId="0" applyNumberFormat="1" applyFont="1" applyAlignment="1">
      <alignment horizontal="center" vertical="center"/>
    </xf>
    <xf numFmtId="3" fontId="6" fillId="0" borderId="0" xfId="0" applyNumberFormat="1" applyFont="1"/>
    <xf numFmtId="3" fontId="19" fillId="0" borderId="1" xfId="0" applyNumberFormat="1" applyFont="1" applyBorder="1" applyAlignment="1">
      <alignment horizontal="center" vertical="center"/>
    </xf>
    <xf numFmtId="3" fontId="69" fillId="0" borderId="14" xfId="0" applyNumberFormat="1" applyFont="1" applyBorder="1" applyAlignment="1">
      <alignment horizontal="centerContinuous"/>
    </xf>
    <xf numFmtId="0" fontId="45" fillId="0" borderId="3" xfId="0" applyNumberFormat="1" applyFont="1" applyFill="1" applyBorder="1" applyAlignment="1" applyProtection="1">
      <alignment horizontal="center" vertical="center"/>
    </xf>
    <xf numFmtId="0" fontId="45" fillId="0" borderId="3" xfId="0" applyNumberFormat="1" applyFont="1" applyFill="1" applyBorder="1" applyAlignment="1" applyProtection="1">
      <alignment horizontal="center" vertical="center" wrapText="1"/>
    </xf>
    <xf numFmtId="0" fontId="0" fillId="0" borderId="14" xfId="0" applyBorder="1" applyAlignment="1">
      <alignment horizontal="center" vertical="center"/>
    </xf>
    <xf numFmtId="0" fontId="0" fillId="0" borderId="0" xfId="0" applyBorder="1" applyAlignment="1">
      <alignment horizontal="centerContinuous"/>
    </xf>
    <xf numFmtId="0" fontId="0" fillId="0" borderId="9" xfId="0" applyBorder="1" applyAlignment="1">
      <alignment horizontal="center" vertical="center"/>
    </xf>
    <xf numFmtId="0" fontId="2" fillId="0" borderId="10" xfId="11" applyBorder="1" applyAlignment="1">
      <alignment horizontal="center" vertical="center"/>
    </xf>
    <xf numFmtId="0" fontId="2" fillId="0" borderId="7" xfId="11" applyBorder="1" applyAlignment="1">
      <alignment horizontal="center" vertical="center"/>
    </xf>
    <xf numFmtId="0" fontId="2" fillId="0" borderId="6" xfId="11" applyBorder="1" applyAlignment="1">
      <alignment horizontal="center" vertical="center"/>
    </xf>
    <xf numFmtId="0" fontId="2" fillId="0" borderId="0" xfId="11" applyBorder="1" applyAlignment="1">
      <alignment horizontal="center" vertical="center"/>
    </xf>
    <xf numFmtId="0" fontId="2" fillId="0" borderId="5" xfId="11" applyBorder="1" applyAlignment="1">
      <alignment horizontal="center" vertical="center"/>
    </xf>
    <xf numFmtId="0" fontId="2" fillId="0" borderId="12" xfId="11" applyBorder="1" applyAlignment="1">
      <alignment horizontal="center" vertical="center"/>
    </xf>
    <xf numFmtId="0" fontId="2" fillId="0" borderId="11" xfId="11" applyBorder="1" applyAlignment="1">
      <alignment horizontal="center" vertical="center"/>
    </xf>
    <xf numFmtId="0" fontId="23" fillId="0" borderId="6" xfId="11" applyFont="1" applyBorder="1" applyAlignment="1">
      <alignment horizontal="center" vertical="center"/>
    </xf>
    <xf numFmtId="0" fontId="23" fillId="0" borderId="0" xfId="11" applyFont="1" applyBorder="1" applyAlignment="1">
      <alignment horizontal="center" vertical="center"/>
    </xf>
    <xf numFmtId="0" fontId="2" fillId="0" borderId="6" xfId="11" applyBorder="1" applyAlignment="1">
      <alignment horizontal="center" vertical="center"/>
    </xf>
    <xf numFmtId="0" fontId="2" fillId="0" borderId="5" xfId="11" applyBorder="1" applyAlignment="1">
      <alignment horizontal="center" vertical="center"/>
    </xf>
    <xf numFmtId="0" fontId="2" fillId="0" borderId="7" xfId="11" applyBorder="1" applyAlignment="1">
      <alignment horizontal="center" vertical="center"/>
    </xf>
    <xf numFmtId="0" fontId="2" fillId="0" borderId="6" xfId="11" applyBorder="1" applyAlignment="1">
      <alignment horizontal="center" vertical="center"/>
    </xf>
    <xf numFmtId="0" fontId="2" fillId="0" borderId="0" xfId="11" applyBorder="1" applyAlignment="1">
      <alignment horizontal="center" vertical="center"/>
    </xf>
    <xf numFmtId="0" fontId="2" fillId="0" borderId="5" xfId="11" applyBorder="1" applyAlignment="1">
      <alignment horizontal="center" vertical="center"/>
    </xf>
    <xf numFmtId="0" fontId="2" fillId="0" borderId="12" xfId="11" applyBorder="1" applyAlignment="1">
      <alignment horizontal="center" vertical="center"/>
    </xf>
    <xf numFmtId="0" fontId="2" fillId="0" borderId="11" xfId="11" applyBorder="1" applyAlignment="1">
      <alignment horizontal="center" vertical="center"/>
    </xf>
    <xf numFmtId="0" fontId="2" fillId="0" borderId="6" xfId="11" applyBorder="1" applyAlignment="1">
      <alignment horizontal="center" vertical="center"/>
    </xf>
    <xf numFmtId="0" fontId="2" fillId="0" borderId="0" xfId="11" applyBorder="1" applyAlignment="1">
      <alignment horizontal="center" vertical="center"/>
    </xf>
    <xf numFmtId="0" fontId="2" fillId="0" borderId="5" xfId="11" applyBorder="1" applyAlignment="1">
      <alignment horizontal="center" vertical="center"/>
    </xf>
    <xf numFmtId="0" fontId="2" fillId="0" borderId="12" xfId="11" applyBorder="1" applyAlignment="1">
      <alignment horizontal="center" vertical="center"/>
    </xf>
    <xf numFmtId="0" fontId="9" fillId="0" borderId="8" xfId="0" applyFont="1" applyBorder="1" applyAlignment="1">
      <alignment horizontal="center" vertical="center"/>
    </xf>
    <xf numFmtId="0" fontId="9" fillId="0" borderId="4" xfId="0" applyFont="1" applyBorder="1" applyAlignment="1">
      <alignment horizontal="center" vertical="center"/>
    </xf>
    <xf numFmtId="0" fontId="0" fillId="0" borderId="8" xfId="0" applyBorder="1" applyAlignment="1">
      <alignment horizontal="center" vertical="center"/>
    </xf>
    <xf numFmtId="3" fontId="2" fillId="0" borderId="13" xfId="6" applyNumberFormat="1" applyFont="1" applyBorder="1" applyAlignment="1">
      <alignment horizontal="centerContinuous" vertical="center"/>
    </xf>
    <xf numFmtId="165" fontId="0" fillId="0" borderId="2" xfId="0" applyNumberFormat="1" applyBorder="1" applyAlignment="1">
      <alignment horizontal="center" vertical="center"/>
    </xf>
    <xf numFmtId="165" fontId="0" fillId="0" borderId="13" xfId="0" applyNumberFormat="1" applyBorder="1" applyAlignment="1">
      <alignment horizontal="center" vertical="center"/>
    </xf>
    <xf numFmtId="165" fontId="0" fillId="0" borderId="14" xfId="0" applyNumberFormat="1" applyBorder="1" applyAlignment="1">
      <alignment horizontal="center" vertical="center"/>
    </xf>
    <xf numFmtId="165" fontId="1" fillId="0" borderId="14" xfId="0" applyNumberFormat="1" applyFont="1" applyBorder="1" applyAlignment="1">
      <alignment horizontal="center" vertical="center"/>
    </xf>
    <xf numFmtId="3" fontId="7" fillId="0" borderId="15" xfId="0" applyNumberFormat="1" applyFont="1" applyBorder="1" applyAlignment="1">
      <alignment horizontal="center" vertical="center"/>
    </xf>
    <xf numFmtId="3" fontId="7" fillId="0" borderId="14" xfId="0" applyNumberFormat="1" applyFont="1" applyBorder="1" applyAlignment="1">
      <alignment horizontal="center" vertical="center"/>
    </xf>
    <xf numFmtId="0" fontId="45" fillId="0" borderId="17" xfId="0" applyFont="1" applyBorder="1" applyAlignment="1">
      <alignment vertical="center" wrapText="1"/>
    </xf>
    <xf numFmtId="0" fontId="45" fillId="0" borderId="16" xfId="0" applyFont="1" applyBorder="1" applyAlignment="1">
      <alignment vertical="center" wrapText="1"/>
    </xf>
    <xf numFmtId="0" fontId="45" fillId="0" borderId="17" xfId="7" applyNumberFormat="1" applyFont="1" applyFill="1" applyBorder="1" applyAlignment="1" applyProtection="1">
      <alignment vertical="center" wrapText="1"/>
      <protection hidden="1"/>
    </xf>
    <xf numFmtId="0" fontId="45" fillId="0" borderId="13" xfId="7" applyNumberFormat="1" applyFont="1" applyFill="1" applyBorder="1" applyAlignment="1" applyProtection="1">
      <alignment vertical="center" wrapText="1"/>
      <protection hidden="1"/>
    </xf>
    <xf numFmtId="0" fontId="45" fillId="0" borderId="13" xfId="0" applyFont="1" applyBorder="1" applyAlignment="1">
      <alignment vertical="center" wrapText="1"/>
    </xf>
    <xf numFmtId="0" fontId="9" fillId="0" borderId="7" xfId="0" applyFont="1" applyBorder="1" applyAlignment="1">
      <alignment vertical="center" wrapText="1"/>
    </xf>
    <xf numFmtId="0" fontId="2" fillId="0" borderId="0" xfId="0" applyFont="1" applyFill="1" applyBorder="1" applyAlignment="1">
      <alignment horizontal="center" vertical="center" wrapText="1"/>
    </xf>
    <xf numFmtId="0" fontId="74" fillId="0" borderId="0" xfId="0" applyFont="1" applyAlignment="1">
      <alignment horizontal="center" vertical="center"/>
    </xf>
    <xf numFmtId="3" fontId="74" fillId="0" borderId="0" xfId="0" applyNumberFormat="1" applyFont="1" applyBorder="1" applyAlignment="1">
      <alignment horizontal="center" vertical="center"/>
    </xf>
    <xf numFmtId="3" fontId="2" fillId="0" borderId="0" xfId="0" applyNumberFormat="1" applyFont="1" applyAlignment="1">
      <alignment vertical="center"/>
    </xf>
    <xf numFmtId="3" fontId="2" fillId="0" borderId="0" xfId="0" applyNumberFormat="1" applyFont="1" applyBorder="1" applyAlignment="1">
      <alignment horizontal="center" vertical="center"/>
    </xf>
    <xf numFmtId="3" fontId="75" fillId="0" borderId="0" xfId="0" applyNumberFormat="1" applyFont="1" applyAlignment="1">
      <alignment horizontal="center" vertical="center"/>
    </xf>
    <xf numFmtId="3" fontId="75" fillId="0" borderId="0" xfId="0" applyNumberFormat="1" applyFont="1" applyBorder="1" applyAlignment="1">
      <alignment horizontal="center" vertical="center"/>
    </xf>
    <xf numFmtId="0" fontId="0" fillId="0" borderId="0" xfId="0" applyAlignment="1">
      <alignment horizontal="center"/>
    </xf>
    <xf numFmtId="0" fontId="22" fillId="0" borderId="0" xfId="0" applyFont="1" applyAlignment="1">
      <alignment horizontal="center"/>
    </xf>
    <xf numFmtId="0" fontId="6" fillId="0" borderId="9" xfId="0" applyFont="1" applyBorder="1" applyAlignment="1">
      <alignment horizontal="center" vertical="center"/>
    </xf>
    <xf numFmtId="0" fontId="6" fillId="0" borderId="8" xfId="0" applyFont="1" applyBorder="1" applyAlignment="1">
      <alignment horizontal="center" vertical="center"/>
    </xf>
    <xf numFmtId="0" fontId="6" fillId="0" borderId="4" xfId="0" applyFont="1" applyBorder="1" applyAlignment="1">
      <alignment horizontal="center" vertical="center"/>
    </xf>
    <xf numFmtId="3" fontId="19" fillId="0" borderId="1" xfId="0" applyNumberFormat="1" applyFont="1" applyBorder="1" applyAlignment="1">
      <alignment horizontal="center" vertical="center"/>
    </xf>
    <xf numFmtId="3" fontId="19" fillId="0" borderId="9" xfId="0" applyNumberFormat="1" applyFont="1" applyBorder="1" applyAlignment="1">
      <alignment horizontal="center" vertical="center"/>
    </xf>
    <xf numFmtId="0" fontId="6" fillId="0" borderId="9" xfId="0" applyFont="1" applyBorder="1" applyAlignment="1">
      <alignment horizontal="center" vertical="center"/>
    </xf>
    <xf numFmtId="0" fontId="6" fillId="0" borderId="8" xfId="0" applyFont="1" applyBorder="1" applyAlignment="1">
      <alignment horizontal="center" vertical="center"/>
    </xf>
    <xf numFmtId="0" fontId="6" fillId="0" borderId="4" xfId="0" applyFont="1" applyBorder="1" applyAlignment="1">
      <alignment horizontal="center" vertical="center"/>
    </xf>
    <xf numFmtId="3" fontId="14" fillId="0" borderId="1" xfId="0" applyNumberFormat="1" applyFont="1" applyBorder="1" applyAlignment="1">
      <alignment horizontal="center" vertical="center"/>
    </xf>
    <xf numFmtId="0" fontId="45" fillId="0" borderId="14" xfId="0" applyNumberFormat="1" applyFont="1" applyFill="1" applyBorder="1" applyAlignment="1" applyProtection="1">
      <alignment horizontal="center" vertical="center"/>
    </xf>
    <xf numFmtId="0" fontId="45" fillId="0" borderId="45" xfId="0" applyNumberFormat="1" applyFont="1" applyFill="1" applyBorder="1" applyAlignment="1" applyProtection="1">
      <alignment horizontal="center" vertical="center" wrapText="1"/>
    </xf>
    <xf numFmtId="3" fontId="19" fillId="0" borderId="45" xfId="0" applyNumberFormat="1" applyFont="1" applyBorder="1" applyAlignment="1">
      <alignment horizontal="center" vertical="center"/>
    </xf>
    <xf numFmtId="3" fontId="14" fillId="0" borderId="4" xfId="0" applyNumberFormat="1" applyFont="1" applyBorder="1" applyAlignment="1">
      <alignment horizontal="center" vertical="center"/>
    </xf>
    <xf numFmtId="0" fontId="45" fillId="0" borderId="10" xfId="0" applyNumberFormat="1" applyFont="1" applyFill="1" applyBorder="1" applyAlignment="1" applyProtection="1">
      <alignment horizontal="center" vertical="center" wrapText="1"/>
    </xf>
    <xf numFmtId="3" fontId="0" fillId="0" borderId="9" xfId="0" applyNumberFormat="1" applyBorder="1" applyAlignment="1">
      <alignment horizontal="center" vertical="center"/>
    </xf>
    <xf numFmtId="166" fontId="2" fillId="0" borderId="35" xfId="0" applyNumberFormat="1" applyFont="1" applyBorder="1" applyAlignment="1">
      <alignment horizontal="center" vertical="center"/>
    </xf>
    <xf numFmtId="166" fontId="2" fillId="0" borderId="47" xfId="0" applyNumberFormat="1" applyFont="1" applyBorder="1" applyAlignment="1">
      <alignment horizontal="center" vertical="center"/>
    </xf>
    <xf numFmtId="166" fontId="2" fillId="0" borderId="36" xfId="0" applyNumberFormat="1" applyFont="1" applyBorder="1" applyAlignment="1">
      <alignment horizontal="center" vertical="center"/>
    </xf>
    <xf numFmtId="0" fontId="63" fillId="0" borderId="17" xfId="0" applyNumberFormat="1" applyFont="1" applyFill="1" applyBorder="1" applyAlignment="1" applyProtection="1">
      <alignment vertical="center"/>
    </xf>
    <xf numFmtId="3" fontId="0" fillId="0" borderId="13" xfId="0" applyNumberFormat="1" applyBorder="1" applyAlignment="1">
      <alignment horizontal="center"/>
    </xf>
    <xf numFmtId="3" fontId="0" fillId="0" borderId="0" xfId="0" applyNumberFormat="1" applyAlignment="1">
      <alignment horizontal="center"/>
    </xf>
    <xf numFmtId="3" fontId="0" fillId="0" borderId="2" xfId="0" applyNumberFormat="1" applyBorder="1" applyAlignment="1">
      <alignment horizontal="center"/>
    </xf>
    <xf numFmtId="3" fontId="0" fillId="0" borderId="0" xfId="0" applyNumberFormat="1" applyBorder="1" applyAlignment="1">
      <alignment horizontal="center"/>
    </xf>
    <xf numFmtId="0" fontId="70" fillId="0" borderId="0" xfId="0" applyFont="1" applyAlignment="1">
      <alignment horizontal="center" vertical="center"/>
    </xf>
    <xf numFmtId="0" fontId="32" fillId="0" borderId="0" xfId="0" applyFont="1" applyAlignment="1">
      <alignment horizontal="left"/>
    </xf>
    <xf numFmtId="0" fontId="0" fillId="0" borderId="0" xfId="0" applyAlignment="1">
      <alignment horizontal="center"/>
    </xf>
    <xf numFmtId="0" fontId="32" fillId="0" borderId="0" xfId="0" applyFont="1" applyAlignment="1">
      <alignment horizontal="centerContinuous"/>
    </xf>
    <xf numFmtId="0" fontId="45" fillId="0" borderId="0" xfId="12" applyNumberFormat="1" applyFont="1" applyFill="1" applyBorder="1" applyAlignment="1" applyProtection="1">
      <alignment horizontal="center" vertical="center" wrapText="1"/>
      <protection hidden="1"/>
    </xf>
    <xf numFmtId="0" fontId="48" fillId="0" borderId="0" xfId="12" applyNumberFormat="1" applyFont="1" applyFill="1" applyBorder="1" applyAlignment="1" applyProtection="1">
      <alignment horizontal="center" vertical="center" wrapText="1"/>
      <protection hidden="1"/>
    </xf>
    <xf numFmtId="3" fontId="32" fillId="0" borderId="0" xfId="0" applyNumberFormat="1" applyFont="1" applyAlignment="1">
      <alignment horizontal="center" vertical="center"/>
    </xf>
    <xf numFmtId="2" fontId="32" fillId="0" borderId="0" xfId="0" applyNumberFormat="1" applyFont="1" applyAlignment="1">
      <alignment horizontal="center" vertical="center"/>
    </xf>
    <xf numFmtId="0" fontId="48" fillId="0" borderId="0" xfId="0" applyFont="1" applyAlignment="1">
      <alignment vertical="center"/>
    </xf>
    <xf numFmtId="3" fontId="1" fillId="0" borderId="0" xfId="0" applyNumberFormat="1" applyFont="1" applyAlignment="1">
      <alignment horizontal="center" vertical="center"/>
    </xf>
    <xf numFmtId="0" fontId="48" fillId="0" borderId="0" xfId="0" applyFont="1" applyAlignment="1">
      <alignment horizontal="center" vertical="center"/>
    </xf>
    <xf numFmtId="0" fontId="2" fillId="0" borderId="0" xfId="0" applyFont="1" applyAlignment="1">
      <alignment horizontal="center"/>
    </xf>
    <xf numFmtId="0" fontId="27" fillId="0" borderId="0" xfId="0" applyFont="1" applyAlignment="1">
      <alignment horizontal="center"/>
    </xf>
    <xf numFmtId="0" fontId="1" fillId="0" borderId="0" xfId="0" applyFont="1" applyAlignment="1">
      <alignment horizontal="center"/>
    </xf>
    <xf numFmtId="4" fontId="76" fillId="0" borderId="1" xfId="0" applyNumberFormat="1" applyFont="1" applyBorder="1" applyAlignment="1">
      <alignment horizontal="center" vertical="center"/>
    </xf>
    <xf numFmtId="0" fontId="78" fillId="0" borderId="0" xfId="13" applyFont="1" applyAlignment="1">
      <alignment vertical="center" wrapText="1"/>
    </xf>
    <xf numFmtId="0" fontId="78" fillId="0" borderId="0" xfId="13" applyFont="1" applyAlignment="1">
      <alignment vertical="center"/>
    </xf>
    <xf numFmtId="0" fontId="73" fillId="0" borderId="0" xfId="0" applyFont="1"/>
    <xf numFmtId="3" fontId="28" fillId="0" borderId="13" xfId="3" applyNumberFormat="1" applyFont="1" applyBorder="1" applyAlignment="1" applyProtection="1">
      <alignment horizontal="centerContinuous" vertical="center"/>
    </xf>
    <xf numFmtId="3" fontId="2" fillId="0" borderId="12" xfId="0" applyNumberFormat="1" applyFont="1" applyBorder="1" applyAlignment="1">
      <alignment horizontal="center" vertical="center"/>
    </xf>
    <xf numFmtId="0" fontId="0" fillId="0" borderId="0" xfId="0" applyAlignment="1">
      <alignment horizontal="center"/>
    </xf>
    <xf numFmtId="0" fontId="1" fillId="0" borderId="0" xfId="0" applyFont="1" applyAlignment="1">
      <alignment vertical="top"/>
    </xf>
    <xf numFmtId="0" fontId="48" fillId="0" borderId="0" xfId="12" applyNumberFormat="1" applyFont="1" applyFill="1" applyBorder="1" applyAlignment="1" applyProtection="1">
      <alignment horizontal="center" vertical="center" wrapText="1"/>
      <protection hidden="1"/>
    </xf>
    <xf numFmtId="0" fontId="0" fillId="0" borderId="0" xfId="0" quotePrefix="1" applyAlignment="1">
      <alignment horizontal="centerContinuous" vertical="center"/>
    </xf>
    <xf numFmtId="0" fontId="29" fillId="0" borderId="0" xfId="0" applyFont="1" applyAlignment="1">
      <alignment horizontal="centerContinuous" vertical="center"/>
    </xf>
    <xf numFmtId="0" fontId="29" fillId="0" borderId="0" xfId="0" applyFont="1" applyAlignment="1">
      <alignment horizontal="center" vertical="center"/>
    </xf>
    <xf numFmtId="0" fontId="19" fillId="8" borderId="0" xfId="0" applyFont="1" applyFill="1"/>
    <xf numFmtId="0" fontId="0" fillId="8" borderId="0" xfId="0" applyFill="1"/>
    <xf numFmtId="0" fontId="39" fillId="8" borderId="11" xfId="0" applyFont="1" applyFill="1" applyBorder="1" applyAlignment="1"/>
    <xf numFmtId="0" fontId="39" fillId="8" borderId="10" xfId="0" applyFont="1" applyFill="1" applyBorder="1" applyAlignment="1">
      <alignment vertical="center"/>
    </xf>
    <xf numFmtId="0" fontId="39" fillId="8" borderId="9" xfId="0" applyFont="1" applyFill="1" applyBorder="1" applyAlignment="1">
      <alignment horizontal="center" vertical="center"/>
    </xf>
    <xf numFmtId="0" fontId="39" fillId="8" borderId="4" xfId="0" applyFont="1" applyFill="1" applyBorder="1" applyAlignment="1">
      <alignment horizontal="center" vertical="center"/>
    </xf>
    <xf numFmtId="0" fontId="39" fillId="8" borderId="10" xfId="0" applyFont="1" applyFill="1" applyBorder="1" applyAlignment="1">
      <alignment horizontal="center" vertical="center"/>
    </xf>
    <xf numFmtId="0" fontId="39" fillId="8" borderId="14" xfId="0" applyFont="1" applyFill="1" applyBorder="1" applyAlignment="1">
      <alignment horizontal="center" vertical="center"/>
    </xf>
    <xf numFmtId="0" fontId="39" fillId="8" borderId="15" xfId="0" applyFont="1" applyFill="1" applyBorder="1" applyAlignment="1">
      <alignment horizontal="center" vertical="center"/>
    </xf>
    <xf numFmtId="0" fontId="5" fillId="0" borderId="7" xfId="0" applyFont="1" applyBorder="1" applyAlignment="1">
      <alignment horizontal="centerContinuous" vertical="center"/>
    </xf>
    <xf numFmtId="0" fontId="0" fillId="0" borderId="0" xfId="0" applyBorder="1" applyAlignment="1">
      <alignment horizontal="centerContinuous" vertical="center"/>
    </xf>
    <xf numFmtId="0" fontId="1" fillId="0" borderId="7" xfId="0" applyFont="1" applyBorder="1" applyAlignment="1">
      <alignment vertical="center"/>
    </xf>
    <xf numFmtId="0" fontId="1" fillId="0" borderId="7" xfId="0" applyFont="1" applyBorder="1" applyAlignment="1">
      <alignment horizontal="center" vertical="center"/>
    </xf>
    <xf numFmtId="0" fontId="0" fillId="0" borderId="7" xfId="0" applyBorder="1" applyAlignment="1">
      <alignment horizontal="right" vertical="center"/>
    </xf>
    <xf numFmtId="0" fontId="2" fillId="0" borderId="7" xfId="0" applyFont="1" applyBorder="1" applyAlignment="1">
      <alignment horizontal="right" vertical="center"/>
    </xf>
    <xf numFmtId="0" fontId="2" fillId="0" borderId="0" xfId="0" applyFont="1" applyBorder="1" applyAlignment="1">
      <alignment vertical="center" wrapText="1"/>
    </xf>
    <xf numFmtId="0" fontId="2" fillId="0" borderId="0" xfId="0" applyFont="1" applyBorder="1" applyAlignment="1">
      <alignment vertical="center"/>
    </xf>
    <xf numFmtId="0" fontId="0" fillId="0" borderId="15" xfId="0" applyBorder="1" applyAlignment="1">
      <alignment vertical="center"/>
    </xf>
    <xf numFmtId="0" fontId="79" fillId="8" borderId="9" xfId="0" applyFont="1" applyFill="1" applyBorder="1" applyAlignment="1">
      <alignment horizontal="centerContinuous" vertical="center"/>
    </xf>
    <xf numFmtId="0" fontId="48" fillId="8" borderId="8" xfId="0" applyFont="1" applyFill="1" applyBorder="1" applyAlignment="1">
      <alignment horizontal="centerContinuous" vertical="center"/>
    </xf>
    <xf numFmtId="0" fontId="32" fillId="8" borderId="4" xfId="0" applyFont="1" applyFill="1" applyBorder="1" applyAlignment="1">
      <alignment horizontal="center" vertical="center"/>
    </xf>
    <xf numFmtId="0" fontId="0" fillId="8" borderId="9" xfId="0" applyFill="1" applyBorder="1" applyAlignment="1">
      <alignment vertical="center"/>
    </xf>
    <xf numFmtId="0" fontId="2" fillId="8" borderId="8" xfId="0" applyFont="1" applyFill="1" applyBorder="1" applyAlignment="1">
      <alignment vertical="center"/>
    </xf>
    <xf numFmtId="0" fontId="1" fillId="8" borderId="1" xfId="0" applyFont="1" applyFill="1" applyBorder="1" applyAlignment="1">
      <alignment horizontal="center" vertical="center"/>
    </xf>
    <xf numFmtId="0" fontId="1" fillId="10" borderId="9" xfId="0" applyFont="1" applyFill="1" applyBorder="1" applyAlignment="1">
      <alignment vertical="center"/>
    </xf>
    <xf numFmtId="0" fontId="0" fillId="10" borderId="8" xfId="0" applyFill="1" applyBorder="1" applyAlignment="1">
      <alignment vertical="center"/>
    </xf>
    <xf numFmtId="0" fontId="0" fillId="10" borderId="1" xfId="0" applyFill="1" applyBorder="1" applyAlignment="1">
      <alignment horizontal="center" vertical="center"/>
    </xf>
    <xf numFmtId="0" fontId="1" fillId="9" borderId="9" xfId="0" applyFont="1" applyFill="1" applyBorder="1" applyAlignment="1">
      <alignment vertical="center"/>
    </xf>
    <xf numFmtId="0" fontId="0" fillId="9" borderId="8" xfId="0" applyFill="1" applyBorder="1" applyAlignment="1">
      <alignment vertical="center"/>
    </xf>
    <xf numFmtId="0" fontId="0" fillId="9" borderId="1" xfId="0" applyFill="1" applyBorder="1" applyAlignment="1">
      <alignment horizontal="center" vertical="center"/>
    </xf>
    <xf numFmtId="0" fontId="1" fillId="11" borderId="9" xfId="0" applyFont="1" applyFill="1" applyBorder="1" applyAlignment="1">
      <alignment vertical="center"/>
    </xf>
    <xf numFmtId="0" fontId="0" fillId="11" borderId="8" xfId="0" applyFill="1" applyBorder="1" applyAlignment="1">
      <alignment vertical="center"/>
    </xf>
    <xf numFmtId="0" fontId="0" fillId="11" borderId="1" xfId="0" applyFill="1" applyBorder="1" applyAlignment="1">
      <alignment horizontal="center" vertical="center"/>
    </xf>
    <xf numFmtId="0" fontId="1" fillId="8" borderId="7" xfId="0" applyFont="1" applyFill="1" applyBorder="1" applyAlignment="1">
      <alignment vertical="center"/>
    </xf>
    <xf numFmtId="0" fontId="1" fillId="8" borderId="9" xfId="0" applyFont="1" applyFill="1" applyBorder="1" applyAlignment="1">
      <alignment vertical="center"/>
    </xf>
    <xf numFmtId="0" fontId="0" fillId="8" borderId="8" xfId="0" applyFill="1" applyBorder="1" applyAlignment="1">
      <alignment vertical="center"/>
    </xf>
    <xf numFmtId="0" fontId="0" fillId="8" borderId="1" xfId="0" applyFill="1" applyBorder="1" applyAlignment="1">
      <alignment horizontal="center" vertical="center"/>
    </xf>
    <xf numFmtId="0" fontId="2" fillId="8" borderId="7" xfId="0" applyFont="1" applyFill="1" applyBorder="1" applyAlignment="1">
      <alignment vertical="center"/>
    </xf>
    <xf numFmtId="0" fontId="2" fillId="8" borderId="13" xfId="0" applyFont="1" applyFill="1" applyBorder="1" applyAlignment="1">
      <alignment horizontal="left" vertical="center"/>
    </xf>
    <xf numFmtId="0" fontId="1" fillId="8" borderId="7" xfId="0" applyFont="1" applyFill="1" applyBorder="1" applyAlignment="1">
      <alignment vertical="center" wrapText="1"/>
    </xf>
    <xf numFmtId="0" fontId="2" fillId="8" borderId="13" xfId="0" applyFont="1" applyFill="1" applyBorder="1" applyAlignment="1">
      <alignment horizontal="left" vertical="center" wrapText="1"/>
    </xf>
    <xf numFmtId="0" fontId="1" fillId="8" borderId="13" xfId="0" applyFont="1" applyFill="1" applyBorder="1" applyAlignment="1">
      <alignment horizontal="left" vertical="center"/>
    </xf>
    <xf numFmtId="0" fontId="1" fillId="8" borderId="13" xfId="0" applyFont="1" applyFill="1" applyBorder="1" applyAlignment="1">
      <alignment horizontal="left" vertical="center" wrapText="1"/>
    </xf>
    <xf numFmtId="0" fontId="1" fillId="8" borderId="7" xfId="0" applyFont="1" applyFill="1" applyBorder="1" applyAlignment="1">
      <alignment horizontal="left" vertical="center" wrapText="1"/>
    </xf>
    <xf numFmtId="0" fontId="2" fillId="8" borderId="10" xfId="0" applyFont="1" applyFill="1" applyBorder="1" applyAlignment="1">
      <alignment vertical="center"/>
    </xf>
    <xf numFmtId="0" fontId="2" fillId="8" borderId="14" xfId="0" applyFont="1" applyFill="1" applyBorder="1" applyAlignment="1">
      <alignment horizontal="left" vertical="center"/>
    </xf>
    <xf numFmtId="0" fontId="3" fillId="12" borderId="9" xfId="0" applyFont="1" applyFill="1" applyBorder="1" applyAlignment="1">
      <alignment horizontal="centerContinuous" vertical="center"/>
    </xf>
    <xf numFmtId="0" fontId="80" fillId="12" borderId="4" xfId="0" applyFont="1" applyFill="1" applyBorder="1" applyAlignment="1">
      <alignment horizontal="left" vertical="center"/>
    </xf>
    <xf numFmtId="0" fontId="1" fillId="8" borderId="7" xfId="0" applyFont="1" applyFill="1" applyBorder="1" applyAlignment="1">
      <alignment vertical="top" wrapText="1"/>
    </xf>
    <xf numFmtId="2" fontId="6" fillId="0" borderId="0" xfId="0" applyNumberFormat="1" applyFont="1" applyBorder="1" applyAlignment="1">
      <alignment horizontal="center"/>
    </xf>
    <xf numFmtId="0" fontId="32" fillId="0" borderId="0" xfId="0" applyFont="1" applyAlignment="1">
      <alignment horizontal="left" wrapText="1"/>
    </xf>
    <xf numFmtId="0" fontId="29" fillId="0" borderId="0" xfId="0" applyFont="1" applyAlignment="1">
      <alignment horizontal="center"/>
    </xf>
    <xf numFmtId="0" fontId="32" fillId="0" borderId="0" xfId="0" applyFont="1" applyBorder="1" applyAlignment="1">
      <alignment horizontal="left" wrapText="1"/>
    </xf>
    <xf numFmtId="0" fontId="0" fillId="0" borderId="0" xfId="0" applyBorder="1" applyAlignment="1">
      <alignment horizontal="center"/>
    </xf>
    <xf numFmtId="0" fontId="0" fillId="0" borderId="0" xfId="0" applyAlignment="1">
      <alignment horizontal="center"/>
    </xf>
    <xf numFmtId="0" fontId="22" fillId="5" borderId="0" xfId="0" applyFont="1" applyFill="1" applyAlignment="1">
      <alignment horizontal="center"/>
    </xf>
    <xf numFmtId="0" fontId="4" fillId="0" borderId="0" xfId="0" applyFont="1" applyAlignment="1">
      <alignment horizontal="center"/>
    </xf>
    <xf numFmtId="0" fontId="18" fillId="0" borderId="0" xfId="0" applyFont="1" applyAlignment="1">
      <alignment horizontal="center"/>
    </xf>
    <xf numFmtId="0" fontId="2" fillId="0" borderId="0" xfId="0" applyFont="1" applyAlignment="1">
      <alignment horizontal="left" wrapText="1"/>
    </xf>
    <xf numFmtId="0" fontId="48" fillId="0" borderId="0" xfId="0" applyFont="1" applyAlignment="1">
      <alignment horizontal="center"/>
    </xf>
    <xf numFmtId="0" fontId="22" fillId="0" borderId="0" xfId="0" applyFont="1" applyAlignment="1">
      <alignment horizontal="center"/>
    </xf>
    <xf numFmtId="0" fontId="2" fillId="0" borderId="0" xfId="0" applyFont="1" applyAlignment="1">
      <alignment horizontal="left" vertical="center" wrapText="1"/>
    </xf>
    <xf numFmtId="0" fontId="29" fillId="0" borderId="0" xfId="0" applyFont="1" applyAlignment="1">
      <alignment horizontal="center" vertical="center"/>
    </xf>
    <xf numFmtId="0" fontId="19" fillId="0" borderId="9" xfId="0" applyFont="1" applyBorder="1" applyAlignment="1">
      <alignment horizontal="center"/>
    </xf>
    <xf numFmtId="0" fontId="19" fillId="0" borderId="4" xfId="0" applyFont="1" applyBorder="1" applyAlignment="1">
      <alignment horizontal="center"/>
    </xf>
    <xf numFmtId="17" fontId="22" fillId="0" borderId="0" xfId="0" quotePrefix="1" applyNumberFormat="1" applyFont="1" applyAlignment="1">
      <alignment horizontal="center"/>
    </xf>
    <xf numFmtId="0" fontId="39" fillId="0" borderId="11" xfId="0" applyFont="1" applyBorder="1" applyAlignment="1">
      <alignment horizontal="center" vertical="center"/>
    </xf>
    <xf numFmtId="0" fontId="39" fillId="0" borderId="12" xfId="0" applyFont="1" applyBorder="1" applyAlignment="1">
      <alignment horizontal="center" vertical="center"/>
    </xf>
    <xf numFmtId="0" fontId="39" fillId="0" borderId="2" xfId="0" applyFont="1" applyBorder="1" applyAlignment="1">
      <alignment horizontal="center" vertical="center"/>
    </xf>
    <xf numFmtId="0" fontId="39" fillId="0" borderId="12" xfId="0" applyFont="1" applyBorder="1" applyAlignment="1">
      <alignment horizontal="center" vertical="center" wrapText="1"/>
    </xf>
    <xf numFmtId="0" fontId="39" fillId="0" borderId="9" xfId="0" applyFont="1" applyBorder="1" applyAlignment="1">
      <alignment horizontal="center" vertical="center"/>
    </xf>
    <xf numFmtId="0" fontId="39" fillId="0" borderId="8" xfId="0" applyFont="1" applyBorder="1" applyAlignment="1">
      <alignment horizontal="center" vertical="center"/>
    </xf>
    <xf numFmtId="0" fontId="39" fillId="0" borderId="4" xfId="0" applyFont="1" applyBorder="1" applyAlignment="1">
      <alignment horizontal="center" vertical="center"/>
    </xf>
    <xf numFmtId="0" fontId="0" fillId="0" borderId="9" xfId="0" applyBorder="1" applyAlignment="1">
      <alignment horizontal="center"/>
    </xf>
    <xf numFmtId="0" fontId="0" fillId="0" borderId="8" xfId="0" applyBorder="1" applyAlignment="1">
      <alignment horizontal="center"/>
    </xf>
    <xf numFmtId="0" fontId="27" fillId="0" borderId="0" xfId="0" applyFont="1" applyAlignment="1">
      <alignment horizontal="center"/>
    </xf>
    <xf numFmtId="0" fontId="39" fillId="0" borderId="7" xfId="0" applyFont="1" applyBorder="1" applyAlignment="1">
      <alignment horizontal="center"/>
    </xf>
    <xf numFmtId="0" fontId="39" fillId="0" borderId="13" xfId="0" applyFont="1" applyBorder="1" applyAlignment="1">
      <alignment horizontal="center"/>
    </xf>
    <xf numFmtId="0" fontId="39" fillId="0" borderId="10" xfId="0" applyFont="1" applyBorder="1" applyAlignment="1">
      <alignment horizontal="center"/>
    </xf>
    <xf numFmtId="0" fontId="39" fillId="0" borderId="14" xfId="0" applyFont="1" applyBorder="1" applyAlignment="1">
      <alignment horizontal="center"/>
    </xf>
    <xf numFmtId="0" fontId="19" fillId="0" borderId="11" xfId="0" applyFont="1" applyBorder="1" applyAlignment="1">
      <alignment horizontal="center"/>
    </xf>
    <xf numFmtId="0" fontId="19" fillId="0" borderId="2" xfId="0" applyFont="1" applyBorder="1" applyAlignment="1">
      <alignment horizontal="center"/>
    </xf>
    <xf numFmtId="0" fontId="39" fillId="8" borderId="9" xfId="0" applyFont="1" applyFill="1" applyBorder="1" applyAlignment="1">
      <alignment horizontal="center" vertical="center"/>
    </xf>
    <xf numFmtId="0" fontId="39" fillId="8" borderId="4" xfId="0" applyFont="1" applyFill="1" applyBorder="1" applyAlignment="1">
      <alignment horizontal="center" vertical="center"/>
    </xf>
    <xf numFmtId="0" fontId="22" fillId="0" borderId="0" xfId="0" applyFont="1" applyAlignment="1">
      <alignment horizontal="center" wrapText="1"/>
    </xf>
    <xf numFmtId="0" fontId="28" fillId="0" borderId="0" xfId="0" applyFont="1" applyBorder="1" applyAlignment="1">
      <alignment horizontal="left" vertical="center" wrapText="1"/>
    </xf>
    <xf numFmtId="0" fontId="28" fillId="0" borderId="12" xfId="0" applyFont="1" applyBorder="1" applyAlignment="1">
      <alignment horizontal="left" vertical="center" wrapText="1"/>
    </xf>
    <xf numFmtId="0" fontId="43" fillId="0" borderId="10" xfId="0" applyFont="1" applyBorder="1" applyAlignment="1">
      <alignment horizontal="center" vertical="center"/>
    </xf>
    <xf numFmtId="0" fontId="43" fillId="0" borderId="15" xfId="0" applyFont="1" applyBorder="1" applyAlignment="1">
      <alignment horizontal="center" vertical="center"/>
    </xf>
    <xf numFmtId="0" fontId="14" fillId="0" borderId="10" xfId="0" applyFont="1" applyBorder="1" applyAlignment="1">
      <alignment horizontal="center" vertical="center"/>
    </xf>
    <xf numFmtId="0" fontId="14" fillId="0" borderId="15" xfId="0" applyFont="1" applyBorder="1" applyAlignment="1">
      <alignment horizontal="center" vertical="center"/>
    </xf>
    <xf numFmtId="0" fontId="14" fillId="0" borderId="14" xfId="0" applyFont="1" applyBorder="1" applyAlignment="1">
      <alignment horizontal="center" vertical="center"/>
    </xf>
    <xf numFmtId="0" fontId="27" fillId="0" borderId="0" xfId="0" applyFont="1" applyAlignment="1">
      <alignment horizontal="center" wrapText="1"/>
    </xf>
    <xf numFmtId="0" fontId="44" fillId="0" borderId="0" xfId="0" applyFont="1" applyAlignment="1">
      <alignment horizontal="center"/>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19" fillId="0" borderId="2" xfId="0" applyFont="1" applyBorder="1" applyAlignment="1">
      <alignment horizontal="center" vertical="center"/>
    </xf>
    <xf numFmtId="0" fontId="9" fillId="0" borderId="9" xfId="0" applyFont="1" applyBorder="1" applyAlignment="1">
      <alignment horizontal="center" vertical="center"/>
    </xf>
    <xf numFmtId="0" fontId="9" fillId="0" borderId="8" xfId="0" applyFont="1" applyBorder="1" applyAlignment="1">
      <alignment horizontal="center" vertical="center"/>
    </xf>
    <xf numFmtId="0" fontId="9" fillId="0" borderId="4" xfId="0" applyFont="1" applyBorder="1" applyAlignment="1">
      <alignment horizontal="center" vertical="center"/>
    </xf>
    <xf numFmtId="0" fontId="6" fillId="0" borderId="11" xfId="0" applyFont="1" applyBorder="1" applyAlignment="1">
      <alignment horizontal="center" vertical="center"/>
    </xf>
    <xf numFmtId="0" fontId="6" fillId="0" borderId="9" xfId="0" applyFont="1" applyBorder="1" applyAlignment="1">
      <alignment horizontal="center" vertical="center"/>
    </xf>
    <xf numFmtId="0" fontId="6" fillId="0" borderId="8" xfId="0" applyFont="1" applyBorder="1" applyAlignment="1">
      <alignment horizontal="center" vertical="center"/>
    </xf>
    <xf numFmtId="0" fontId="6" fillId="0" borderId="4" xfId="0" applyFont="1" applyBorder="1" applyAlignment="1">
      <alignment horizontal="center" vertical="center"/>
    </xf>
    <xf numFmtId="0" fontId="1" fillId="0" borderId="0" xfId="0" applyFont="1" applyAlignment="1">
      <alignment horizontal="center"/>
    </xf>
    <xf numFmtId="3" fontId="9" fillId="7" borderId="9" xfId="2" applyNumberFormat="1" applyFont="1" applyFill="1" applyBorder="1" applyAlignment="1" applyProtection="1">
      <alignment horizontal="center" vertical="center" wrapText="1"/>
      <protection locked="0"/>
    </xf>
    <xf numFmtId="3" fontId="9" fillId="7" borderId="4" xfId="2" applyNumberFormat="1" applyFont="1" applyFill="1" applyBorder="1" applyAlignment="1" applyProtection="1">
      <alignment horizontal="center" vertical="center" wrapText="1"/>
      <protection locked="0"/>
    </xf>
    <xf numFmtId="3" fontId="9" fillId="7" borderId="1" xfId="2" applyNumberFormat="1" applyFont="1" applyFill="1" applyBorder="1" applyAlignment="1" applyProtection="1">
      <alignment horizontal="center" vertical="center" wrapText="1"/>
      <protection locked="0"/>
    </xf>
    <xf numFmtId="0" fontId="14" fillId="7" borderId="4" xfId="2" applyNumberFormat="1" applyFont="1" applyFill="1" applyBorder="1" applyAlignment="1" applyProtection="1">
      <alignment horizontal="center" vertical="center" wrapText="1"/>
    </xf>
    <xf numFmtId="0" fontId="14" fillId="7" borderId="1" xfId="2" applyNumberFormat="1" applyFont="1" applyFill="1" applyBorder="1" applyAlignment="1" applyProtection="1">
      <alignment horizontal="center" vertical="center" wrapText="1"/>
    </xf>
    <xf numFmtId="3" fontId="10" fillId="7" borderId="1" xfId="2" applyNumberFormat="1" applyFont="1" applyFill="1" applyBorder="1" applyAlignment="1" applyProtection="1">
      <alignment horizontal="center" vertical="center" wrapText="1"/>
      <protection locked="0"/>
    </xf>
    <xf numFmtId="3" fontId="9" fillId="0" borderId="1" xfId="0" applyNumberFormat="1" applyFont="1" applyBorder="1" applyAlignment="1">
      <alignment horizontal="center" vertical="center"/>
    </xf>
    <xf numFmtId="3" fontId="19" fillId="0" borderId="1" xfId="0" applyNumberFormat="1" applyFont="1" applyBorder="1" applyAlignment="1">
      <alignment horizontal="center" vertical="center"/>
    </xf>
    <xf numFmtId="3" fontId="47" fillId="0" borderId="9" xfId="0" applyNumberFormat="1" applyFont="1" applyBorder="1" applyAlignment="1">
      <alignment horizontal="center" vertical="center" wrapText="1"/>
    </xf>
    <xf numFmtId="3" fontId="47" fillId="0" borderId="8" xfId="0" applyNumberFormat="1" applyFont="1" applyBorder="1" applyAlignment="1">
      <alignment horizontal="center" vertical="center" wrapText="1"/>
    </xf>
    <xf numFmtId="3" fontId="47" fillId="0" borderId="4" xfId="0" applyNumberFormat="1" applyFont="1" applyBorder="1" applyAlignment="1">
      <alignment horizontal="center" vertical="center" wrapText="1"/>
    </xf>
    <xf numFmtId="0" fontId="1" fillId="0" borderId="0" xfId="0" applyFont="1" applyBorder="1" applyAlignment="1">
      <alignment horizontal="center"/>
    </xf>
    <xf numFmtId="3" fontId="19" fillId="0" borderId="45" xfId="0" applyNumberFormat="1" applyFont="1" applyBorder="1" applyAlignment="1">
      <alignment horizontal="center" vertical="center"/>
    </xf>
    <xf numFmtId="3" fontId="9" fillId="0" borderId="8" xfId="0" applyNumberFormat="1" applyFont="1" applyBorder="1" applyAlignment="1">
      <alignment horizontal="center" vertical="center" wrapText="1"/>
    </xf>
    <xf numFmtId="3" fontId="9" fillId="0" borderId="46" xfId="0" applyNumberFormat="1" applyFont="1" applyBorder="1" applyAlignment="1">
      <alignment horizontal="center" vertical="center" wrapText="1"/>
    </xf>
    <xf numFmtId="3" fontId="0" fillId="0" borderId="35" xfId="0" applyNumberFormat="1" applyBorder="1" applyAlignment="1">
      <alignment horizontal="center" vertical="center"/>
    </xf>
    <xf numFmtId="3" fontId="0" fillId="0" borderId="36" xfId="0" applyNumberFormat="1" applyBorder="1" applyAlignment="1">
      <alignment horizontal="center" vertical="center"/>
    </xf>
    <xf numFmtId="0" fontId="1" fillId="0" borderId="0" xfId="0" applyFont="1" applyBorder="1" applyAlignment="1">
      <alignment horizontal="center" vertical="center"/>
    </xf>
    <xf numFmtId="0" fontId="48" fillId="0" borderId="0" xfId="0" applyFont="1" applyAlignment="1">
      <alignment horizontal="center" wrapText="1"/>
    </xf>
    <xf numFmtId="0" fontId="28" fillId="0" borderId="33" xfId="0" applyFont="1" applyBorder="1" applyAlignment="1">
      <alignment horizontal="center" vertical="center"/>
    </xf>
    <xf numFmtId="0" fontId="28" fillId="0" borderId="34" xfId="0" applyFont="1" applyBorder="1" applyAlignment="1">
      <alignment horizontal="center" vertical="center"/>
    </xf>
    <xf numFmtId="0" fontId="28" fillId="0" borderId="32" xfId="0" applyFont="1" applyBorder="1" applyAlignment="1">
      <alignment horizontal="center" vertical="center"/>
    </xf>
    <xf numFmtId="0" fontId="15" fillId="0" borderId="11" xfId="0" applyFont="1" applyBorder="1" applyAlignment="1">
      <alignment horizontal="center"/>
    </xf>
    <xf numFmtId="0" fontId="15" fillId="0" borderId="12" xfId="0" applyFont="1" applyBorder="1" applyAlignment="1">
      <alignment horizontal="center"/>
    </xf>
    <xf numFmtId="0" fontId="15" fillId="0" borderId="9" xfId="0" applyFont="1" applyBorder="1" applyAlignment="1">
      <alignment horizontal="center"/>
    </xf>
    <xf numFmtId="0" fontId="15" fillId="0" borderId="8" xfId="0" applyFont="1" applyBorder="1" applyAlignment="1">
      <alignment horizontal="center"/>
    </xf>
    <xf numFmtId="0" fontId="18" fillId="0" borderId="0" xfId="0" applyFont="1" applyFill="1" applyBorder="1" applyAlignment="1">
      <alignment horizontal="center" vertical="center"/>
    </xf>
    <xf numFmtId="0" fontId="10" fillId="0" borderId="9"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6" fillId="0" borderId="9" xfId="0" applyFont="1" applyBorder="1" applyAlignment="1">
      <alignment horizontal="center" vertical="center" wrapText="1"/>
    </xf>
    <xf numFmtId="0" fontId="6" fillId="0" borderId="4" xfId="0" applyFont="1" applyBorder="1" applyAlignment="1">
      <alignment horizontal="center" vertical="center" wrapText="1"/>
    </xf>
    <xf numFmtId="0" fontId="9" fillId="0" borderId="9" xfId="0" applyFont="1" applyFill="1" applyBorder="1" applyAlignment="1" applyProtection="1">
      <alignment horizontal="center" vertical="center" wrapText="1"/>
    </xf>
    <xf numFmtId="0" fontId="9" fillId="0" borderId="4" xfId="0" applyFont="1" applyFill="1" applyBorder="1" applyAlignment="1" applyProtection="1">
      <alignment horizontal="center" vertical="center" wrapText="1"/>
    </xf>
    <xf numFmtId="0" fontId="51" fillId="0" borderId="0" xfId="0" applyFont="1" applyAlignment="1">
      <alignment horizontal="center"/>
    </xf>
    <xf numFmtId="0" fontId="26" fillId="0" borderId="0" xfId="0" applyFont="1" applyAlignment="1">
      <alignment horizontal="center"/>
    </xf>
    <xf numFmtId="0" fontId="45" fillId="0" borderId="9" xfId="0" applyFont="1" applyFill="1" applyBorder="1" applyAlignment="1" applyProtection="1">
      <alignment horizontal="center" vertical="center" wrapText="1"/>
    </xf>
    <xf numFmtId="0" fontId="45" fillId="0" borderId="8" xfId="0" applyFont="1" applyFill="1" applyBorder="1" applyAlignment="1" applyProtection="1">
      <alignment horizontal="center" vertical="center" wrapText="1"/>
    </xf>
    <xf numFmtId="0" fontId="9" fillId="0" borderId="9" xfId="0" applyFont="1" applyFill="1" applyBorder="1" applyAlignment="1" applyProtection="1">
      <alignment horizontal="center" vertical="center"/>
    </xf>
    <xf numFmtId="0" fontId="9" fillId="0" borderId="4" xfId="0" applyFont="1" applyFill="1" applyBorder="1" applyAlignment="1" applyProtection="1">
      <alignment horizontal="center" vertical="center"/>
    </xf>
    <xf numFmtId="0" fontId="73" fillId="0" borderId="4" xfId="0" applyFont="1" applyFill="1" applyBorder="1" applyAlignment="1" applyProtection="1"/>
    <xf numFmtId="0" fontId="0" fillId="0" borderId="9" xfId="0"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vertical="center"/>
    </xf>
    <xf numFmtId="0" fontId="48" fillId="0" borderId="7" xfId="12" applyNumberFormat="1" applyFont="1" applyFill="1" applyBorder="1" applyAlignment="1" applyProtection="1">
      <alignment horizontal="center" vertical="center" wrapText="1"/>
      <protection hidden="1"/>
    </xf>
    <xf numFmtId="0" fontId="48" fillId="0" borderId="0" xfId="12" applyNumberFormat="1" applyFont="1" applyFill="1" applyBorder="1" applyAlignment="1" applyProtection="1">
      <alignment horizontal="center" vertical="center" wrapText="1"/>
      <protection hidden="1"/>
    </xf>
    <xf numFmtId="0" fontId="26" fillId="0" borderId="0" xfId="0" applyFont="1" applyAlignment="1">
      <alignment horizontal="center" wrapText="1"/>
    </xf>
    <xf numFmtId="0" fontId="21" fillId="0" borderId="0" xfId="0" applyFont="1" applyAlignment="1">
      <alignment horizontal="center"/>
    </xf>
    <xf numFmtId="0" fontId="9" fillId="0" borderId="5" xfId="10" applyNumberFormat="1" applyFont="1" applyFill="1" applyBorder="1" applyAlignment="1" applyProtection="1">
      <alignment horizontal="center" wrapText="1"/>
    </xf>
    <xf numFmtId="0" fontId="9" fillId="0" borderId="6" xfId="10" applyNumberFormat="1" applyFont="1" applyFill="1" applyBorder="1" applyAlignment="1" applyProtection="1">
      <alignment horizontal="center" wrapText="1"/>
    </xf>
    <xf numFmtId="0" fontId="6" fillId="0" borderId="8" xfId="3" applyNumberFormat="1" applyFont="1" applyBorder="1" applyAlignment="1" applyProtection="1">
      <alignment horizontal="center" vertical="center"/>
    </xf>
    <xf numFmtId="0" fontId="57" fillId="0" borderId="0" xfId="3" applyNumberFormat="1" applyFont="1" applyAlignment="1">
      <alignment horizontal="center"/>
    </xf>
    <xf numFmtId="0" fontId="6" fillId="0" borderId="1" xfId="3" applyNumberFormat="1" applyFont="1" applyBorder="1" applyAlignment="1" applyProtection="1">
      <alignment horizontal="center" vertical="center"/>
    </xf>
    <xf numFmtId="0" fontId="2" fillId="0" borderId="9" xfId="0" applyFont="1" applyBorder="1" applyAlignment="1">
      <alignment horizontal="center" vertical="center"/>
    </xf>
    <xf numFmtId="0" fontId="2" fillId="0" borderId="4" xfId="0" applyFont="1" applyBorder="1" applyAlignment="1">
      <alignment horizontal="center" vertical="center"/>
    </xf>
    <xf numFmtId="0" fontId="57" fillId="0" borderId="0" xfId="3" applyNumberFormat="1" applyFont="1" applyAlignment="1">
      <alignment horizontal="center" vertical="center"/>
    </xf>
    <xf numFmtId="0" fontId="9" fillId="0" borderId="11" xfId="3" applyNumberFormat="1" applyFont="1" applyBorder="1" applyAlignment="1" applyProtection="1">
      <alignment horizontal="center"/>
    </xf>
    <xf numFmtId="0" fontId="9" fillId="0" borderId="2" xfId="3" applyNumberFormat="1" applyFont="1" applyBorder="1" applyAlignment="1" applyProtection="1">
      <alignment horizontal="center"/>
    </xf>
    <xf numFmtId="0" fontId="26" fillId="0" borderId="0" xfId="6" applyFont="1" applyAlignment="1">
      <alignment horizontal="center" vertical="center"/>
    </xf>
    <xf numFmtId="0" fontId="2" fillId="0" borderId="9" xfId="6" applyBorder="1" applyAlignment="1">
      <alignment horizontal="center" vertical="center"/>
    </xf>
    <xf numFmtId="0" fontId="2" fillId="0" borderId="8" xfId="6" applyBorder="1" applyAlignment="1">
      <alignment horizontal="center" vertical="center"/>
    </xf>
    <xf numFmtId="0" fontId="2" fillId="0" borderId="4" xfId="6" applyBorder="1" applyAlignment="1">
      <alignment horizontal="center" vertical="center"/>
    </xf>
    <xf numFmtId="0" fontId="22" fillId="0" borderId="0" xfId="6" applyFont="1" applyAlignment="1">
      <alignment horizontal="center" vertical="center"/>
    </xf>
    <xf numFmtId="0" fontId="22" fillId="5" borderId="0" xfId="6" applyFont="1" applyFill="1" applyAlignment="1">
      <alignment horizontal="center" vertical="center"/>
    </xf>
  </cellXfs>
  <cellStyles count="14">
    <cellStyle name="Hipervínculo" xfId="13" builtinId="8"/>
    <cellStyle name="Millares" xfId="1" builtinId="3"/>
    <cellStyle name="Normal" xfId="0" builtinId="0"/>
    <cellStyle name="Normal 2" xfId="11"/>
    <cellStyle name="Normal_APS" xfId="2"/>
    <cellStyle name="Normal_cap III-1" xfId="3"/>
    <cellStyle name="Normal_EGRE" xfId="4"/>
    <cellStyle name="Normal_ESTUDIO CAMAS 2009" xfId="5"/>
    <cellStyle name="Normal_ind" xfId="6"/>
    <cellStyle name="Normal_REM 04-2002" xfId="12"/>
    <cellStyle name="Normal_REM 06-2002" xfId="7"/>
    <cellStyle name="Normal_REM 09-2002" xfId="8"/>
    <cellStyle name="Normal_REM 17-2002" xfId="9"/>
    <cellStyle name="Normal_REM 20-2002" xfId="1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E23A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2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6.xml"/><Relationship Id="rId133" Type="http://schemas.openxmlformats.org/officeDocument/2006/relationships/externalLink" Target="externalLinks/externalLink37.xml"/><Relationship Id="rId138"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externalLink" Target="externalLinks/externalLink1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6.xml"/><Relationship Id="rId123" Type="http://schemas.openxmlformats.org/officeDocument/2006/relationships/externalLink" Target="externalLinks/externalLink27.xml"/><Relationship Id="rId128" Type="http://schemas.openxmlformats.org/officeDocument/2006/relationships/externalLink" Target="externalLinks/externalLink3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17.xml"/><Relationship Id="rId118" Type="http://schemas.openxmlformats.org/officeDocument/2006/relationships/externalLink" Target="externalLinks/externalLink22.xml"/><Relationship Id="rId134" Type="http://schemas.openxmlformats.org/officeDocument/2006/relationships/externalLink" Target="externalLinks/externalLink38.xml"/><Relationship Id="rId13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externalLink" Target="externalLinks/externalLink2.xml"/><Relationship Id="rId121" Type="http://schemas.openxmlformats.org/officeDocument/2006/relationships/externalLink" Target="externalLinks/externalLink2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7.xml"/><Relationship Id="rId108" Type="http://schemas.openxmlformats.org/officeDocument/2006/relationships/externalLink" Target="externalLinks/externalLink12.xml"/><Relationship Id="rId116" Type="http://schemas.openxmlformats.org/officeDocument/2006/relationships/externalLink" Target="externalLinks/externalLink20.xml"/><Relationship Id="rId124" Type="http://schemas.openxmlformats.org/officeDocument/2006/relationships/externalLink" Target="externalLinks/externalLink28.xml"/><Relationship Id="rId129" Type="http://schemas.openxmlformats.org/officeDocument/2006/relationships/externalLink" Target="externalLinks/externalLink33.xml"/><Relationship Id="rId13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15.xml"/><Relationship Id="rId132" Type="http://schemas.openxmlformats.org/officeDocument/2006/relationships/externalLink" Target="externalLinks/externalLink36.xml"/><Relationship Id="rId14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10.xml"/><Relationship Id="rId114" Type="http://schemas.openxmlformats.org/officeDocument/2006/relationships/externalLink" Target="externalLinks/externalLink18.xml"/><Relationship Id="rId119" Type="http://schemas.openxmlformats.org/officeDocument/2006/relationships/externalLink" Target="externalLinks/externalLink23.xml"/><Relationship Id="rId127" Type="http://schemas.openxmlformats.org/officeDocument/2006/relationships/externalLink" Target="externalLinks/externalLink3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3.xml"/><Relationship Id="rId101" Type="http://schemas.openxmlformats.org/officeDocument/2006/relationships/externalLink" Target="externalLinks/externalLink5.xml"/><Relationship Id="rId122" Type="http://schemas.openxmlformats.org/officeDocument/2006/relationships/externalLink" Target="externalLinks/externalLink26.xml"/><Relationship Id="rId130" Type="http://schemas.openxmlformats.org/officeDocument/2006/relationships/externalLink" Target="externalLinks/externalLink34.xml"/><Relationship Id="rId135" Type="http://schemas.openxmlformats.org/officeDocument/2006/relationships/externalLink" Target="externalLinks/externalLink3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3.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xml"/><Relationship Id="rId104" Type="http://schemas.openxmlformats.org/officeDocument/2006/relationships/externalLink" Target="externalLinks/externalLink8.xml"/><Relationship Id="rId120" Type="http://schemas.openxmlformats.org/officeDocument/2006/relationships/externalLink" Target="externalLinks/externalLink24.xml"/><Relationship Id="rId125" Type="http://schemas.openxmlformats.org/officeDocument/2006/relationships/externalLink" Target="externalLinks/externalLink2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4.xml"/><Relationship Id="rId115" Type="http://schemas.openxmlformats.org/officeDocument/2006/relationships/externalLink" Target="externalLinks/externalLink19.xml"/><Relationship Id="rId131" Type="http://schemas.openxmlformats.org/officeDocument/2006/relationships/externalLink" Target="externalLinks/externalLink35.xml"/><Relationship Id="rId136" Type="http://schemas.openxmlformats.org/officeDocument/2006/relationships/externalLink" Target="externalLinks/externalLink40.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4.xml"/><Relationship Id="rId105" Type="http://schemas.openxmlformats.org/officeDocument/2006/relationships/externalLink" Target="externalLinks/externalLink9.xml"/><Relationship Id="rId126" Type="http://schemas.openxmlformats.org/officeDocument/2006/relationships/externalLink" Target="externalLinks/externalLink30.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RURALIDAD SEGÚN COMUNAS  AÑO 2013
SERVICIO DE SALUD ACONCAGUA</a:t>
            </a:r>
          </a:p>
        </c:rich>
      </c:tx>
      <c:layout>
        <c:manualLayout>
          <c:xMode val="edge"/>
          <c:yMode val="edge"/>
          <c:x val="0.26069246435846088"/>
          <c:y val="4.0540540540540543E-2"/>
        </c:manualLayout>
      </c:layout>
      <c:overlay val="0"/>
      <c:spPr>
        <a:noFill/>
        <a:ln w="25400">
          <a:noFill/>
        </a:ln>
      </c:spPr>
    </c:title>
    <c:autoTitleDeleted val="0"/>
    <c:plotArea>
      <c:layout>
        <c:manualLayout>
          <c:layoutTarget val="inner"/>
          <c:xMode val="edge"/>
          <c:yMode val="edge"/>
          <c:x val="6.5173116089613028E-2"/>
          <c:y val="0.23423526461880903"/>
          <c:w val="0.92668024439920005"/>
          <c:h val="0.66216507498012245"/>
        </c:manualLayout>
      </c:layout>
      <c:barChart>
        <c:barDir val="col"/>
        <c:grouping val="clustered"/>
        <c:varyColors val="0"/>
        <c:ser>
          <c:idx val="0"/>
          <c:order val="0"/>
          <c:spPr>
            <a:gradFill rotWithShape="0">
              <a:gsLst>
                <a:gs pos="0">
                  <a:srgbClr val="8080FF"/>
                </a:gs>
                <a:gs pos="100000">
                  <a:srgbClr val="8080FF">
                    <a:gamma/>
                    <a:tint val="0"/>
                    <a:invGamma/>
                  </a:srgbClr>
                </a:gs>
              </a:gsLst>
              <a:lin ang="5400000" scaled="1"/>
            </a:gradFill>
            <a:ln w="12700">
              <a:solidFill>
                <a:srgbClr val="000000"/>
              </a:solidFill>
              <a:prstDash val="solid"/>
            </a:ln>
          </c:spPr>
          <c:invertIfNegative val="0"/>
          <c:cat>
            <c:strRef>
              <c:f>'6'!$I$12:$I$21</c:f>
              <c:strCache>
                <c:ptCount val="10"/>
                <c:pt idx="0">
                  <c:v>  LOS ANDES</c:v>
                </c:pt>
                <c:pt idx="1">
                  <c:v>  SAN EST.</c:v>
                </c:pt>
                <c:pt idx="2">
                  <c:v>  CALLE L.</c:v>
                </c:pt>
                <c:pt idx="3">
                  <c:v>  RINCO.</c:v>
                </c:pt>
                <c:pt idx="4">
                  <c:v>  SAN FELIPE</c:v>
                </c:pt>
                <c:pt idx="5">
                  <c:v>  PUTAENDO</c:v>
                </c:pt>
                <c:pt idx="6">
                  <c:v>  STA.  MARIA</c:v>
                </c:pt>
                <c:pt idx="7">
                  <c:v>  PANQ.</c:v>
                </c:pt>
                <c:pt idx="8">
                  <c:v>  LLAY - LLAY</c:v>
                </c:pt>
                <c:pt idx="9">
                  <c:v>  CATEMU</c:v>
                </c:pt>
              </c:strCache>
            </c:strRef>
          </c:cat>
          <c:val>
            <c:numRef>
              <c:f>'6'!$J$12:$J$21</c:f>
              <c:numCache>
                <c:formatCode>0.0</c:formatCode>
                <c:ptCount val="10"/>
                <c:pt idx="0">
                  <c:v>7.1</c:v>
                </c:pt>
                <c:pt idx="1">
                  <c:v>47.6</c:v>
                </c:pt>
                <c:pt idx="2">
                  <c:v>47.5</c:v>
                </c:pt>
                <c:pt idx="3">
                  <c:v>14.42</c:v>
                </c:pt>
                <c:pt idx="4">
                  <c:v>10</c:v>
                </c:pt>
                <c:pt idx="5">
                  <c:v>56.999999999999993</c:v>
                </c:pt>
                <c:pt idx="6">
                  <c:v>38</c:v>
                </c:pt>
                <c:pt idx="7">
                  <c:v>55.000000000000007</c:v>
                </c:pt>
                <c:pt idx="8">
                  <c:v>25</c:v>
                </c:pt>
                <c:pt idx="9">
                  <c:v>45</c:v>
                </c:pt>
              </c:numCache>
            </c:numRef>
          </c:val>
        </c:ser>
        <c:dLbls>
          <c:showLegendKey val="0"/>
          <c:showVal val="0"/>
          <c:showCatName val="0"/>
          <c:showSerName val="0"/>
          <c:showPercent val="0"/>
          <c:showBubbleSize val="0"/>
        </c:dLbls>
        <c:gapWidth val="150"/>
        <c:axId val="296088376"/>
        <c:axId val="330462448"/>
      </c:barChart>
      <c:catAx>
        <c:axId val="29608837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L"/>
          </a:p>
        </c:txPr>
        <c:crossAx val="330462448"/>
        <c:crosses val="autoZero"/>
        <c:auto val="0"/>
        <c:lblAlgn val="ctr"/>
        <c:lblOffset val="100"/>
        <c:tickLblSkip val="1"/>
        <c:tickMarkSkip val="1"/>
        <c:noMultiLvlLbl val="0"/>
      </c:catAx>
      <c:valAx>
        <c:axId val="330462448"/>
        <c:scaling>
          <c:orientation val="minMax"/>
          <c:max val="65"/>
          <c:min val="0"/>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96088376"/>
        <c:crosses val="autoZero"/>
        <c:crossBetween val="between"/>
        <c:majorUnit val="10"/>
      </c:valAx>
      <c:spPr>
        <a:solidFill>
          <a:srgbClr val="E3E3E3"/>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TENDENCIA DE INDICE  DE VEJEZ SERVICIO DE SALUD ACONCAGUA  2009 - 2015
</a:t>
            </a:r>
          </a:p>
        </c:rich>
      </c:tx>
      <c:layout>
        <c:manualLayout>
          <c:xMode val="edge"/>
          <c:yMode val="edge"/>
          <c:x val="0.14386817213886041"/>
          <c:y val="4.0723981900452524E-2"/>
        </c:manualLayout>
      </c:layout>
      <c:overlay val="0"/>
      <c:spPr>
        <a:noFill/>
        <a:ln w="25400">
          <a:noFill/>
        </a:ln>
      </c:spPr>
    </c:title>
    <c:autoTitleDeleted val="0"/>
    <c:plotArea>
      <c:layout>
        <c:manualLayout>
          <c:layoutTarget val="inner"/>
          <c:xMode val="edge"/>
          <c:yMode val="edge"/>
          <c:x val="0.11792466410472258"/>
          <c:y val="0.21719457013574661"/>
          <c:w val="0.87264251437495965"/>
          <c:h val="0.62895927601816104"/>
        </c:manualLayout>
      </c:layout>
      <c:lineChart>
        <c:grouping val="standard"/>
        <c:varyColors val="0"/>
        <c:ser>
          <c:idx val="0"/>
          <c:order val="0"/>
          <c:spPr>
            <a:ln w="38100">
              <a:solidFill>
                <a:srgbClr val="000080"/>
              </a:solidFill>
              <a:prstDash val="solid"/>
            </a:ln>
          </c:spPr>
          <c:marker>
            <c:symbol val="none"/>
          </c:marker>
          <c:cat>
            <c:numRef>
              <c:f>'12'!$B$6:$H$6</c:f>
              <c:numCache>
                <c:formatCode>General</c:formatCode>
                <c:ptCount val="7"/>
                <c:pt idx="0">
                  <c:v>2009</c:v>
                </c:pt>
                <c:pt idx="1">
                  <c:v>2010</c:v>
                </c:pt>
                <c:pt idx="2">
                  <c:v>2011</c:v>
                </c:pt>
                <c:pt idx="3">
                  <c:v>2012</c:v>
                </c:pt>
                <c:pt idx="4">
                  <c:v>2013</c:v>
                </c:pt>
                <c:pt idx="5">
                  <c:v>2014</c:v>
                </c:pt>
                <c:pt idx="6">
                  <c:v>2015</c:v>
                </c:pt>
              </c:numCache>
            </c:numRef>
          </c:cat>
          <c:val>
            <c:numRef>
              <c:f>'12'!$B$19:$H$19</c:f>
              <c:numCache>
                <c:formatCode>#,##0.00</c:formatCode>
                <c:ptCount val="7"/>
                <c:pt idx="0">
                  <c:v>40.153402061855672</c:v>
                </c:pt>
                <c:pt idx="1">
                  <c:v>42.073667581275465</c:v>
                </c:pt>
                <c:pt idx="2">
                  <c:v>44.064943074794556</c:v>
                </c:pt>
                <c:pt idx="3">
                  <c:v>46.06784759358289</c:v>
                </c:pt>
                <c:pt idx="4">
                  <c:v>48.08549127332418</c:v>
                </c:pt>
                <c:pt idx="5">
                  <c:v>50.115027455458346</c:v>
                </c:pt>
                <c:pt idx="6">
                  <c:v>52.144564522102144</c:v>
                </c:pt>
              </c:numCache>
            </c:numRef>
          </c:val>
          <c:smooth val="0"/>
        </c:ser>
        <c:dLbls>
          <c:showLegendKey val="0"/>
          <c:showVal val="0"/>
          <c:showCatName val="0"/>
          <c:showSerName val="0"/>
          <c:showPercent val="0"/>
          <c:showBubbleSize val="0"/>
        </c:dLbls>
        <c:smooth val="0"/>
        <c:axId val="333149576"/>
        <c:axId val="333149968"/>
      </c:lineChart>
      <c:catAx>
        <c:axId val="33314957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0/0</a:t>
                </a:r>
              </a:p>
            </c:rich>
          </c:tx>
          <c:layout>
            <c:manualLayout>
              <c:xMode val="edge"/>
              <c:yMode val="edge"/>
              <c:x val="3.0660377358490611E-2"/>
              <c:y val="5.882352941176470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25" b="1" i="1" u="none" strike="noStrike" baseline="0">
                <a:solidFill>
                  <a:srgbClr val="000080"/>
                </a:solidFill>
                <a:latin typeface="Arial"/>
                <a:ea typeface="Arial"/>
                <a:cs typeface="Arial"/>
              </a:defRPr>
            </a:pPr>
            <a:endParaRPr lang="es-CL"/>
          </a:p>
        </c:txPr>
        <c:crossAx val="333149968"/>
        <c:crosses val="autoZero"/>
        <c:auto val="1"/>
        <c:lblAlgn val="ctr"/>
        <c:lblOffset val="100"/>
        <c:tickLblSkip val="1"/>
        <c:tickMarkSkip val="1"/>
        <c:noMultiLvlLbl val="0"/>
      </c:catAx>
      <c:valAx>
        <c:axId val="333149968"/>
        <c:scaling>
          <c:orientation val="minMax"/>
          <c:max val="58"/>
          <c:min val="39"/>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900" b="1" i="1" u="none" strike="noStrike" baseline="0">
                <a:solidFill>
                  <a:srgbClr val="000080"/>
                </a:solidFill>
                <a:latin typeface="Arial"/>
                <a:ea typeface="Arial"/>
                <a:cs typeface="Arial"/>
              </a:defRPr>
            </a:pPr>
            <a:endParaRPr lang="es-CL"/>
          </a:p>
        </c:txPr>
        <c:crossAx val="333149576"/>
        <c:crosses val="autoZero"/>
        <c:crossBetween val="between"/>
        <c:majorUnit val="4"/>
      </c:valAx>
      <c:spPr>
        <a:noFill/>
        <a:ln w="25400">
          <a:noFill/>
        </a:ln>
      </c:spPr>
    </c:plotArea>
    <c:plotVisOnly val="1"/>
    <c:dispBlanksAs val="gap"/>
    <c:showDLblsOverMax val="0"/>
  </c:chart>
  <c:spPr>
    <a:solidFill>
      <a:srgbClr val="E3E3E3"/>
    </a:solidFill>
    <a:ln w="3175">
      <a:solidFill>
        <a:srgbClr val="000000"/>
      </a:solidFill>
      <a:prstDash val="solid"/>
    </a:ln>
    <a:effectLst>
      <a:outerShdw dist="35921" dir="2700000" algn="br">
        <a:srgbClr val="000000"/>
      </a:outerShdw>
    </a:effectLst>
  </c:spPr>
  <c:txPr>
    <a:bodyPr/>
    <a:lstStyle/>
    <a:p>
      <a:pPr>
        <a:defRPr sz="10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80"/>
                </a:solidFill>
                <a:latin typeface="Arial"/>
                <a:ea typeface="Arial"/>
                <a:cs typeface="Arial"/>
              </a:defRPr>
            </a:pPr>
            <a:r>
              <a:rPr lang="es-ES"/>
              <a:t>PERFIL DE  FECUNDIDAD  
SERVICIO DE SALUD  ACONCAGUA</a:t>
            </a:r>
          </a:p>
        </c:rich>
      </c:tx>
      <c:layout>
        <c:manualLayout>
          <c:xMode val="edge"/>
          <c:yMode val="edge"/>
          <c:x val="0.20911016557713938"/>
          <c:y val="4.1841004184100396E-2"/>
        </c:manualLayout>
      </c:layout>
      <c:overlay val="0"/>
      <c:spPr>
        <a:solidFill>
          <a:srgbClr val="E3E3E3"/>
        </a:solidFill>
        <a:ln w="25400">
          <a:noFill/>
        </a:ln>
      </c:spPr>
    </c:title>
    <c:autoTitleDeleted val="0"/>
    <c:plotArea>
      <c:layout>
        <c:manualLayout>
          <c:layoutTarget val="inner"/>
          <c:xMode val="edge"/>
          <c:yMode val="edge"/>
          <c:x val="9.9379082919017966E-2"/>
          <c:y val="0.27196652719667175"/>
          <c:w val="0.87163737310221978"/>
          <c:h val="0.58577405857740583"/>
        </c:manualLayout>
      </c:layout>
      <c:lineChart>
        <c:grouping val="standard"/>
        <c:varyColors val="0"/>
        <c:ser>
          <c:idx val="0"/>
          <c:order val="0"/>
          <c:spPr>
            <a:ln w="38100">
              <a:solidFill>
                <a:srgbClr val="000080"/>
              </a:solidFill>
              <a:prstDash val="solid"/>
            </a:ln>
          </c:spPr>
          <c:marker>
            <c:symbol val="none"/>
          </c:marker>
          <c:cat>
            <c:numRef>
              <c:f>'13'!$H$9:$H$17</c:f>
              <c:numCache>
                <c:formatCode>General</c:formatCode>
                <c:ptCount val="9"/>
                <c:pt idx="0">
                  <c:v>2007</c:v>
                </c:pt>
                <c:pt idx="1">
                  <c:v>2008</c:v>
                </c:pt>
                <c:pt idx="2">
                  <c:v>2009</c:v>
                </c:pt>
                <c:pt idx="3">
                  <c:v>2010</c:v>
                </c:pt>
                <c:pt idx="4">
                  <c:v>2011</c:v>
                </c:pt>
                <c:pt idx="5">
                  <c:v>2012</c:v>
                </c:pt>
                <c:pt idx="6">
                  <c:v>2013</c:v>
                </c:pt>
                <c:pt idx="7">
                  <c:v>2014</c:v>
                </c:pt>
                <c:pt idx="8">
                  <c:v>2015</c:v>
                </c:pt>
              </c:numCache>
            </c:numRef>
          </c:cat>
          <c:val>
            <c:numRef>
              <c:f>'13'!$I$9:$I$17</c:f>
              <c:numCache>
                <c:formatCode>0.0</c:formatCode>
                <c:ptCount val="9"/>
                <c:pt idx="0">
                  <c:v>52</c:v>
                </c:pt>
                <c:pt idx="1">
                  <c:v>52.6</c:v>
                </c:pt>
                <c:pt idx="2">
                  <c:v>51.2</c:v>
                </c:pt>
                <c:pt idx="3">
                  <c:v>50.639326189893289</c:v>
                </c:pt>
                <c:pt idx="4">
                  <c:v>54.4</c:v>
                </c:pt>
                <c:pt idx="5">
                  <c:v>53.3</c:v>
                </c:pt>
                <c:pt idx="6">
                  <c:v>51.7</c:v>
                </c:pt>
                <c:pt idx="7">
                  <c:v>54.8</c:v>
                </c:pt>
                <c:pt idx="8">
                  <c:v>52.690864862984917</c:v>
                </c:pt>
              </c:numCache>
            </c:numRef>
          </c:val>
          <c:smooth val="0"/>
        </c:ser>
        <c:dLbls>
          <c:showLegendKey val="0"/>
          <c:showVal val="0"/>
          <c:showCatName val="0"/>
          <c:showSerName val="0"/>
          <c:showPercent val="0"/>
          <c:showBubbleSize val="0"/>
        </c:dLbls>
        <c:smooth val="0"/>
        <c:axId val="333151144"/>
        <c:axId val="333151536"/>
      </c:lineChart>
      <c:catAx>
        <c:axId val="333151144"/>
        <c:scaling>
          <c:orientation val="minMax"/>
        </c:scaling>
        <c:delete val="0"/>
        <c:axPos val="b"/>
        <c:title>
          <c:tx>
            <c:rich>
              <a:bodyPr/>
              <a:lstStyle/>
              <a:p>
                <a:pPr>
                  <a:defRPr sz="575" b="1" i="0" u="none" strike="noStrike" baseline="0">
                    <a:solidFill>
                      <a:srgbClr val="000080"/>
                    </a:solidFill>
                    <a:latin typeface="Arial"/>
                    <a:ea typeface="Arial"/>
                    <a:cs typeface="Arial"/>
                  </a:defRPr>
                </a:pPr>
                <a:r>
                  <a:rPr lang="es-ES"/>
                  <a:t>Tasa o/oo</a:t>
                </a:r>
              </a:p>
            </c:rich>
          </c:tx>
          <c:layout>
            <c:manualLayout>
              <c:xMode val="edge"/>
              <c:yMode val="edge"/>
              <c:x val="2.6915113871635612E-2"/>
              <c:y val="0.154811715481178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25" b="1" i="1" u="none" strike="noStrike" baseline="0">
                <a:solidFill>
                  <a:srgbClr val="000080"/>
                </a:solidFill>
                <a:latin typeface="Arial"/>
                <a:ea typeface="Arial"/>
                <a:cs typeface="Arial"/>
              </a:defRPr>
            </a:pPr>
            <a:endParaRPr lang="es-CL"/>
          </a:p>
        </c:txPr>
        <c:crossAx val="333151536"/>
        <c:crosses val="autoZero"/>
        <c:auto val="1"/>
        <c:lblAlgn val="ctr"/>
        <c:lblOffset val="100"/>
        <c:tickLblSkip val="1"/>
        <c:tickMarkSkip val="1"/>
        <c:noMultiLvlLbl val="0"/>
      </c:catAx>
      <c:valAx>
        <c:axId val="333151536"/>
        <c:scaling>
          <c:orientation val="minMax"/>
          <c:max val="60"/>
          <c:min val="48"/>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825" b="1" i="1" u="none" strike="noStrike" baseline="0">
                <a:solidFill>
                  <a:srgbClr val="000080"/>
                </a:solidFill>
                <a:latin typeface="Arial"/>
                <a:ea typeface="Arial"/>
                <a:cs typeface="Arial"/>
              </a:defRPr>
            </a:pPr>
            <a:endParaRPr lang="es-CL"/>
          </a:p>
        </c:txPr>
        <c:crossAx val="333151144"/>
        <c:crosses val="autoZero"/>
        <c:crossBetween val="between"/>
        <c:majorUnit val="2"/>
      </c:valAx>
      <c:spPr>
        <a:noFill/>
        <a:ln w="25400">
          <a:noFill/>
        </a:ln>
      </c:spPr>
    </c:plotArea>
    <c:plotVisOnly val="1"/>
    <c:dispBlanksAs val="gap"/>
    <c:showDLblsOverMax val="0"/>
  </c:chart>
  <c:spPr>
    <a:solidFill>
      <a:srgbClr val="E3E3E3"/>
    </a:solidFill>
    <a:ln w="3175">
      <a:solidFill>
        <a:srgbClr val="000000"/>
      </a:solidFill>
      <a:prstDash val="solid"/>
    </a:ln>
    <a:effectLst>
      <a:outerShdw dist="35921" dir="2700000" algn="br">
        <a:srgbClr val="000000"/>
      </a:outerShdw>
    </a:effectLst>
  </c:spPr>
  <c:txPr>
    <a:bodyPr/>
    <a:lstStyle/>
    <a:p>
      <a:pPr>
        <a:defRPr sz="142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9" orientation="landscape" horizontalDpi="300" verticalDpi="300" copies="0"/>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TASA DE  FECUNDIDAD   SEGÚN COMUNAS  AÑO 2013
SERVICIO DE SALUD ACONCAGUA</a:t>
            </a:r>
          </a:p>
        </c:rich>
      </c:tx>
      <c:layout>
        <c:manualLayout>
          <c:xMode val="edge"/>
          <c:yMode val="edge"/>
          <c:x val="0.18969072164948453"/>
          <c:y val="4.2372881355935817E-2"/>
        </c:manualLayout>
      </c:layout>
      <c:overlay val="0"/>
      <c:spPr>
        <a:noFill/>
        <a:ln w="25400">
          <a:noFill/>
        </a:ln>
      </c:spPr>
    </c:title>
    <c:autoTitleDeleted val="0"/>
    <c:plotArea>
      <c:layout>
        <c:manualLayout>
          <c:layoutTarget val="inner"/>
          <c:xMode val="edge"/>
          <c:yMode val="edge"/>
          <c:x val="6.5979381443298971E-2"/>
          <c:y val="0.22033898305084745"/>
          <c:w val="0.92577319587628859"/>
          <c:h val="0.66949152542375689"/>
        </c:manualLayout>
      </c:layout>
      <c:barChart>
        <c:barDir val="col"/>
        <c:grouping val="clustered"/>
        <c:varyColors val="0"/>
        <c:ser>
          <c:idx val="0"/>
          <c:order val="0"/>
          <c:spPr>
            <a:gradFill rotWithShape="0">
              <a:gsLst>
                <a:gs pos="0">
                  <a:srgbClr val="8080FF"/>
                </a:gs>
                <a:gs pos="100000">
                  <a:srgbClr val="8080FF">
                    <a:gamma/>
                    <a:tint val="0"/>
                    <a:invGamma/>
                  </a:srgbClr>
                </a:gs>
              </a:gsLst>
              <a:lin ang="5400000" scaled="1"/>
            </a:gradFill>
            <a:ln w="12700">
              <a:solidFill>
                <a:srgbClr val="000000"/>
              </a:solidFill>
              <a:prstDash val="solid"/>
            </a:ln>
          </c:spPr>
          <c:invertIfNegative val="0"/>
          <c:cat>
            <c:strRef>
              <c:f>'13'!$H$19:$H$28</c:f>
              <c:strCache>
                <c:ptCount val="10"/>
                <c:pt idx="0">
                  <c:v>L.Andes</c:v>
                </c:pt>
                <c:pt idx="1">
                  <c:v>S.Est.</c:v>
                </c:pt>
                <c:pt idx="2">
                  <c:v>C.Larga.</c:v>
                </c:pt>
                <c:pt idx="3">
                  <c:v>Rinc.</c:v>
                </c:pt>
                <c:pt idx="4">
                  <c:v>S.Felipe</c:v>
                </c:pt>
                <c:pt idx="5">
                  <c:v>Putaendo</c:v>
                </c:pt>
                <c:pt idx="6">
                  <c:v>S.Maria</c:v>
                </c:pt>
                <c:pt idx="7">
                  <c:v>Panq.</c:v>
                </c:pt>
                <c:pt idx="8">
                  <c:v>Llay</c:v>
                </c:pt>
                <c:pt idx="9">
                  <c:v>Catemu</c:v>
                </c:pt>
              </c:strCache>
            </c:strRef>
          </c:cat>
          <c:val>
            <c:numRef>
              <c:f>'13'!$I$19:$I$28</c:f>
              <c:numCache>
                <c:formatCode>0.0</c:formatCode>
                <c:ptCount val="10"/>
                <c:pt idx="0">
                  <c:v>47.80730675183267</c:v>
                </c:pt>
                <c:pt idx="1">
                  <c:v>44.923572307712405</c:v>
                </c:pt>
                <c:pt idx="2">
                  <c:v>72.44850176498349</c:v>
                </c:pt>
                <c:pt idx="3">
                  <c:v>67.156647966098561</c:v>
                </c:pt>
                <c:pt idx="4">
                  <c:v>54.064103807885004</c:v>
                </c:pt>
                <c:pt idx="5">
                  <c:v>50.326272380329954</c:v>
                </c:pt>
                <c:pt idx="6">
                  <c:v>56.232155162313852</c:v>
                </c:pt>
                <c:pt idx="7">
                  <c:v>53.315735787332585</c:v>
                </c:pt>
                <c:pt idx="8">
                  <c:v>55.123337640292419</c:v>
                </c:pt>
                <c:pt idx="9">
                  <c:v>53.1381595201441</c:v>
                </c:pt>
              </c:numCache>
            </c:numRef>
          </c:val>
        </c:ser>
        <c:dLbls>
          <c:showLegendKey val="0"/>
          <c:showVal val="0"/>
          <c:showCatName val="0"/>
          <c:showSerName val="0"/>
          <c:showPercent val="0"/>
          <c:showBubbleSize val="0"/>
        </c:dLbls>
        <c:gapWidth val="150"/>
        <c:axId val="333152320"/>
        <c:axId val="333152712"/>
      </c:barChart>
      <c:catAx>
        <c:axId val="33315232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333152712"/>
        <c:crosses val="autoZero"/>
        <c:auto val="0"/>
        <c:lblAlgn val="ctr"/>
        <c:lblOffset val="100"/>
        <c:tickLblSkip val="1"/>
        <c:tickMarkSkip val="1"/>
        <c:noMultiLvlLbl val="0"/>
      </c:catAx>
      <c:valAx>
        <c:axId val="333152712"/>
        <c:scaling>
          <c:orientation val="minMax"/>
          <c:min val="30"/>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333152320"/>
        <c:crosses val="autoZero"/>
        <c:crossBetween val="between"/>
      </c:valAx>
      <c:spPr>
        <a:solidFill>
          <a:srgbClr val="E3E3E3"/>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oddHeader>&amp;A</c:oddHeader>
      <c:oddFooter>Página &amp;P</c:oddFooter>
    </c:headerFooter>
    <c:pageMargins b="1" l="0.75000000000001465" r="0.75000000000001465" t="1" header="0.511811024" footer="0.511811024"/>
    <c:pageSetup orientation="landscape" horizontalDpi="300" verticalDpi="30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80"/>
                </a:solidFill>
                <a:latin typeface="Arial"/>
                <a:ea typeface="Arial"/>
                <a:cs typeface="Arial"/>
              </a:defRPr>
            </a:pPr>
            <a:r>
              <a:rPr lang="es-ES"/>
              <a:t>PERFIL DE  FECUNDIDAD  
SERVICIO DE SALUD  ACONCAGUA</a:t>
            </a:r>
          </a:p>
        </c:rich>
      </c:tx>
      <c:layout>
        <c:manualLayout>
          <c:xMode val="edge"/>
          <c:yMode val="edge"/>
          <c:x val="0.20911016557713938"/>
          <c:y val="4.1841004184100396E-2"/>
        </c:manualLayout>
      </c:layout>
      <c:overlay val="0"/>
      <c:spPr>
        <a:solidFill>
          <a:srgbClr val="E3E3E3"/>
        </a:solidFill>
        <a:ln w="25400">
          <a:noFill/>
        </a:ln>
      </c:spPr>
    </c:title>
    <c:autoTitleDeleted val="0"/>
    <c:plotArea>
      <c:layout>
        <c:manualLayout>
          <c:layoutTarget val="inner"/>
          <c:xMode val="edge"/>
          <c:yMode val="edge"/>
          <c:x val="9.9379082919017966E-2"/>
          <c:y val="0.27196652719667175"/>
          <c:w val="0.87163737310221978"/>
          <c:h val="0.58577405857740583"/>
        </c:manualLayout>
      </c:layout>
      <c:lineChart>
        <c:grouping val="standard"/>
        <c:varyColors val="0"/>
        <c:ser>
          <c:idx val="0"/>
          <c:order val="0"/>
          <c:spPr>
            <a:ln w="38100">
              <a:solidFill>
                <a:srgbClr val="000080"/>
              </a:solidFill>
              <a:prstDash val="solid"/>
            </a:ln>
          </c:spPr>
          <c:marker>
            <c:symbol val="none"/>
          </c:marker>
          <c:cat>
            <c:numRef>
              <c:f>'13'!$H$9:$H$17</c:f>
              <c:numCache>
                <c:formatCode>General</c:formatCode>
                <c:ptCount val="9"/>
                <c:pt idx="0">
                  <c:v>2007</c:v>
                </c:pt>
                <c:pt idx="1">
                  <c:v>2008</c:v>
                </c:pt>
                <c:pt idx="2">
                  <c:v>2009</c:v>
                </c:pt>
                <c:pt idx="3">
                  <c:v>2010</c:v>
                </c:pt>
                <c:pt idx="4">
                  <c:v>2011</c:v>
                </c:pt>
                <c:pt idx="5">
                  <c:v>2012</c:v>
                </c:pt>
                <c:pt idx="6">
                  <c:v>2013</c:v>
                </c:pt>
                <c:pt idx="7">
                  <c:v>2014</c:v>
                </c:pt>
                <c:pt idx="8">
                  <c:v>2015</c:v>
                </c:pt>
              </c:numCache>
            </c:numRef>
          </c:cat>
          <c:val>
            <c:numRef>
              <c:f>'13'!$I$9:$I$17</c:f>
              <c:numCache>
                <c:formatCode>0.0</c:formatCode>
                <c:ptCount val="9"/>
                <c:pt idx="0">
                  <c:v>52</c:v>
                </c:pt>
                <c:pt idx="1">
                  <c:v>52.6</c:v>
                </c:pt>
                <c:pt idx="2">
                  <c:v>51.2</c:v>
                </c:pt>
                <c:pt idx="3">
                  <c:v>50.639326189893289</c:v>
                </c:pt>
                <c:pt idx="4">
                  <c:v>54.4</c:v>
                </c:pt>
                <c:pt idx="5">
                  <c:v>53.3</c:v>
                </c:pt>
                <c:pt idx="6">
                  <c:v>51.7</c:v>
                </c:pt>
                <c:pt idx="7">
                  <c:v>54.8</c:v>
                </c:pt>
                <c:pt idx="8">
                  <c:v>52.690864862984917</c:v>
                </c:pt>
              </c:numCache>
            </c:numRef>
          </c:val>
          <c:smooth val="0"/>
        </c:ser>
        <c:dLbls>
          <c:showLegendKey val="0"/>
          <c:showVal val="0"/>
          <c:showCatName val="0"/>
          <c:showSerName val="0"/>
          <c:showPercent val="0"/>
          <c:showBubbleSize val="0"/>
        </c:dLbls>
        <c:smooth val="0"/>
        <c:axId val="331448656"/>
        <c:axId val="331449048"/>
      </c:lineChart>
      <c:catAx>
        <c:axId val="331448656"/>
        <c:scaling>
          <c:orientation val="minMax"/>
        </c:scaling>
        <c:delete val="0"/>
        <c:axPos val="b"/>
        <c:title>
          <c:tx>
            <c:rich>
              <a:bodyPr/>
              <a:lstStyle/>
              <a:p>
                <a:pPr>
                  <a:defRPr sz="575" b="1" i="0" u="none" strike="noStrike" baseline="0">
                    <a:solidFill>
                      <a:srgbClr val="000080"/>
                    </a:solidFill>
                    <a:latin typeface="Arial"/>
                    <a:ea typeface="Arial"/>
                    <a:cs typeface="Arial"/>
                  </a:defRPr>
                </a:pPr>
                <a:r>
                  <a:rPr lang="es-ES"/>
                  <a:t>Tasa o/oo</a:t>
                </a:r>
              </a:p>
            </c:rich>
          </c:tx>
          <c:layout>
            <c:manualLayout>
              <c:xMode val="edge"/>
              <c:yMode val="edge"/>
              <c:x val="2.6915113871635612E-2"/>
              <c:y val="0.154811715481178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25" b="1" i="1" u="none" strike="noStrike" baseline="0">
                <a:solidFill>
                  <a:srgbClr val="000080"/>
                </a:solidFill>
                <a:latin typeface="Arial"/>
                <a:ea typeface="Arial"/>
                <a:cs typeface="Arial"/>
              </a:defRPr>
            </a:pPr>
            <a:endParaRPr lang="es-CL"/>
          </a:p>
        </c:txPr>
        <c:crossAx val="331449048"/>
        <c:crosses val="autoZero"/>
        <c:auto val="1"/>
        <c:lblAlgn val="ctr"/>
        <c:lblOffset val="100"/>
        <c:tickLblSkip val="1"/>
        <c:tickMarkSkip val="1"/>
        <c:noMultiLvlLbl val="0"/>
      </c:catAx>
      <c:valAx>
        <c:axId val="331449048"/>
        <c:scaling>
          <c:orientation val="minMax"/>
          <c:max val="56"/>
          <c:min val="48"/>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825" b="1" i="1" u="none" strike="noStrike" baseline="0">
                <a:solidFill>
                  <a:srgbClr val="000080"/>
                </a:solidFill>
                <a:latin typeface="Arial"/>
                <a:ea typeface="Arial"/>
                <a:cs typeface="Arial"/>
              </a:defRPr>
            </a:pPr>
            <a:endParaRPr lang="es-CL"/>
          </a:p>
        </c:txPr>
        <c:crossAx val="331448656"/>
        <c:crosses val="autoZero"/>
        <c:crossBetween val="between"/>
        <c:majorUnit val="2"/>
      </c:valAx>
      <c:spPr>
        <a:noFill/>
        <a:ln w="25400">
          <a:noFill/>
        </a:ln>
      </c:spPr>
    </c:plotArea>
    <c:plotVisOnly val="1"/>
    <c:dispBlanksAs val="gap"/>
    <c:showDLblsOverMax val="0"/>
  </c:chart>
  <c:spPr>
    <a:solidFill>
      <a:srgbClr val="E3E3E3"/>
    </a:solidFill>
    <a:ln w="3175">
      <a:solidFill>
        <a:srgbClr val="000000"/>
      </a:solidFill>
      <a:prstDash val="solid"/>
    </a:ln>
    <a:effectLst>
      <a:outerShdw dist="35921" dir="2700000" algn="br">
        <a:srgbClr val="000000"/>
      </a:outerShdw>
    </a:effectLst>
  </c:spPr>
  <c:txPr>
    <a:bodyPr/>
    <a:lstStyle/>
    <a:p>
      <a:pPr>
        <a:defRPr sz="142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9" orientation="landscape" horizontalDpi="300" verticalDpi="300" copies="0"/>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TASA DE  FECUNDIDAD   SEGÚN COMUNAS  AÑO 2015
SERVICIO DE SALUD ACONCAGUA</a:t>
            </a:r>
          </a:p>
        </c:rich>
      </c:tx>
      <c:layout>
        <c:manualLayout>
          <c:xMode val="edge"/>
          <c:yMode val="edge"/>
          <c:x val="0.18969072164948453"/>
          <c:y val="4.2372881355935817E-2"/>
        </c:manualLayout>
      </c:layout>
      <c:overlay val="0"/>
      <c:spPr>
        <a:noFill/>
        <a:ln w="25400">
          <a:noFill/>
        </a:ln>
      </c:spPr>
    </c:title>
    <c:autoTitleDeleted val="0"/>
    <c:plotArea>
      <c:layout>
        <c:manualLayout>
          <c:layoutTarget val="inner"/>
          <c:xMode val="edge"/>
          <c:yMode val="edge"/>
          <c:x val="6.5979381443298971E-2"/>
          <c:y val="0.22033898305084745"/>
          <c:w val="0.92577319587628859"/>
          <c:h val="0.66949152542375689"/>
        </c:manualLayout>
      </c:layout>
      <c:barChart>
        <c:barDir val="col"/>
        <c:grouping val="clustered"/>
        <c:varyColors val="0"/>
        <c:ser>
          <c:idx val="0"/>
          <c:order val="0"/>
          <c:spPr>
            <a:gradFill rotWithShape="0">
              <a:gsLst>
                <a:gs pos="0">
                  <a:srgbClr val="8080FF"/>
                </a:gs>
                <a:gs pos="100000">
                  <a:srgbClr val="8080FF">
                    <a:gamma/>
                    <a:tint val="0"/>
                    <a:invGamma/>
                  </a:srgbClr>
                </a:gs>
              </a:gsLst>
              <a:lin ang="5400000" scaled="1"/>
            </a:gradFill>
            <a:ln w="12700">
              <a:solidFill>
                <a:srgbClr val="000000"/>
              </a:solidFill>
              <a:prstDash val="solid"/>
            </a:ln>
          </c:spPr>
          <c:invertIfNegative val="0"/>
          <c:cat>
            <c:strRef>
              <c:f>'13'!$H$19:$H$28</c:f>
              <c:strCache>
                <c:ptCount val="10"/>
                <c:pt idx="0">
                  <c:v>L.Andes</c:v>
                </c:pt>
                <c:pt idx="1">
                  <c:v>S.Est.</c:v>
                </c:pt>
                <c:pt idx="2">
                  <c:v>C.Larga.</c:v>
                </c:pt>
                <c:pt idx="3">
                  <c:v>Rinc.</c:v>
                </c:pt>
                <c:pt idx="4">
                  <c:v>S.Felipe</c:v>
                </c:pt>
                <c:pt idx="5">
                  <c:v>Putaendo</c:v>
                </c:pt>
                <c:pt idx="6">
                  <c:v>S.Maria</c:v>
                </c:pt>
                <c:pt idx="7">
                  <c:v>Panq.</c:v>
                </c:pt>
                <c:pt idx="8">
                  <c:v>Llay</c:v>
                </c:pt>
                <c:pt idx="9">
                  <c:v>Catemu</c:v>
                </c:pt>
              </c:strCache>
            </c:strRef>
          </c:cat>
          <c:val>
            <c:numRef>
              <c:f>'13'!$I$19:$I$28</c:f>
              <c:numCache>
                <c:formatCode>0.0</c:formatCode>
                <c:ptCount val="10"/>
                <c:pt idx="0">
                  <c:v>47.80730675183267</c:v>
                </c:pt>
                <c:pt idx="1">
                  <c:v>44.923572307712405</c:v>
                </c:pt>
                <c:pt idx="2">
                  <c:v>72.44850176498349</c:v>
                </c:pt>
                <c:pt idx="3">
                  <c:v>67.156647966098561</c:v>
                </c:pt>
                <c:pt idx="4">
                  <c:v>54.064103807885004</c:v>
                </c:pt>
                <c:pt idx="5">
                  <c:v>50.326272380329954</c:v>
                </c:pt>
                <c:pt idx="6">
                  <c:v>56.232155162313852</c:v>
                </c:pt>
                <c:pt idx="7">
                  <c:v>53.315735787332585</c:v>
                </c:pt>
                <c:pt idx="8">
                  <c:v>55.123337640292419</c:v>
                </c:pt>
                <c:pt idx="9">
                  <c:v>53.1381595201441</c:v>
                </c:pt>
              </c:numCache>
            </c:numRef>
          </c:val>
        </c:ser>
        <c:dLbls>
          <c:showLegendKey val="0"/>
          <c:showVal val="0"/>
          <c:showCatName val="0"/>
          <c:showSerName val="0"/>
          <c:showPercent val="0"/>
          <c:showBubbleSize val="0"/>
        </c:dLbls>
        <c:gapWidth val="150"/>
        <c:axId val="331449832"/>
        <c:axId val="331450224"/>
      </c:barChart>
      <c:catAx>
        <c:axId val="33144983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331450224"/>
        <c:crosses val="autoZero"/>
        <c:auto val="0"/>
        <c:lblAlgn val="ctr"/>
        <c:lblOffset val="100"/>
        <c:tickLblSkip val="1"/>
        <c:tickMarkSkip val="1"/>
        <c:noMultiLvlLbl val="0"/>
      </c:catAx>
      <c:valAx>
        <c:axId val="331450224"/>
        <c:scaling>
          <c:orientation val="minMax"/>
          <c:min val="30"/>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331449832"/>
        <c:crosses val="autoZero"/>
        <c:crossBetween val="between"/>
      </c:valAx>
      <c:spPr>
        <a:solidFill>
          <a:srgbClr val="E3E3E3"/>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oddHeader>&amp;A</c:oddHeader>
      <c:oddFooter>Página &amp;P</c:oddFooter>
    </c:headerFooter>
    <c:pageMargins b="1" l="0.75000000000001465" r="0.75000000000001465" t="1" header="0.511811024" footer="0.511811024"/>
    <c:pageSetup orientation="landscape" horizontalDpi="300" verticalDpi="300"/>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794816414687012E-2"/>
          <c:y val="0.25352170793378631"/>
          <c:w val="0.91792656587470856"/>
          <c:h val="0.56338157318619164"/>
        </c:manualLayout>
      </c:layout>
      <c:lineChart>
        <c:grouping val="standard"/>
        <c:varyColors val="0"/>
        <c:ser>
          <c:idx val="0"/>
          <c:order val="0"/>
          <c:tx>
            <c:v>PAIS</c:v>
          </c:tx>
          <c:spPr>
            <a:ln w="38100">
              <a:solidFill>
                <a:srgbClr val="FF0000"/>
              </a:solidFill>
              <a:prstDash val="solid"/>
            </a:ln>
          </c:spPr>
          <c:marker>
            <c:symbol val="none"/>
          </c:marker>
          <c:cat>
            <c:numRef>
              <c:f>'18'!$A$11:$A$20</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'18'!$C$11:$C$19</c:f>
              <c:numCache>
                <c:formatCode>0.0</c:formatCode>
                <c:ptCount val="9"/>
                <c:pt idx="0">
                  <c:v>14.821750860511198</c:v>
                </c:pt>
                <c:pt idx="1">
                  <c:v>14.583258274423889</c:v>
                </c:pt>
                <c:pt idx="2">
                  <c:v>14.815906253299584</c:v>
                </c:pt>
                <c:pt idx="3">
                  <c:v>14.899987731020252</c:v>
                </c:pt>
                <c:pt idx="4">
                  <c:v>14.694924088598109</c:v>
                </c:pt>
                <c:pt idx="5">
                  <c:v>14.429064640590893</c:v>
                </c:pt>
                <c:pt idx="6">
                  <c:v>14.012709573208188</c:v>
                </c:pt>
                <c:pt idx="7">
                  <c:v>13.784106057960969</c:v>
                </c:pt>
              </c:numCache>
            </c:numRef>
          </c:val>
          <c:smooth val="0"/>
        </c:ser>
        <c:ser>
          <c:idx val="1"/>
          <c:order val="1"/>
          <c:tx>
            <c:v>REGION</c:v>
          </c:tx>
          <c:spPr>
            <a:ln w="38100">
              <a:solidFill>
                <a:srgbClr val="333399"/>
              </a:solidFill>
              <a:prstDash val="solid"/>
            </a:ln>
          </c:spPr>
          <c:marker>
            <c:symbol val="none"/>
          </c:marker>
          <c:cat>
            <c:numRef>
              <c:f>'18'!$A$11:$A$20</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'18'!$E$11:$E$19</c:f>
              <c:numCache>
                <c:formatCode>0.0</c:formatCode>
                <c:ptCount val="9"/>
                <c:pt idx="0">
                  <c:v>13.562979896016957</c:v>
                </c:pt>
                <c:pt idx="1">
                  <c:v>13.408625086919184</c:v>
                </c:pt>
                <c:pt idx="2">
                  <c:v>13.485506117676051</c:v>
                </c:pt>
                <c:pt idx="3">
                  <c:v>13.641776770298573</c:v>
                </c:pt>
                <c:pt idx="4">
                  <c:v>13.540499565987766</c:v>
                </c:pt>
                <c:pt idx="5">
                  <c:v>13.330182787895154</c:v>
                </c:pt>
                <c:pt idx="6">
                  <c:v>13.152611839522432</c:v>
                </c:pt>
                <c:pt idx="7">
                  <c:v>12.748617893708047</c:v>
                </c:pt>
              </c:numCache>
            </c:numRef>
          </c:val>
          <c:smooth val="0"/>
        </c:ser>
        <c:ser>
          <c:idx val="2"/>
          <c:order val="2"/>
          <c:tx>
            <c:v>S. SALUD</c:v>
          </c:tx>
          <c:spPr>
            <a:ln w="38100">
              <a:solidFill>
                <a:srgbClr val="336666"/>
              </a:solidFill>
              <a:prstDash val="solid"/>
            </a:ln>
          </c:spPr>
          <c:marker>
            <c:symbol val="none"/>
          </c:marker>
          <c:cat>
            <c:numRef>
              <c:f>'18'!$A$11:$A$20</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'18'!$G$11:$G$20</c:f>
              <c:numCache>
                <c:formatCode>0.0</c:formatCode>
                <c:ptCount val="10"/>
                <c:pt idx="0">
                  <c:v>14.225174296581615</c:v>
                </c:pt>
                <c:pt idx="1">
                  <c:v>14.325055752640811</c:v>
                </c:pt>
                <c:pt idx="2">
                  <c:v>14.363156369219681</c:v>
                </c:pt>
                <c:pt idx="3">
                  <c:v>14.317040062187466</c:v>
                </c:pt>
                <c:pt idx="4">
                  <c:v>14.991255737229176</c:v>
                </c:pt>
                <c:pt idx="5">
                  <c:v>13.959879502608512</c:v>
                </c:pt>
                <c:pt idx="6">
                  <c:v>14.221087521275642</c:v>
                </c:pt>
                <c:pt idx="7">
                  <c:v>13.718550122348651</c:v>
                </c:pt>
                <c:pt idx="8">
                  <c:v>13.698680137826315</c:v>
                </c:pt>
                <c:pt idx="9">
                  <c:v>13.044027654927163</c:v>
                </c:pt>
              </c:numCache>
            </c:numRef>
          </c:val>
          <c:smooth val="0"/>
        </c:ser>
        <c:dLbls>
          <c:showLegendKey val="0"/>
          <c:showVal val="0"/>
          <c:showCatName val="0"/>
          <c:showSerName val="0"/>
          <c:showPercent val="0"/>
          <c:showBubbleSize val="0"/>
        </c:dLbls>
        <c:smooth val="0"/>
        <c:axId val="331451400"/>
        <c:axId val="331451792"/>
      </c:lineChart>
      <c:catAx>
        <c:axId val="331451400"/>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s-ES"/>
                  <a:t>0/00</a:t>
                </a:r>
              </a:p>
            </c:rich>
          </c:tx>
          <c:layout>
            <c:manualLayout>
              <c:xMode val="edge"/>
              <c:yMode val="edge"/>
              <c:x val="5.3995680345572524E-3"/>
              <c:y val="0.115023720626475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1" i="1" u="none" strike="noStrike" baseline="0">
                <a:solidFill>
                  <a:srgbClr val="000000"/>
                </a:solidFill>
                <a:latin typeface="Arial"/>
                <a:ea typeface="Arial"/>
                <a:cs typeface="Arial"/>
              </a:defRPr>
            </a:pPr>
            <a:endParaRPr lang="es-CL"/>
          </a:p>
        </c:txPr>
        <c:crossAx val="331451792"/>
        <c:crosses val="autoZero"/>
        <c:auto val="1"/>
        <c:lblAlgn val="ctr"/>
        <c:lblOffset val="100"/>
        <c:tickLblSkip val="1"/>
        <c:tickMarkSkip val="1"/>
        <c:noMultiLvlLbl val="0"/>
      </c:catAx>
      <c:valAx>
        <c:axId val="331451792"/>
        <c:scaling>
          <c:orientation val="minMax"/>
          <c:max val="17"/>
          <c:min val="12"/>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200" b="1" i="1" u="none" strike="noStrike" baseline="0">
                <a:solidFill>
                  <a:srgbClr val="000000"/>
                </a:solidFill>
                <a:latin typeface="Arial"/>
                <a:ea typeface="Arial"/>
                <a:cs typeface="Arial"/>
              </a:defRPr>
            </a:pPr>
            <a:endParaRPr lang="es-CL"/>
          </a:p>
        </c:txPr>
        <c:crossAx val="331451400"/>
        <c:crosses val="autoZero"/>
        <c:crossBetween val="between"/>
      </c:valAx>
      <c:spPr>
        <a:noFill/>
        <a:ln w="25400">
          <a:noFill/>
        </a:ln>
      </c:spPr>
    </c:plotArea>
    <c:legend>
      <c:legendPos val="r"/>
      <c:layout>
        <c:manualLayout>
          <c:xMode val="edge"/>
          <c:yMode val="edge"/>
          <c:x val="0.17879962491223614"/>
          <c:y val="0.91079997558444736"/>
          <c:w val="0.56049006441519778"/>
          <c:h val="6.3380528138208103E-2"/>
        </c:manualLayout>
      </c:layout>
      <c:overlay val="0"/>
      <c:spPr>
        <a:noFill/>
        <a:ln w="3175">
          <a:solidFill>
            <a:srgbClr val="000000"/>
          </a:solidFill>
          <a:prstDash val="solid"/>
        </a:ln>
      </c:spPr>
      <c:txPr>
        <a:bodyPr/>
        <a:lstStyle/>
        <a:p>
          <a:pPr>
            <a:defRPr sz="925"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5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400" b="1" i="0" u="none" strike="noStrike" baseline="0">
                <a:solidFill>
                  <a:srgbClr val="000000"/>
                </a:solidFill>
                <a:latin typeface="Arial"/>
                <a:ea typeface="Arial"/>
                <a:cs typeface="Arial"/>
              </a:defRPr>
            </a:pPr>
            <a:r>
              <a:rPr lang="es-ES" sz="1400"/>
              <a:t>TASA MORT. FETAL PAIS REGION SERV. SALUD
AÑOS  2006 - 2015 (tasa  x mil nac. vivos)
 </a:t>
            </a:r>
          </a:p>
        </c:rich>
      </c:tx>
      <c:layout>
        <c:manualLayout>
          <c:xMode val="edge"/>
          <c:yMode val="edge"/>
          <c:x val="0.16607248738457456"/>
          <c:y val="3.0588307609089854E-2"/>
        </c:manualLayout>
      </c:layout>
      <c:overlay val="0"/>
      <c:spPr>
        <a:noFill/>
        <a:ln w="25400">
          <a:noFill/>
        </a:ln>
      </c:spPr>
    </c:title>
    <c:autoTitleDeleted val="0"/>
    <c:plotArea>
      <c:layout>
        <c:manualLayout>
          <c:layoutTarget val="inner"/>
          <c:xMode val="edge"/>
          <c:yMode val="edge"/>
          <c:x val="7.3612724738067112E-2"/>
          <c:y val="0.32000000000001261"/>
          <c:w val="0.92185781441212844"/>
          <c:h val="0.47764705882351505"/>
        </c:manualLayout>
      </c:layout>
      <c:lineChart>
        <c:grouping val="standard"/>
        <c:varyColors val="0"/>
        <c:ser>
          <c:idx val="0"/>
          <c:order val="0"/>
          <c:tx>
            <c:v>PAIS</c:v>
          </c:tx>
          <c:spPr>
            <a:ln w="38100">
              <a:solidFill>
                <a:srgbClr val="FF0000"/>
              </a:solidFill>
              <a:prstDash val="solid"/>
            </a:ln>
          </c:spPr>
          <c:marker>
            <c:symbol val="none"/>
          </c:marker>
          <c:cat>
            <c:numRef>
              <c:f>'19'!$A$11:$A$20</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'19'!$C$11:$C$18</c:f>
              <c:numCache>
                <c:formatCode>0.0</c:formatCode>
                <c:ptCount val="8"/>
                <c:pt idx="0">
                  <c:v>8.7206079791099569</c:v>
                </c:pt>
                <c:pt idx="1">
                  <c:v>8.944285159509862</c:v>
                </c:pt>
                <c:pt idx="2">
                  <c:v>8.7250267750014086</c:v>
                </c:pt>
                <c:pt idx="3">
                  <c:v>8.9280050745321926</c:v>
                </c:pt>
                <c:pt idx="4">
                  <c:v>8.6226457907873826</c:v>
                </c:pt>
                <c:pt idx="5">
                  <c:v>8.42979921970114</c:v>
                </c:pt>
                <c:pt idx="6">
                  <c:v>8.4639421302561324</c:v>
                </c:pt>
                <c:pt idx="7">
                  <c:v>8.6361852027850663</c:v>
                </c:pt>
              </c:numCache>
            </c:numRef>
          </c:val>
          <c:smooth val="0"/>
        </c:ser>
        <c:ser>
          <c:idx val="1"/>
          <c:order val="1"/>
          <c:tx>
            <c:v>REGION</c:v>
          </c:tx>
          <c:spPr>
            <a:ln w="38100">
              <a:solidFill>
                <a:srgbClr val="333399"/>
              </a:solidFill>
              <a:prstDash val="solid"/>
            </a:ln>
          </c:spPr>
          <c:marker>
            <c:symbol val="none"/>
          </c:marker>
          <c:cat>
            <c:numRef>
              <c:f>'19'!$A$11:$A$20</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'19'!$E$11:$E$18</c:f>
              <c:numCache>
                <c:formatCode>0.0</c:formatCode>
                <c:ptCount val="8"/>
                <c:pt idx="0">
                  <c:v>8.1532459562530146</c:v>
                </c:pt>
                <c:pt idx="1">
                  <c:v>9.4248641066105545</c:v>
                </c:pt>
                <c:pt idx="2">
                  <c:v>8.835064431323536</c:v>
                </c:pt>
                <c:pt idx="3">
                  <c:v>6.488308405308616</c:v>
                </c:pt>
                <c:pt idx="4">
                  <c:v>7.7246011754827872</c:v>
                </c:pt>
                <c:pt idx="5">
                  <c:v>7.6390647421288094</c:v>
                </c:pt>
                <c:pt idx="6">
                  <c:v>7.4092891316313141</c:v>
                </c:pt>
                <c:pt idx="7">
                  <c:v>6.9615600812902665</c:v>
                </c:pt>
              </c:numCache>
            </c:numRef>
          </c:val>
          <c:smooth val="0"/>
        </c:ser>
        <c:ser>
          <c:idx val="2"/>
          <c:order val="2"/>
          <c:tx>
            <c:v>S. SALUD</c:v>
          </c:tx>
          <c:spPr>
            <a:ln w="38100">
              <a:solidFill>
                <a:srgbClr val="336666"/>
              </a:solidFill>
              <a:prstDash val="solid"/>
            </a:ln>
          </c:spPr>
          <c:marker>
            <c:symbol val="none"/>
          </c:marker>
          <c:cat>
            <c:numRef>
              <c:f>'19'!$A$11:$A$20</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'19'!$G$11:$G$20</c:f>
              <c:numCache>
                <c:formatCode>0.0</c:formatCode>
                <c:ptCount val="10"/>
                <c:pt idx="0">
                  <c:v>11.305822498586773</c:v>
                </c:pt>
                <c:pt idx="1">
                  <c:v>16.066481994459835</c:v>
                </c:pt>
                <c:pt idx="2">
                  <c:v>14.180529042814289</c:v>
                </c:pt>
                <c:pt idx="3">
                  <c:v>8.9141004862236635</c:v>
                </c:pt>
                <c:pt idx="4">
                  <c:v>7.6413652572592969</c:v>
                </c:pt>
                <c:pt idx="5">
                  <c:v>7.5716603569497023</c:v>
                </c:pt>
                <c:pt idx="6">
                  <c:v>9.1863517060367457</c:v>
                </c:pt>
                <c:pt idx="7">
                  <c:v>8.0710250201775615</c:v>
                </c:pt>
              </c:numCache>
            </c:numRef>
          </c:val>
          <c:smooth val="0"/>
        </c:ser>
        <c:dLbls>
          <c:showLegendKey val="0"/>
          <c:showVal val="0"/>
          <c:showCatName val="0"/>
          <c:showSerName val="0"/>
          <c:showPercent val="0"/>
          <c:showBubbleSize val="0"/>
        </c:dLbls>
        <c:smooth val="0"/>
        <c:axId val="332652400"/>
        <c:axId val="332652792"/>
      </c:lineChart>
      <c:catAx>
        <c:axId val="332652400"/>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s-ES"/>
                  <a:t>0/00</a:t>
                </a:r>
              </a:p>
            </c:rich>
          </c:tx>
          <c:layout>
            <c:manualLayout>
              <c:xMode val="edge"/>
              <c:yMode val="edge"/>
              <c:x val="5.6625141562853245E-3"/>
              <c:y val="0.1858823529411769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1" i="1" u="none" strike="noStrike" baseline="0">
                <a:solidFill>
                  <a:srgbClr val="000000"/>
                </a:solidFill>
                <a:latin typeface="Arial"/>
                <a:ea typeface="Arial"/>
                <a:cs typeface="Arial"/>
              </a:defRPr>
            </a:pPr>
            <a:endParaRPr lang="es-CL"/>
          </a:p>
        </c:txPr>
        <c:crossAx val="332652792"/>
        <c:crosses val="autoZero"/>
        <c:auto val="1"/>
        <c:lblAlgn val="ctr"/>
        <c:lblOffset val="100"/>
        <c:tickLblSkip val="1"/>
        <c:tickMarkSkip val="1"/>
        <c:noMultiLvlLbl val="0"/>
      </c:catAx>
      <c:valAx>
        <c:axId val="332652792"/>
        <c:scaling>
          <c:orientation val="minMax"/>
          <c:max val="18"/>
          <c:min val="2"/>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200" b="1" i="1" u="none" strike="noStrike" baseline="0">
                <a:solidFill>
                  <a:srgbClr val="000000"/>
                </a:solidFill>
                <a:latin typeface="Arial"/>
                <a:ea typeface="Arial"/>
                <a:cs typeface="Arial"/>
              </a:defRPr>
            </a:pPr>
            <a:endParaRPr lang="es-CL"/>
          </a:p>
        </c:txPr>
        <c:crossAx val="332652400"/>
        <c:crosses val="autoZero"/>
        <c:crossBetween val="between"/>
      </c:valAx>
      <c:spPr>
        <a:noFill/>
        <a:ln w="25400">
          <a:noFill/>
        </a:ln>
      </c:spPr>
    </c:plotArea>
    <c:legend>
      <c:legendPos val="b"/>
      <c:layout>
        <c:manualLayout>
          <c:xMode val="edge"/>
          <c:yMode val="edge"/>
          <c:x val="0.19728891708441665"/>
          <c:y val="0.92941176470588238"/>
          <c:w val="0.5127909011373577"/>
          <c:h val="6.3529411764710053E-2"/>
        </c:manualLayout>
      </c:layout>
      <c:overlay val="0"/>
      <c:spPr>
        <a:noFill/>
        <a:ln w="3175">
          <a:solidFill>
            <a:srgbClr val="000000"/>
          </a:solidFill>
          <a:prstDash val="solid"/>
        </a:ln>
      </c:spPr>
      <c:txPr>
        <a:bodyPr/>
        <a:lstStyle/>
        <a:p>
          <a:pPr>
            <a:defRPr sz="925"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304" orientation="landscape"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s-ES" sz="1400"/>
              <a:t>TASA MORT. PERINATAL PAIS REGION SERV. SALUD
AÑOS  2006 - 2015 (tasa x mil nac. vivos)
 </a:t>
            </a:r>
          </a:p>
        </c:rich>
      </c:tx>
      <c:layout>
        <c:manualLayout>
          <c:xMode val="edge"/>
          <c:yMode val="edge"/>
          <c:x val="0.1706137245664805"/>
          <c:y val="1.7116399775870714E-3"/>
        </c:manualLayout>
      </c:layout>
      <c:overlay val="0"/>
      <c:spPr>
        <a:noFill/>
        <a:ln w="25400">
          <a:noFill/>
        </a:ln>
      </c:spPr>
    </c:title>
    <c:autoTitleDeleted val="0"/>
    <c:plotArea>
      <c:layout>
        <c:manualLayout>
          <c:layoutTarget val="inner"/>
          <c:xMode val="edge"/>
          <c:yMode val="edge"/>
          <c:x val="3.7542703825707291E-2"/>
          <c:y val="0.26470617477615815"/>
          <c:w val="0.94766885717620064"/>
          <c:h val="0.59502328176176245"/>
        </c:manualLayout>
      </c:layout>
      <c:lineChart>
        <c:grouping val="standard"/>
        <c:varyColors val="0"/>
        <c:ser>
          <c:idx val="0"/>
          <c:order val="0"/>
          <c:tx>
            <c:v>PAIS</c:v>
          </c:tx>
          <c:spPr>
            <a:ln w="38100">
              <a:solidFill>
                <a:srgbClr val="FF0000"/>
              </a:solidFill>
              <a:prstDash val="solid"/>
            </a:ln>
          </c:spPr>
          <c:marker>
            <c:symbol val="none"/>
          </c:marker>
          <c:cat>
            <c:numRef>
              <c:f>'20'!$A$11:$A$20</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'20'!$C$11:$C$18</c:f>
              <c:numCache>
                <c:formatCode>0.0</c:formatCode>
                <c:ptCount val="8"/>
                <c:pt idx="0">
                  <c:v>12.805826877045176</c:v>
                </c:pt>
                <c:pt idx="1">
                  <c:v>13.278028869591083</c:v>
                </c:pt>
                <c:pt idx="2">
                  <c:v>13.242553328555438</c:v>
                </c:pt>
                <c:pt idx="3">
                  <c:v>13.150174437044086</c:v>
                </c:pt>
                <c:pt idx="4">
                  <c:v>12.555782467286893</c:v>
                </c:pt>
                <c:pt idx="5">
                  <c:v>12.721041148509919</c:v>
                </c:pt>
                <c:pt idx="6">
                  <c:v>12.704114689696462</c:v>
                </c:pt>
                <c:pt idx="7">
                  <c:v>12.826181277246338</c:v>
                </c:pt>
              </c:numCache>
            </c:numRef>
          </c:val>
          <c:smooth val="0"/>
        </c:ser>
        <c:ser>
          <c:idx val="1"/>
          <c:order val="1"/>
          <c:tx>
            <c:v>REGION</c:v>
          </c:tx>
          <c:spPr>
            <a:ln w="38100">
              <a:solidFill>
                <a:srgbClr val="333399"/>
              </a:solidFill>
              <a:prstDash val="solid"/>
            </a:ln>
          </c:spPr>
          <c:marker>
            <c:symbol val="none"/>
          </c:marker>
          <c:cat>
            <c:numRef>
              <c:f>'20'!$A$11:$A$20</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'20'!$E$11:$E$18</c:f>
              <c:numCache>
                <c:formatCode>0.0</c:formatCode>
                <c:ptCount val="8"/>
                <c:pt idx="0">
                  <c:v>12.186034278700742</c:v>
                </c:pt>
                <c:pt idx="1">
                  <c:v>14.422233911976152</c:v>
                </c:pt>
                <c:pt idx="2">
                  <c:v>13.101754083523684</c:v>
                </c:pt>
                <c:pt idx="3">
                  <c:v>10.912155045291763</c:v>
                </c:pt>
                <c:pt idx="4">
                  <c:v>11.46095717884131</c:v>
                </c:pt>
                <c:pt idx="5">
                  <c:v>11.310880391660337</c:v>
                </c:pt>
                <c:pt idx="6">
                  <c:v>11.643168635420635</c:v>
                </c:pt>
                <c:pt idx="7">
                  <c:v>10.982833917066632</c:v>
                </c:pt>
              </c:numCache>
            </c:numRef>
          </c:val>
          <c:smooth val="0"/>
        </c:ser>
        <c:ser>
          <c:idx val="2"/>
          <c:order val="2"/>
          <c:tx>
            <c:v>S. SALUD</c:v>
          </c:tx>
          <c:spPr>
            <a:ln w="38100">
              <a:solidFill>
                <a:srgbClr val="336666"/>
              </a:solidFill>
              <a:prstDash val="solid"/>
            </a:ln>
          </c:spPr>
          <c:marker>
            <c:symbol val="none"/>
          </c:marker>
          <c:cat>
            <c:numRef>
              <c:f>'20'!$A$11:$A$20</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'20'!$G$11:$G$20</c:f>
              <c:numCache>
                <c:formatCode>0.0</c:formatCode>
                <c:ptCount val="10"/>
                <c:pt idx="0">
                  <c:v>15.545505935556813</c:v>
                </c:pt>
                <c:pt idx="1">
                  <c:v>22.437673130193907</c:v>
                </c:pt>
                <c:pt idx="2">
                  <c:v>18.543768748295609</c:v>
                </c:pt>
                <c:pt idx="3">
                  <c:v>12.695840086439761</c:v>
                </c:pt>
                <c:pt idx="4">
                  <c:v>14.009169638308711</c:v>
                </c:pt>
                <c:pt idx="5">
                  <c:v>10.81665765278529</c:v>
                </c:pt>
                <c:pt idx="6">
                  <c:v>10.236220472440944</c:v>
                </c:pt>
                <c:pt idx="7">
                  <c:v>13.720742534301856</c:v>
                </c:pt>
              </c:numCache>
            </c:numRef>
          </c:val>
          <c:smooth val="0"/>
        </c:ser>
        <c:dLbls>
          <c:showLegendKey val="0"/>
          <c:showVal val="0"/>
          <c:showCatName val="0"/>
          <c:showSerName val="0"/>
          <c:showPercent val="0"/>
          <c:showBubbleSize val="0"/>
        </c:dLbls>
        <c:smooth val="0"/>
        <c:axId val="332653184"/>
        <c:axId val="332653576"/>
      </c:lineChart>
      <c:catAx>
        <c:axId val="33265318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0/00</a:t>
                </a:r>
              </a:p>
            </c:rich>
          </c:tx>
          <c:layout>
            <c:manualLayout>
              <c:xMode val="edge"/>
              <c:yMode val="edge"/>
              <c:x val="5.6882821387942133E-3"/>
              <c:y val="0.178733269201078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1" i="1" u="none" strike="noStrike" baseline="0">
                <a:solidFill>
                  <a:srgbClr val="000000"/>
                </a:solidFill>
                <a:latin typeface="Arial"/>
                <a:ea typeface="Arial"/>
                <a:cs typeface="Arial"/>
              </a:defRPr>
            </a:pPr>
            <a:endParaRPr lang="es-CL"/>
          </a:p>
        </c:txPr>
        <c:crossAx val="332653576"/>
        <c:crosses val="autoZero"/>
        <c:auto val="1"/>
        <c:lblAlgn val="ctr"/>
        <c:lblOffset val="100"/>
        <c:tickLblSkip val="1"/>
        <c:tickMarkSkip val="1"/>
        <c:noMultiLvlLbl val="0"/>
      </c:catAx>
      <c:valAx>
        <c:axId val="332653576"/>
        <c:scaling>
          <c:orientation val="minMax"/>
          <c:max val="25"/>
          <c:min val="4"/>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000" b="1" i="1" u="none" strike="noStrike" baseline="0">
                <a:solidFill>
                  <a:srgbClr val="000000"/>
                </a:solidFill>
                <a:latin typeface="Arial"/>
                <a:ea typeface="Arial"/>
                <a:cs typeface="Arial"/>
              </a:defRPr>
            </a:pPr>
            <a:endParaRPr lang="es-CL"/>
          </a:p>
        </c:txPr>
        <c:crossAx val="332653184"/>
        <c:crosses val="autoZero"/>
        <c:crossBetween val="between"/>
        <c:majorUnit val="4"/>
      </c:valAx>
      <c:spPr>
        <a:noFill/>
        <a:ln w="25400">
          <a:noFill/>
        </a:ln>
      </c:spPr>
    </c:plotArea>
    <c:legend>
      <c:legendPos val="b"/>
      <c:layout>
        <c:manualLayout>
          <c:xMode val="edge"/>
          <c:yMode val="edge"/>
          <c:x val="0.18521282275612991"/>
          <c:y val="0.93891497725680262"/>
          <c:w val="0.47804168068734998"/>
          <c:h val="5.4298642533933933E-2"/>
        </c:manualLayout>
      </c:layout>
      <c:overlay val="0"/>
      <c:spPr>
        <a:noFill/>
        <a:ln w="3175">
          <a:solidFill>
            <a:srgbClr val="000000"/>
          </a:solidFill>
          <a:prstDash val="solid"/>
        </a:ln>
      </c:spPr>
      <c:txPr>
        <a:bodyPr/>
        <a:lstStyle/>
        <a:p>
          <a:pPr>
            <a:defRPr sz="925"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6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s-ES" sz="1400"/>
              <a:t>TASA MORT. NEO-PRECOZ PAIS REGION SERV. SALUD
AÑOS  2006 - 2015 (tasa x mil nac. vivos)
 </a:t>
            </a:r>
          </a:p>
        </c:rich>
      </c:tx>
      <c:layout>
        <c:manualLayout>
          <c:xMode val="edge"/>
          <c:yMode val="edge"/>
          <c:x val="0.1581482331861177"/>
          <c:y val="2.5510204081632647E-3"/>
        </c:manualLayout>
      </c:layout>
      <c:overlay val="0"/>
      <c:spPr>
        <a:noFill/>
        <a:ln w="25400">
          <a:noFill/>
        </a:ln>
      </c:spPr>
    </c:title>
    <c:autoTitleDeleted val="0"/>
    <c:plotArea>
      <c:layout>
        <c:manualLayout>
          <c:layoutTarget val="inner"/>
          <c:xMode val="edge"/>
          <c:yMode val="edge"/>
          <c:x val="6.1050133845264143E-2"/>
          <c:y val="0.22959183673469391"/>
          <c:w val="0.93609468627742287"/>
          <c:h val="0.57653061224490065"/>
        </c:manualLayout>
      </c:layout>
      <c:lineChart>
        <c:grouping val="standard"/>
        <c:varyColors val="0"/>
        <c:ser>
          <c:idx val="0"/>
          <c:order val="0"/>
          <c:tx>
            <c:v>PAIS</c:v>
          </c:tx>
          <c:spPr>
            <a:ln w="38100">
              <a:solidFill>
                <a:srgbClr val="FF0000"/>
              </a:solidFill>
              <a:prstDash val="solid"/>
            </a:ln>
          </c:spPr>
          <c:marker>
            <c:symbol val="none"/>
          </c:marker>
          <c:cat>
            <c:numRef>
              <c:f>'21'!$A$11:$A$20</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'21'!$C$11:$C$19</c:f>
              <c:numCache>
                <c:formatCode>0.0</c:formatCode>
                <c:ptCount val="9"/>
                <c:pt idx="0">
                  <c:v>4.0852188979352198</c:v>
                </c:pt>
                <c:pt idx="1">
                  <c:v>4.3337437100812215</c:v>
                </c:pt>
                <c:pt idx="2">
                  <c:v>4.5175265535540294</c:v>
                </c:pt>
                <c:pt idx="3">
                  <c:v>4.2221693625118935</c:v>
                </c:pt>
                <c:pt idx="4">
                  <c:v>3.9331366764995086</c:v>
                </c:pt>
                <c:pt idx="5">
                  <c:v>4.2912419288087786</c:v>
                </c:pt>
                <c:pt idx="6">
                  <c:v>4.2401725594403308</c:v>
                </c:pt>
                <c:pt idx="7">
                  <c:v>4.1899960744612716</c:v>
                </c:pt>
              </c:numCache>
            </c:numRef>
          </c:val>
          <c:smooth val="0"/>
        </c:ser>
        <c:ser>
          <c:idx val="1"/>
          <c:order val="1"/>
          <c:tx>
            <c:v>REGION</c:v>
          </c:tx>
          <c:spPr>
            <a:ln w="38100">
              <a:solidFill>
                <a:srgbClr val="333399"/>
              </a:solidFill>
              <a:prstDash val="solid"/>
            </a:ln>
          </c:spPr>
          <c:marker>
            <c:symbol val="none"/>
          </c:marker>
          <c:cat>
            <c:numRef>
              <c:f>'21'!$A$11:$A$20</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'21'!$E$11:$E$19</c:f>
              <c:numCache>
                <c:formatCode>0.0</c:formatCode>
                <c:ptCount val="9"/>
                <c:pt idx="0">
                  <c:v>4.0327883224477272</c:v>
                </c:pt>
                <c:pt idx="1">
                  <c:v>4.9973698053655973</c:v>
                </c:pt>
                <c:pt idx="2">
                  <c:v>4.2666896522001467</c:v>
                </c:pt>
                <c:pt idx="3">
                  <c:v>4.4238466399831475</c:v>
                </c:pt>
                <c:pt idx="4">
                  <c:v>3.7363560033585226</c:v>
                </c:pt>
                <c:pt idx="5">
                  <c:v>3.6718156495315268</c:v>
                </c:pt>
                <c:pt idx="6">
                  <c:v>4.2338795037893222</c:v>
                </c:pt>
                <c:pt idx="7">
                  <c:v>4.0212738357763653</c:v>
                </c:pt>
              </c:numCache>
            </c:numRef>
          </c:val>
          <c:smooth val="0"/>
        </c:ser>
        <c:ser>
          <c:idx val="2"/>
          <c:order val="2"/>
          <c:tx>
            <c:v>S. SALUD</c:v>
          </c:tx>
          <c:spPr>
            <a:ln w="38100">
              <a:solidFill>
                <a:srgbClr val="336666"/>
              </a:solidFill>
              <a:prstDash val="solid"/>
            </a:ln>
          </c:spPr>
          <c:marker>
            <c:symbol val="none"/>
          </c:marker>
          <c:cat>
            <c:numRef>
              <c:f>'21'!$A$11:$A$20</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'21'!$G$11:$G$20</c:f>
              <c:numCache>
                <c:formatCode>0.0</c:formatCode>
                <c:ptCount val="10"/>
                <c:pt idx="0">
                  <c:v>4.2396834369700391</c:v>
                </c:pt>
                <c:pt idx="1">
                  <c:v>6.3711911357340725</c:v>
                </c:pt>
                <c:pt idx="2">
                  <c:v>4.3632397054813197</c:v>
                </c:pt>
                <c:pt idx="3">
                  <c:v>3.7817396002160995</c:v>
                </c:pt>
                <c:pt idx="4">
                  <c:v>6.3678043810494147</c:v>
                </c:pt>
                <c:pt idx="5">
                  <c:v>5.1379123850730126</c:v>
                </c:pt>
                <c:pt idx="6">
                  <c:v>4.7244094488188972</c:v>
                </c:pt>
                <c:pt idx="7">
                  <c:v>2.9593758407317732</c:v>
                </c:pt>
                <c:pt idx="8">
                  <c:v>3.4638955502264852</c:v>
                </c:pt>
                <c:pt idx="9">
                  <c:v>3.5981179075560479</c:v>
                </c:pt>
              </c:numCache>
            </c:numRef>
          </c:val>
          <c:smooth val="0"/>
        </c:ser>
        <c:dLbls>
          <c:showLegendKey val="0"/>
          <c:showVal val="0"/>
          <c:showCatName val="0"/>
          <c:showSerName val="0"/>
          <c:showPercent val="0"/>
          <c:showBubbleSize val="0"/>
        </c:dLbls>
        <c:smooth val="0"/>
        <c:axId val="332654360"/>
        <c:axId val="332654752"/>
      </c:lineChart>
      <c:catAx>
        <c:axId val="332654360"/>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s-ES"/>
                  <a:t>0/00</a:t>
                </a:r>
              </a:p>
            </c:rich>
          </c:tx>
          <c:layout>
            <c:manualLayout>
              <c:xMode val="edge"/>
              <c:yMode val="edge"/>
              <c:x val="8.5470085470085496E-3"/>
              <c:y val="0.1147959183673469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75" b="1" i="1" u="none" strike="noStrike" baseline="0">
                <a:solidFill>
                  <a:srgbClr val="000000"/>
                </a:solidFill>
                <a:latin typeface="Arial"/>
                <a:ea typeface="Arial"/>
                <a:cs typeface="Arial"/>
              </a:defRPr>
            </a:pPr>
            <a:endParaRPr lang="es-CL"/>
          </a:p>
        </c:txPr>
        <c:crossAx val="332654752"/>
        <c:crosses val="autoZero"/>
        <c:auto val="1"/>
        <c:lblAlgn val="ctr"/>
        <c:lblOffset val="100"/>
        <c:tickLblSkip val="1"/>
        <c:tickMarkSkip val="1"/>
        <c:noMultiLvlLbl val="0"/>
      </c:catAx>
      <c:valAx>
        <c:axId val="332654752"/>
        <c:scaling>
          <c:orientation val="minMax"/>
          <c:max val="7.5"/>
          <c:min val="2"/>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175" b="1" i="1" u="none" strike="noStrike" baseline="0">
                <a:solidFill>
                  <a:srgbClr val="000000"/>
                </a:solidFill>
                <a:latin typeface="Arial"/>
                <a:ea typeface="Arial"/>
                <a:cs typeface="Arial"/>
              </a:defRPr>
            </a:pPr>
            <a:endParaRPr lang="es-CL"/>
          </a:p>
        </c:txPr>
        <c:crossAx val="332654360"/>
        <c:crosses val="autoZero"/>
        <c:crossBetween val="between"/>
        <c:majorUnit val="1"/>
      </c:valAx>
      <c:spPr>
        <a:noFill/>
        <a:ln w="25400">
          <a:noFill/>
        </a:ln>
      </c:spPr>
    </c:plotArea>
    <c:legend>
      <c:legendPos val="b"/>
      <c:layout>
        <c:manualLayout>
          <c:xMode val="edge"/>
          <c:yMode val="edge"/>
          <c:x val="0.21593963704794197"/>
          <c:y val="0.91581632653061229"/>
          <c:w val="0.49468393637759267"/>
          <c:h val="6.8877551020410599E-2"/>
        </c:manualLayout>
      </c:layout>
      <c:overlay val="0"/>
      <c:spPr>
        <a:noFill/>
        <a:ln w="3175">
          <a:solidFill>
            <a:srgbClr val="000000"/>
          </a:solidFill>
          <a:prstDash val="solid"/>
        </a:ln>
      </c:spPr>
      <c:txPr>
        <a:bodyPr/>
        <a:lstStyle/>
        <a:p>
          <a:pPr>
            <a:defRPr sz="910"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3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1" i="0" u="none" strike="noStrike" baseline="0">
                <a:solidFill>
                  <a:srgbClr val="000000"/>
                </a:solidFill>
                <a:latin typeface="Arial"/>
                <a:ea typeface="Arial"/>
                <a:cs typeface="Arial"/>
              </a:defRPr>
            </a:pPr>
            <a:r>
              <a:rPr lang="es-ES" sz="1400"/>
              <a:t>TASA MORT.  NEONATAL  PAIS REGION SERV. SALUD
AÑOS  2006 - 2015 (tasa x mil nac. vivos)
 </a:t>
            </a:r>
          </a:p>
        </c:rich>
      </c:tx>
      <c:layout>
        <c:manualLayout>
          <c:xMode val="edge"/>
          <c:yMode val="edge"/>
          <c:x val="0.19070904645476774"/>
          <c:y val="3.3163265306122451E-2"/>
        </c:manualLayout>
      </c:layout>
      <c:overlay val="0"/>
      <c:spPr>
        <a:noFill/>
        <a:ln w="25400">
          <a:noFill/>
        </a:ln>
      </c:spPr>
    </c:title>
    <c:autoTitleDeleted val="0"/>
    <c:plotArea>
      <c:layout>
        <c:manualLayout>
          <c:layoutTarget val="inner"/>
          <c:xMode val="edge"/>
          <c:yMode val="edge"/>
          <c:x val="6.1124694376528114E-2"/>
          <c:y val="0.24744897959184958"/>
          <c:w val="0.92053789731051361"/>
          <c:h val="0.54846938775510157"/>
        </c:manualLayout>
      </c:layout>
      <c:lineChart>
        <c:grouping val="standard"/>
        <c:varyColors val="0"/>
        <c:ser>
          <c:idx val="0"/>
          <c:order val="0"/>
          <c:tx>
            <c:v>PAIS</c:v>
          </c:tx>
          <c:spPr>
            <a:ln w="38100">
              <a:solidFill>
                <a:srgbClr val="FF0000"/>
              </a:solidFill>
              <a:prstDash val="solid"/>
            </a:ln>
          </c:spPr>
          <c:marker>
            <c:symbol val="none"/>
          </c:marker>
          <c:cat>
            <c:numRef>
              <c:f>'22'!$A$11:$A$20</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'22'!$C$11:$C$19</c:f>
              <c:numCache>
                <c:formatCode>0.0</c:formatCode>
                <c:ptCount val="9"/>
                <c:pt idx="0">
                  <c:v>5.1280787975086319</c:v>
                </c:pt>
                <c:pt idx="1">
                  <c:v>5.602055739628347</c:v>
                </c:pt>
                <c:pt idx="2">
                  <c:v>5.5120266058961365</c:v>
                </c:pt>
                <c:pt idx="3">
                  <c:v>5.387725975261656</c:v>
                </c:pt>
                <c:pt idx="4">
                  <c:v>5.1075044088551307</c:v>
                </c:pt>
                <c:pt idx="5">
                  <c:v>5.4082505956709888</c:v>
                </c:pt>
                <c:pt idx="6">
                  <c:v>5.3596765330643246</c:v>
                </c:pt>
                <c:pt idx="7">
                  <c:v>5.1775789756409987</c:v>
                </c:pt>
              </c:numCache>
            </c:numRef>
          </c:val>
          <c:smooth val="0"/>
        </c:ser>
        <c:ser>
          <c:idx val="1"/>
          <c:order val="1"/>
          <c:tx>
            <c:v>REGION</c:v>
          </c:tx>
          <c:spPr>
            <a:ln w="38100">
              <a:solidFill>
                <a:srgbClr val="333399"/>
              </a:solidFill>
              <a:prstDash val="solid"/>
            </a:ln>
          </c:spPr>
          <c:marker>
            <c:symbol val="none"/>
          </c:marker>
          <c:cat>
            <c:numRef>
              <c:f>'22'!$A$11:$A$20</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'22'!$E$11:$E$19</c:f>
              <c:numCache>
                <c:formatCode>0.0</c:formatCode>
                <c:ptCount val="9"/>
                <c:pt idx="0">
                  <c:v>5.1286547144172179</c:v>
                </c:pt>
                <c:pt idx="1">
                  <c:v>6.2686305453270217</c:v>
                </c:pt>
                <c:pt idx="2">
                  <c:v>5.1717450329698744</c:v>
                </c:pt>
                <c:pt idx="3">
                  <c:v>5.8141984411207082</c:v>
                </c:pt>
                <c:pt idx="4">
                  <c:v>5.0377833753148611</c:v>
                </c:pt>
                <c:pt idx="5">
                  <c:v>4.5581159787287922</c:v>
                </c:pt>
                <c:pt idx="6">
                  <c:v>5.3346881747745458</c:v>
                </c:pt>
                <c:pt idx="7">
                  <c:v>5.0157824188178317</c:v>
                </c:pt>
              </c:numCache>
            </c:numRef>
          </c:val>
          <c:smooth val="0"/>
        </c:ser>
        <c:ser>
          <c:idx val="2"/>
          <c:order val="2"/>
          <c:tx>
            <c:v>S. SALUD</c:v>
          </c:tx>
          <c:spPr>
            <a:ln w="38100">
              <a:solidFill>
                <a:srgbClr val="336666"/>
              </a:solidFill>
              <a:prstDash val="solid"/>
            </a:ln>
          </c:spPr>
          <c:marker>
            <c:symbol val="none"/>
          </c:marker>
          <c:cat>
            <c:numRef>
              <c:f>'22'!$A$11:$A$20</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'22'!$G$11:$G$20</c:f>
              <c:numCache>
                <c:formatCode>0.0</c:formatCode>
                <c:ptCount val="10"/>
                <c:pt idx="0">
                  <c:v>5.3702656868287173</c:v>
                </c:pt>
                <c:pt idx="1">
                  <c:v>8.310249307479225</c:v>
                </c:pt>
                <c:pt idx="2">
                  <c:v>4.9086446686664855</c:v>
                </c:pt>
                <c:pt idx="3">
                  <c:v>6.2128579146407352</c:v>
                </c:pt>
                <c:pt idx="4">
                  <c:v>7.3866530820173208</c:v>
                </c:pt>
                <c:pt idx="5">
                  <c:v>6.2195781503515413</c:v>
                </c:pt>
                <c:pt idx="6">
                  <c:v>7.349081364829396</c:v>
                </c:pt>
                <c:pt idx="7">
                  <c:v>4.5735808447672852</c:v>
                </c:pt>
                <c:pt idx="8">
                  <c:v>5.329070077271516</c:v>
                </c:pt>
                <c:pt idx="9">
                  <c:v>5.8123443122059228</c:v>
                </c:pt>
              </c:numCache>
            </c:numRef>
          </c:val>
          <c:smooth val="0"/>
        </c:ser>
        <c:dLbls>
          <c:showLegendKey val="0"/>
          <c:showVal val="0"/>
          <c:showCatName val="0"/>
          <c:showSerName val="0"/>
          <c:showPercent val="0"/>
          <c:showBubbleSize val="0"/>
        </c:dLbls>
        <c:smooth val="0"/>
        <c:axId val="332655536"/>
        <c:axId val="332655928"/>
      </c:lineChart>
      <c:catAx>
        <c:axId val="332655536"/>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s-ES"/>
                  <a:t>0/00</a:t>
                </a:r>
              </a:p>
            </c:rich>
          </c:tx>
          <c:layout>
            <c:manualLayout>
              <c:xMode val="edge"/>
              <c:yMode val="edge"/>
              <c:x val="6.1124694376529023E-3"/>
              <c:y val="0.1352040816326532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75" b="1" i="1" u="none" strike="noStrike" baseline="0">
                <a:solidFill>
                  <a:srgbClr val="000000"/>
                </a:solidFill>
                <a:latin typeface="Arial"/>
                <a:ea typeface="Arial"/>
                <a:cs typeface="Arial"/>
              </a:defRPr>
            </a:pPr>
            <a:endParaRPr lang="es-CL"/>
          </a:p>
        </c:txPr>
        <c:crossAx val="332655928"/>
        <c:crosses val="autoZero"/>
        <c:auto val="1"/>
        <c:lblAlgn val="ctr"/>
        <c:lblOffset val="100"/>
        <c:tickLblSkip val="1"/>
        <c:tickMarkSkip val="1"/>
        <c:noMultiLvlLbl val="0"/>
      </c:catAx>
      <c:valAx>
        <c:axId val="332655928"/>
        <c:scaling>
          <c:orientation val="minMax"/>
          <c:max val="9"/>
          <c:min val="3"/>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175" b="1" i="1" u="none" strike="noStrike" baseline="0">
                <a:solidFill>
                  <a:srgbClr val="000000"/>
                </a:solidFill>
                <a:latin typeface="Arial"/>
                <a:ea typeface="Arial"/>
                <a:cs typeface="Arial"/>
              </a:defRPr>
            </a:pPr>
            <a:endParaRPr lang="es-CL"/>
          </a:p>
        </c:txPr>
        <c:crossAx val="332655536"/>
        <c:crosses val="autoZero"/>
        <c:crossBetween val="between"/>
        <c:majorUnit val="1"/>
      </c:valAx>
      <c:spPr>
        <a:noFill/>
        <a:ln w="25400">
          <a:noFill/>
        </a:ln>
      </c:spPr>
    </c:plotArea>
    <c:legend>
      <c:legendPos val="b"/>
      <c:layout>
        <c:manualLayout>
          <c:xMode val="edge"/>
          <c:yMode val="edge"/>
          <c:x val="0.22874654181740803"/>
          <c:y val="0.92346938775510157"/>
          <c:w val="0.44851509777494036"/>
          <c:h val="6.8877551020408739E-2"/>
        </c:manualLayout>
      </c:layout>
      <c:overlay val="0"/>
      <c:spPr>
        <a:noFill/>
        <a:ln w="3175">
          <a:solidFill>
            <a:srgbClr val="000000"/>
          </a:solidFill>
          <a:prstDash val="solid"/>
        </a:ln>
      </c:spPr>
      <c:txPr>
        <a:bodyPr/>
        <a:lstStyle/>
        <a:p>
          <a:pPr>
            <a:defRPr sz="910"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3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RURALIDAD SEGÚN COMUNAS  AÑO 2015
SERVICIO DE SALUD ACONCAGUA</a:t>
            </a:r>
          </a:p>
        </c:rich>
      </c:tx>
      <c:layout>
        <c:manualLayout>
          <c:xMode val="edge"/>
          <c:yMode val="edge"/>
          <c:x val="0.26069246435846088"/>
          <c:y val="4.0540540540540543E-2"/>
        </c:manualLayout>
      </c:layout>
      <c:overlay val="0"/>
      <c:spPr>
        <a:noFill/>
        <a:ln w="25400">
          <a:noFill/>
        </a:ln>
      </c:spPr>
    </c:title>
    <c:autoTitleDeleted val="0"/>
    <c:plotArea>
      <c:layout>
        <c:manualLayout>
          <c:layoutTarget val="inner"/>
          <c:xMode val="edge"/>
          <c:yMode val="edge"/>
          <c:x val="6.5173116089613028E-2"/>
          <c:y val="0.23423526461880903"/>
          <c:w val="0.92668024439920005"/>
          <c:h val="0.66216507498012245"/>
        </c:manualLayout>
      </c:layout>
      <c:barChart>
        <c:barDir val="col"/>
        <c:grouping val="clustered"/>
        <c:varyColors val="0"/>
        <c:ser>
          <c:idx val="0"/>
          <c:order val="0"/>
          <c:spPr>
            <a:gradFill rotWithShape="0">
              <a:gsLst>
                <a:gs pos="0">
                  <a:srgbClr val="8080FF"/>
                </a:gs>
                <a:gs pos="100000">
                  <a:srgbClr val="8080FF">
                    <a:gamma/>
                    <a:tint val="0"/>
                    <a:invGamma/>
                  </a:srgbClr>
                </a:gs>
              </a:gsLst>
              <a:lin ang="5400000" scaled="1"/>
            </a:gradFill>
            <a:ln w="12700">
              <a:solidFill>
                <a:srgbClr val="000000"/>
              </a:solidFill>
              <a:prstDash val="solid"/>
            </a:ln>
          </c:spPr>
          <c:invertIfNegative val="0"/>
          <c:cat>
            <c:strRef>
              <c:f>'6'!$I$12:$I$21</c:f>
              <c:strCache>
                <c:ptCount val="10"/>
                <c:pt idx="0">
                  <c:v>  LOS ANDES</c:v>
                </c:pt>
                <c:pt idx="1">
                  <c:v>  SAN EST.</c:v>
                </c:pt>
                <c:pt idx="2">
                  <c:v>  CALLE L.</c:v>
                </c:pt>
                <c:pt idx="3">
                  <c:v>  RINCO.</c:v>
                </c:pt>
                <c:pt idx="4">
                  <c:v>  SAN FELIPE</c:v>
                </c:pt>
                <c:pt idx="5">
                  <c:v>  PUTAENDO</c:v>
                </c:pt>
                <c:pt idx="6">
                  <c:v>  STA.  MARIA</c:v>
                </c:pt>
                <c:pt idx="7">
                  <c:v>  PANQ.</c:v>
                </c:pt>
                <c:pt idx="8">
                  <c:v>  LLAY - LLAY</c:v>
                </c:pt>
                <c:pt idx="9">
                  <c:v>  CATEMU</c:v>
                </c:pt>
              </c:strCache>
            </c:strRef>
          </c:cat>
          <c:val>
            <c:numRef>
              <c:f>'6'!$J$12:$J$21</c:f>
              <c:numCache>
                <c:formatCode>0.0</c:formatCode>
                <c:ptCount val="10"/>
                <c:pt idx="0">
                  <c:v>7.1</c:v>
                </c:pt>
                <c:pt idx="1">
                  <c:v>47.6</c:v>
                </c:pt>
                <c:pt idx="2">
                  <c:v>47.5</c:v>
                </c:pt>
                <c:pt idx="3">
                  <c:v>14.42</c:v>
                </c:pt>
                <c:pt idx="4">
                  <c:v>10</c:v>
                </c:pt>
                <c:pt idx="5">
                  <c:v>56.999999999999993</c:v>
                </c:pt>
                <c:pt idx="6">
                  <c:v>38</c:v>
                </c:pt>
                <c:pt idx="7">
                  <c:v>55.000000000000007</c:v>
                </c:pt>
                <c:pt idx="8">
                  <c:v>25</c:v>
                </c:pt>
                <c:pt idx="9">
                  <c:v>45</c:v>
                </c:pt>
              </c:numCache>
            </c:numRef>
          </c:val>
        </c:ser>
        <c:dLbls>
          <c:showLegendKey val="0"/>
          <c:showVal val="0"/>
          <c:showCatName val="0"/>
          <c:showSerName val="0"/>
          <c:showPercent val="0"/>
          <c:showBubbleSize val="0"/>
        </c:dLbls>
        <c:gapWidth val="150"/>
        <c:axId val="331479848"/>
        <c:axId val="331480232"/>
      </c:barChart>
      <c:catAx>
        <c:axId val="33147984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L"/>
          </a:p>
        </c:txPr>
        <c:crossAx val="331480232"/>
        <c:crosses val="autoZero"/>
        <c:auto val="0"/>
        <c:lblAlgn val="ctr"/>
        <c:lblOffset val="100"/>
        <c:tickLblSkip val="1"/>
        <c:tickMarkSkip val="1"/>
        <c:noMultiLvlLbl val="0"/>
      </c:catAx>
      <c:valAx>
        <c:axId val="331480232"/>
        <c:scaling>
          <c:orientation val="minMax"/>
          <c:max val="65"/>
          <c:min val="0"/>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331479848"/>
        <c:crosses val="autoZero"/>
        <c:crossBetween val="between"/>
        <c:majorUnit val="10"/>
      </c:valAx>
      <c:spPr>
        <a:solidFill>
          <a:srgbClr val="E3E3E3"/>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1" i="0" u="none" strike="noStrike" baseline="0">
                <a:solidFill>
                  <a:srgbClr val="000000"/>
                </a:solidFill>
                <a:latin typeface="Arial"/>
                <a:ea typeface="Arial"/>
                <a:cs typeface="Arial"/>
              </a:defRPr>
            </a:pPr>
            <a:r>
              <a:rPr lang="es-ES" sz="1400"/>
              <a:t>TASA MORT. INFANTIL TARDIA  PAIS REGION SERV. SALUD
AÑOS  2006 - 2015 (tasa x mil nac. vivos)</a:t>
            </a:r>
            <a:r>
              <a:rPr lang="es-ES"/>
              <a:t>
 </a:t>
            </a:r>
          </a:p>
        </c:rich>
      </c:tx>
      <c:layout>
        <c:manualLayout>
          <c:xMode val="edge"/>
          <c:yMode val="edge"/>
          <c:x val="0.15892420537897844"/>
          <c:y val="3.3163265306122451E-2"/>
        </c:manualLayout>
      </c:layout>
      <c:overlay val="0"/>
      <c:spPr>
        <a:noFill/>
        <a:ln w="25400">
          <a:noFill/>
        </a:ln>
      </c:spPr>
    </c:title>
    <c:autoTitleDeleted val="0"/>
    <c:plotArea>
      <c:layout>
        <c:manualLayout>
          <c:layoutTarget val="inner"/>
          <c:xMode val="edge"/>
          <c:yMode val="edge"/>
          <c:x val="6.1124694376528114E-2"/>
          <c:y val="0.22959183673469391"/>
          <c:w val="0.92176039119804398"/>
          <c:h val="0.57653061224490065"/>
        </c:manualLayout>
      </c:layout>
      <c:lineChart>
        <c:grouping val="standard"/>
        <c:varyColors val="0"/>
        <c:ser>
          <c:idx val="0"/>
          <c:order val="0"/>
          <c:tx>
            <c:v>PAIS</c:v>
          </c:tx>
          <c:spPr>
            <a:ln w="38100">
              <a:solidFill>
                <a:srgbClr val="FF0000"/>
              </a:solidFill>
              <a:prstDash val="solid"/>
            </a:ln>
          </c:spPr>
          <c:marker>
            <c:symbol val="none"/>
          </c:marker>
          <c:cat>
            <c:numRef>
              <c:f>'23'!$A$11:$A$20</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'23'!$C$11:$C$19</c:f>
              <c:numCache>
                <c:formatCode>0.0</c:formatCode>
                <c:ptCount val="9"/>
                <c:pt idx="0">
                  <c:v>2.4223911053083209</c:v>
                </c:pt>
                <c:pt idx="1">
                  <c:v>2.697745131251704</c:v>
                </c:pt>
                <c:pt idx="2">
                  <c:v>2.3312369648019455</c:v>
                </c:pt>
                <c:pt idx="3">
                  <c:v>2.529337139232477</c:v>
                </c:pt>
                <c:pt idx="4">
                  <c:v>2.3049454814708659</c:v>
                </c:pt>
                <c:pt idx="5">
                  <c:v>2.2581254344480648</c:v>
                </c:pt>
                <c:pt idx="6">
                  <c:v>2.0708773138465828</c:v>
                </c:pt>
                <c:pt idx="7">
                  <c:v>1.8140121071878681</c:v>
                </c:pt>
              </c:numCache>
            </c:numRef>
          </c:val>
          <c:smooth val="0"/>
        </c:ser>
        <c:ser>
          <c:idx val="1"/>
          <c:order val="1"/>
          <c:tx>
            <c:v>REGION</c:v>
          </c:tx>
          <c:spPr>
            <a:ln w="38100">
              <a:solidFill>
                <a:srgbClr val="333399"/>
              </a:solidFill>
              <a:prstDash val="solid"/>
            </a:ln>
          </c:spPr>
          <c:marker>
            <c:symbol val="none"/>
          </c:marker>
          <c:cat>
            <c:numRef>
              <c:f>'23'!$A$11:$A$20</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'23'!$E$11:$E$19</c:f>
              <c:numCache>
                <c:formatCode>0.0</c:formatCode>
                <c:ptCount val="9"/>
                <c:pt idx="0">
                  <c:v>2.4547407180116601</c:v>
                </c:pt>
                <c:pt idx="1">
                  <c:v>2.5425214799228479</c:v>
                </c:pt>
                <c:pt idx="2">
                  <c:v>2.1117958884626988</c:v>
                </c:pt>
                <c:pt idx="3">
                  <c:v>2.6121761112281443</c:v>
                </c:pt>
                <c:pt idx="4">
                  <c:v>2.3509655751469354</c:v>
                </c:pt>
                <c:pt idx="5">
                  <c:v>2.5322866548493286</c:v>
                </c:pt>
                <c:pt idx="6">
                  <c:v>2.243956137008341</c:v>
                </c:pt>
                <c:pt idx="7">
                  <c:v>1.7295801444199421</c:v>
                </c:pt>
              </c:numCache>
            </c:numRef>
          </c:val>
          <c:smooth val="0"/>
        </c:ser>
        <c:ser>
          <c:idx val="2"/>
          <c:order val="2"/>
          <c:tx>
            <c:v>S. SALUD</c:v>
          </c:tx>
          <c:spPr>
            <a:ln w="38100">
              <a:solidFill>
                <a:srgbClr val="336666"/>
              </a:solidFill>
              <a:prstDash val="solid"/>
            </a:ln>
          </c:spPr>
          <c:marker>
            <c:symbol val="none"/>
          </c:marker>
          <c:cat>
            <c:numRef>
              <c:f>'23'!$A$11:$A$20</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'23'!$G$11:$G$20</c:f>
              <c:numCache>
                <c:formatCode>0.0</c:formatCode>
                <c:ptCount val="10"/>
                <c:pt idx="0">
                  <c:v>3.3917467495760318</c:v>
                </c:pt>
                <c:pt idx="1">
                  <c:v>0.83102493074792239</c:v>
                </c:pt>
                <c:pt idx="2">
                  <c:v>1.0908099263703299</c:v>
                </c:pt>
                <c:pt idx="3">
                  <c:v>2.4311183144246353</c:v>
                </c:pt>
                <c:pt idx="4">
                  <c:v>2.0376974019358127</c:v>
                </c:pt>
                <c:pt idx="5">
                  <c:v>1.6224986479177934</c:v>
                </c:pt>
                <c:pt idx="6">
                  <c:v>1.5748031496062991</c:v>
                </c:pt>
                <c:pt idx="7">
                  <c:v>1.6142050040355125</c:v>
                </c:pt>
                <c:pt idx="8">
                  <c:v>2.1316280309086064</c:v>
                </c:pt>
                <c:pt idx="9">
                  <c:v>1.9374481040686411</c:v>
                </c:pt>
              </c:numCache>
            </c:numRef>
          </c:val>
          <c:smooth val="0"/>
        </c:ser>
        <c:dLbls>
          <c:showLegendKey val="0"/>
          <c:showVal val="0"/>
          <c:showCatName val="0"/>
          <c:showSerName val="0"/>
          <c:showPercent val="0"/>
          <c:showBubbleSize val="0"/>
        </c:dLbls>
        <c:smooth val="0"/>
        <c:axId val="333904904"/>
        <c:axId val="333905296"/>
      </c:lineChart>
      <c:catAx>
        <c:axId val="333904904"/>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s-ES"/>
                  <a:t>0/00</a:t>
                </a:r>
              </a:p>
            </c:rich>
          </c:tx>
          <c:layout>
            <c:manualLayout>
              <c:xMode val="edge"/>
              <c:yMode val="edge"/>
              <c:x val="1.7114914425427872E-2"/>
              <c:y val="0.1326530612244896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75" b="1" i="1" u="none" strike="noStrike" baseline="0">
                <a:solidFill>
                  <a:srgbClr val="000000"/>
                </a:solidFill>
                <a:latin typeface="Arial"/>
                <a:ea typeface="Arial"/>
                <a:cs typeface="Arial"/>
              </a:defRPr>
            </a:pPr>
            <a:endParaRPr lang="es-CL"/>
          </a:p>
        </c:txPr>
        <c:crossAx val="333905296"/>
        <c:crosses val="autoZero"/>
        <c:auto val="1"/>
        <c:lblAlgn val="ctr"/>
        <c:lblOffset val="100"/>
        <c:tickLblSkip val="1"/>
        <c:tickMarkSkip val="1"/>
        <c:noMultiLvlLbl val="0"/>
      </c:catAx>
      <c:valAx>
        <c:axId val="333905296"/>
        <c:scaling>
          <c:orientation val="minMax"/>
          <c:max val="4.0999999999999996"/>
          <c:min val="0.60000000000000064"/>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175" b="1" i="1" u="none" strike="noStrike" baseline="0">
                <a:solidFill>
                  <a:srgbClr val="000000"/>
                </a:solidFill>
                <a:latin typeface="Arial"/>
                <a:ea typeface="Arial"/>
                <a:cs typeface="Arial"/>
              </a:defRPr>
            </a:pPr>
            <a:endParaRPr lang="es-CL"/>
          </a:p>
        </c:txPr>
        <c:crossAx val="333904904"/>
        <c:crosses val="autoZero"/>
        <c:crossBetween val="between"/>
      </c:valAx>
      <c:spPr>
        <a:noFill/>
        <a:ln w="25400">
          <a:noFill/>
        </a:ln>
      </c:spPr>
    </c:plotArea>
    <c:legend>
      <c:legendPos val="b"/>
      <c:layout>
        <c:manualLayout>
          <c:xMode val="edge"/>
          <c:yMode val="edge"/>
          <c:x val="0.30402873516243006"/>
          <c:y val="0.91326530612244849"/>
          <c:w val="0.46391030705936848"/>
          <c:h val="6.8877551020408739E-2"/>
        </c:manualLayout>
      </c:layout>
      <c:overlay val="0"/>
      <c:spPr>
        <a:noFill/>
        <a:ln w="3175">
          <a:solidFill>
            <a:srgbClr val="000000"/>
          </a:solidFill>
          <a:prstDash val="solid"/>
        </a:ln>
      </c:spPr>
      <c:txPr>
        <a:bodyPr/>
        <a:lstStyle/>
        <a:p>
          <a:pPr>
            <a:defRPr sz="910"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3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1" i="0" u="none" strike="noStrike" baseline="0">
                <a:solidFill>
                  <a:srgbClr val="000000"/>
                </a:solidFill>
                <a:latin typeface="Arial"/>
                <a:ea typeface="Arial"/>
                <a:cs typeface="Arial"/>
              </a:defRPr>
            </a:pPr>
            <a:r>
              <a:rPr lang="es-ES" sz="1400"/>
              <a:t>TASA MORT. INFANTIL  PAIS REGION SERV. SALUD
AÑOS  2006 - 2015 (tasa x mil nac. vivos)
 </a:t>
            </a:r>
          </a:p>
        </c:rich>
      </c:tx>
      <c:layout>
        <c:manualLayout>
          <c:xMode val="edge"/>
          <c:yMode val="edge"/>
          <c:x val="0.20271939112747189"/>
          <c:y val="3.3078880407125012E-2"/>
        </c:manualLayout>
      </c:layout>
      <c:overlay val="0"/>
      <c:spPr>
        <a:noFill/>
        <a:ln w="25400">
          <a:noFill/>
        </a:ln>
      </c:spPr>
    </c:title>
    <c:autoTitleDeleted val="0"/>
    <c:plotArea>
      <c:layout>
        <c:manualLayout>
          <c:layoutTarget val="inner"/>
          <c:xMode val="edge"/>
          <c:yMode val="edge"/>
          <c:x val="5.4388133498145932E-2"/>
          <c:y val="0.23409727381837558"/>
          <c:w val="0.94066749072929545"/>
          <c:h val="0.58778772013089997"/>
        </c:manualLayout>
      </c:layout>
      <c:lineChart>
        <c:grouping val="standard"/>
        <c:varyColors val="0"/>
        <c:ser>
          <c:idx val="0"/>
          <c:order val="0"/>
          <c:tx>
            <c:v>PAIS</c:v>
          </c:tx>
          <c:spPr>
            <a:ln w="38100">
              <a:solidFill>
                <a:srgbClr val="FF0000"/>
              </a:solidFill>
              <a:prstDash val="solid"/>
            </a:ln>
          </c:spPr>
          <c:marker>
            <c:symbol val="none"/>
          </c:marker>
          <c:cat>
            <c:numRef>
              <c:f>'24'!$A$11:$A$20</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'24'!$C$11:$C$19</c:f>
              <c:numCache>
                <c:formatCode>0.0</c:formatCode>
                <c:ptCount val="9"/>
                <c:pt idx="0">
                  <c:v>7.5504699028169542</c:v>
                </c:pt>
                <c:pt idx="1">
                  <c:v>8.2998008708800519</c:v>
                </c:pt>
                <c:pt idx="2">
                  <c:v>7.843263570698082</c:v>
                </c:pt>
                <c:pt idx="3">
                  <c:v>7.917063114494133</c:v>
                </c:pt>
                <c:pt idx="4">
                  <c:v>7.4124498903259965</c:v>
                </c:pt>
                <c:pt idx="5">
                  <c:v>7.6663760301190536</c:v>
                </c:pt>
                <c:pt idx="6">
                  <c:v>7.4305538469109074</c:v>
                </c:pt>
                <c:pt idx="7">
                  <c:v>6.991591082828867</c:v>
                </c:pt>
              </c:numCache>
            </c:numRef>
          </c:val>
          <c:smooth val="0"/>
        </c:ser>
        <c:ser>
          <c:idx val="1"/>
          <c:order val="1"/>
          <c:tx>
            <c:v>REGION</c:v>
          </c:tx>
          <c:spPr>
            <a:ln w="38100">
              <a:solidFill>
                <a:srgbClr val="333399"/>
              </a:solidFill>
              <a:prstDash val="solid"/>
            </a:ln>
          </c:spPr>
          <c:marker>
            <c:symbol val="none"/>
          </c:marker>
          <c:cat>
            <c:numRef>
              <c:f>'24'!$A$11:$A$20</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'24'!$E$11:$E$19</c:f>
              <c:numCache>
                <c:formatCode>0.0</c:formatCode>
                <c:ptCount val="9"/>
                <c:pt idx="0">
                  <c:v>7.5833954324288779</c:v>
                </c:pt>
                <c:pt idx="1">
                  <c:v>8.8111520252498696</c:v>
                </c:pt>
                <c:pt idx="2">
                  <c:v>7.2835409214325733</c:v>
                </c:pt>
                <c:pt idx="3">
                  <c:v>8.4263745523488502</c:v>
                </c:pt>
                <c:pt idx="4">
                  <c:v>7.3887489504617969</c:v>
                </c:pt>
                <c:pt idx="5">
                  <c:v>7.0904026335781216</c:v>
                </c:pt>
                <c:pt idx="6">
                  <c:v>7.5786443117828863</c:v>
                </c:pt>
                <c:pt idx="7">
                  <c:v>6.7453625632377738</c:v>
                </c:pt>
              </c:numCache>
            </c:numRef>
          </c:val>
          <c:smooth val="0"/>
        </c:ser>
        <c:ser>
          <c:idx val="2"/>
          <c:order val="2"/>
          <c:tx>
            <c:v>S. SALUD</c:v>
          </c:tx>
          <c:spPr>
            <a:ln w="38100">
              <a:solidFill>
                <a:srgbClr val="336666"/>
              </a:solidFill>
              <a:prstDash val="solid"/>
            </a:ln>
          </c:spPr>
          <c:marker>
            <c:symbol val="none"/>
          </c:marker>
          <c:cat>
            <c:numRef>
              <c:f>'24'!$A$11:$A$20</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'24'!$G$11:$G$20</c:f>
              <c:numCache>
                <c:formatCode>0.0</c:formatCode>
                <c:ptCount val="10"/>
                <c:pt idx="0">
                  <c:v>8.7620124364047491</c:v>
                </c:pt>
                <c:pt idx="1">
                  <c:v>9.1412742382271475</c:v>
                </c:pt>
                <c:pt idx="2">
                  <c:v>5.9994545950368146</c:v>
                </c:pt>
                <c:pt idx="3">
                  <c:v>8.6439762290653697</c:v>
                </c:pt>
                <c:pt idx="4">
                  <c:v>9.4243504839531322</c:v>
                </c:pt>
                <c:pt idx="5">
                  <c:v>7.8420767982693338</c:v>
                </c:pt>
                <c:pt idx="6">
                  <c:v>8.9238845144356951</c:v>
                </c:pt>
                <c:pt idx="7">
                  <c:v>6.1877858488027986</c:v>
                </c:pt>
                <c:pt idx="8">
                  <c:v>7.4606981081801225</c:v>
                </c:pt>
                <c:pt idx="9">
                  <c:v>7.7497924162745644</c:v>
                </c:pt>
              </c:numCache>
            </c:numRef>
          </c:val>
          <c:smooth val="0"/>
        </c:ser>
        <c:dLbls>
          <c:showLegendKey val="0"/>
          <c:showVal val="0"/>
          <c:showCatName val="0"/>
          <c:showSerName val="0"/>
          <c:showPercent val="0"/>
          <c:showBubbleSize val="0"/>
        </c:dLbls>
        <c:smooth val="0"/>
        <c:axId val="333906080"/>
        <c:axId val="333906472"/>
      </c:lineChart>
      <c:catAx>
        <c:axId val="333906080"/>
        <c:scaling>
          <c:orientation val="minMax"/>
        </c:scaling>
        <c:delete val="0"/>
        <c:axPos val="b"/>
        <c:title>
          <c:tx>
            <c:rich>
              <a:bodyPr/>
              <a:lstStyle/>
              <a:p>
                <a:pPr>
                  <a:defRPr sz="950" b="1" i="0" u="none" strike="noStrike" baseline="0">
                    <a:solidFill>
                      <a:srgbClr val="000000"/>
                    </a:solidFill>
                    <a:latin typeface="Arial"/>
                    <a:ea typeface="Arial"/>
                    <a:cs typeface="Arial"/>
                  </a:defRPr>
                </a:pPr>
                <a:r>
                  <a:rPr lang="es-ES"/>
                  <a:t>0/00</a:t>
                </a:r>
              </a:p>
            </c:rich>
          </c:tx>
          <c:layout>
            <c:manualLayout>
              <c:xMode val="edge"/>
              <c:yMode val="edge"/>
              <c:x val="6.1804927195839134E-3"/>
              <c:y val="0.1399493765569509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1" i="1" u="none" strike="noStrike" baseline="0">
                <a:solidFill>
                  <a:srgbClr val="000000"/>
                </a:solidFill>
                <a:latin typeface="Arial"/>
                <a:ea typeface="Arial"/>
                <a:cs typeface="Arial"/>
              </a:defRPr>
            </a:pPr>
            <a:endParaRPr lang="es-CL"/>
          </a:p>
        </c:txPr>
        <c:crossAx val="333906472"/>
        <c:crosses val="autoZero"/>
        <c:auto val="1"/>
        <c:lblAlgn val="ctr"/>
        <c:lblOffset val="100"/>
        <c:tickLblSkip val="1"/>
        <c:tickMarkSkip val="1"/>
        <c:noMultiLvlLbl val="0"/>
      </c:catAx>
      <c:valAx>
        <c:axId val="333906472"/>
        <c:scaling>
          <c:orientation val="minMax"/>
          <c:max val="11"/>
          <c:min val="5"/>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950" b="1" i="1" u="none" strike="noStrike" baseline="0">
                <a:solidFill>
                  <a:srgbClr val="000000"/>
                </a:solidFill>
                <a:latin typeface="Arial"/>
                <a:ea typeface="Arial"/>
                <a:cs typeface="Arial"/>
              </a:defRPr>
            </a:pPr>
            <a:endParaRPr lang="es-CL"/>
          </a:p>
        </c:txPr>
        <c:crossAx val="333906080"/>
        <c:crosses val="autoZero"/>
        <c:crossBetween val="between"/>
        <c:majorUnit val="2"/>
      </c:valAx>
      <c:spPr>
        <a:noFill/>
        <a:ln w="25400">
          <a:noFill/>
        </a:ln>
      </c:spPr>
    </c:plotArea>
    <c:legend>
      <c:legendPos val="b"/>
      <c:layout>
        <c:manualLayout>
          <c:xMode val="edge"/>
          <c:yMode val="edge"/>
          <c:x val="0.28661128202348202"/>
          <c:y val="0.92112199715493581"/>
          <c:w val="0.42167048396058937"/>
          <c:h val="6.8702557218515994E-2"/>
        </c:manualLayout>
      </c:layout>
      <c:overlay val="0"/>
      <c:spPr>
        <a:noFill/>
        <a:ln w="3175">
          <a:solidFill>
            <a:srgbClr val="000000"/>
          </a:solidFill>
          <a:prstDash val="solid"/>
        </a:ln>
      </c:spPr>
      <c:txPr>
        <a:bodyPr/>
        <a:lstStyle/>
        <a:p>
          <a:pPr>
            <a:defRPr sz="910"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3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sz="1200"/>
              <a:t>TASA MORT. MATERNA PAIS REGION SERV. SALUD
AÑOS  2006 - 2015 (tasa x 10mil nac. vivos)
 </a:t>
            </a:r>
          </a:p>
        </c:rich>
      </c:tx>
      <c:layout>
        <c:manualLayout>
          <c:xMode val="edge"/>
          <c:yMode val="edge"/>
          <c:x val="0.1926492252984506"/>
          <c:y val="2.6289461908864452E-3"/>
        </c:manualLayout>
      </c:layout>
      <c:overlay val="0"/>
      <c:spPr>
        <a:noFill/>
        <a:ln w="25400">
          <a:noFill/>
        </a:ln>
      </c:spPr>
    </c:title>
    <c:autoTitleDeleted val="0"/>
    <c:plotArea>
      <c:layout>
        <c:manualLayout>
          <c:layoutTarget val="inner"/>
          <c:xMode val="edge"/>
          <c:yMode val="edge"/>
          <c:x val="5.7034291124909049E-2"/>
          <c:y val="0.24489795918367346"/>
          <c:w val="0.92268808753179465"/>
          <c:h val="0.55102040816326525"/>
        </c:manualLayout>
      </c:layout>
      <c:lineChart>
        <c:grouping val="standard"/>
        <c:varyColors val="0"/>
        <c:ser>
          <c:idx val="0"/>
          <c:order val="0"/>
          <c:tx>
            <c:v>PAIS</c:v>
          </c:tx>
          <c:spPr>
            <a:ln w="38100">
              <a:solidFill>
                <a:srgbClr val="FF0000"/>
              </a:solidFill>
              <a:prstDash val="solid"/>
            </a:ln>
          </c:spPr>
          <c:marker>
            <c:symbol val="none"/>
          </c:marker>
          <c:cat>
            <c:numRef>
              <c:f>'25'!$A$11:$A$20</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'25'!$C$11:$C$19</c:f>
              <c:numCache>
                <c:formatCode>0.0</c:formatCode>
                <c:ptCount val="9"/>
                <c:pt idx="0">
                  <c:v>1.9297013889744252</c:v>
                </c:pt>
                <c:pt idx="1">
                  <c:v>1.8177761986994638</c:v>
                </c:pt>
                <c:pt idx="2">
                  <c:v>1.6507895605678715</c:v>
                </c:pt>
                <c:pt idx="3">
                  <c:v>1.9822391373295274</c:v>
                </c:pt>
                <c:pt idx="4">
                  <c:v>1.8312174809613095</c:v>
                </c:pt>
                <c:pt idx="5">
                  <c:v>1.8482877221461032</c:v>
                </c:pt>
                <c:pt idx="6">
                  <c:v>2.2144034643111974</c:v>
                </c:pt>
                <c:pt idx="7">
                  <c:v>2.1487159356211647</c:v>
                </c:pt>
              </c:numCache>
            </c:numRef>
          </c:val>
          <c:smooth val="0"/>
        </c:ser>
        <c:ser>
          <c:idx val="1"/>
          <c:order val="1"/>
          <c:tx>
            <c:v>REGION</c:v>
          </c:tx>
          <c:spPr>
            <a:ln w="38100">
              <a:solidFill>
                <a:srgbClr val="333399"/>
              </a:solidFill>
              <a:prstDash val="solid"/>
            </a:ln>
          </c:spPr>
          <c:marker>
            <c:symbol val="none"/>
          </c:marker>
          <c:cat>
            <c:numRef>
              <c:f>'25'!$A$11:$A$20</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'25'!$E$11:$E$19</c:f>
              <c:numCache>
                <c:formatCode>0.0</c:formatCode>
                <c:ptCount val="9"/>
                <c:pt idx="0">
                  <c:v>4.8218121246657608</c:v>
                </c:pt>
                <c:pt idx="1">
                  <c:v>1.7534630896019641</c:v>
                </c:pt>
                <c:pt idx="2">
                  <c:v>1.2929362582424686</c:v>
                </c:pt>
                <c:pt idx="3">
                  <c:v>2.106593638087213</c:v>
                </c:pt>
                <c:pt idx="4">
                  <c:v>1.6792611251049538</c:v>
                </c:pt>
                <c:pt idx="5">
                  <c:v>0</c:v>
                </c:pt>
              </c:numCache>
            </c:numRef>
          </c:val>
          <c:smooth val="0"/>
        </c:ser>
        <c:ser>
          <c:idx val="2"/>
          <c:order val="2"/>
          <c:tx>
            <c:v>S. SALUD</c:v>
          </c:tx>
          <c:spPr>
            <a:ln w="38100">
              <a:solidFill>
                <a:srgbClr val="336666"/>
              </a:solidFill>
              <a:prstDash val="solid"/>
            </a:ln>
          </c:spPr>
          <c:marker>
            <c:symbol val="none"/>
          </c:marker>
          <c:cat>
            <c:numRef>
              <c:f>'25'!$A$11:$A$20</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'25'!$G$11:$G$20</c:f>
              <c:numCache>
                <c:formatCode>0.0</c:formatCode>
                <c:ptCount val="10"/>
                <c:pt idx="0">
                  <c:v>8.4793668739400783</c:v>
                </c:pt>
                <c:pt idx="1">
                  <c:v>0</c:v>
                </c:pt>
                <c:pt idx="2">
                  <c:v>0</c:v>
                </c:pt>
                <c:pt idx="3">
                  <c:v>5.4024851431658565</c:v>
                </c:pt>
                <c:pt idx="4">
                  <c:v>0</c:v>
                </c:pt>
                <c:pt idx="5">
                  <c:v>0</c:v>
                </c:pt>
                <c:pt idx="6">
                  <c:v>2.6246719160104988</c:v>
                </c:pt>
                <c:pt idx="7">
                  <c:v>0</c:v>
                </c:pt>
                <c:pt idx="8">
                  <c:v>5.329070077271516</c:v>
                </c:pt>
                <c:pt idx="9">
                  <c:v>2.767783005812344</c:v>
                </c:pt>
              </c:numCache>
            </c:numRef>
          </c:val>
          <c:smooth val="0"/>
        </c:ser>
        <c:dLbls>
          <c:showLegendKey val="0"/>
          <c:showVal val="0"/>
          <c:showCatName val="0"/>
          <c:showSerName val="0"/>
          <c:showPercent val="0"/>
          <c:showBubbleSize val="0"/>
        </c:dLbls>
        <c:smooth val="0"/>
        <c:axId val="333907256"/>
        <c:axId val="333907648"/>
      </c:lineChart>
      <c:catAx>
        <c:axId val="33390725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0/000</a:t>
                </a:r>
              </a:p>
            </c:rich>
          </c:tx>
          <c:layout>
            <c:manualLayout>
              <c:xMode val="edge"/>
              <c:yMode val="edge"/>
              <c:x val="6.3371356147021813E-3"/>
              <c:y val="0.1530612244898019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25" b="1" i="1" u="none" strike="noStrike" baseline="0">
                <a:solidFill>
                  <a:srgbClr val="000000"/>
                </a:solidFill>
                <a:latin typeface="Arial"/>
                <a:ea typeface="Arial"/>
                <a:cs typeface="Arial"/>
              </a:defRPr>
            </a:pPr>
            <a:endParaRPr lang="es-CL"/>
          </a:p>
        </c:txPr>
        <c:crossAx val="333907648"/>
        <c:crosses val="autoZero"/>
        <c:auto val="1"/>
        <c:lblAlgn val="ctr"/>
        <c:lblOffset val="100"/>
        <c:tickLblSkip val="1"/>
        <c:tickMarkSkip val="1"/>
        <c:noMultiLvlLbl val="0"/>
      </c:catAx>
      <c:valAx>
        <c:axId val="333907648"/>
        <c:scaling>
          <c:orientation val="minMax"/>
          <c:max val="9"/>
          <c:min val="0"/>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125" b="1" i="1" u="none" strike="noStrike" baseline="0">
                <a:solidFill>
                  <a:srgbClr val="000000"/>
                </a:solidFill>
                <a:latin typeface="Arial"/>
                <a:ea typeface="Arial"/>
                <a:cs typeface="Arial"/>
              </a:defRPr>
            </a:pPr>
            <a:endParaRPr lang="es-CL"/>
          </a:p>
        </c:txPr>
        <c:crossAx val="333907256"/>
        <c:crosses val="autoZero"/>
        <c:crossBetween val="between"/>
      </c:valAx>
      <c:spPr>
        <a:noFill/>
        <a:ln w="25400">
          <a:noFill/>
        </a:ln>
      </c:spPr>
    </c:plotArea>
    <c:legend>
      <c:legendPos val="b"/>
      <c:layout>
        <c:manualLayout>
          <c:xMode val="edge"/>
          <c:yMode val="edge"/>
          <c:x val="0.29676459797364052"/>
          <c:y val="0.90561224489791725"/>
          <c:w val="0.4665409834523373"/>
          <c:h val="6.8877551020412403E-2"/>
        </c:manualLayout>
      </c:layout>
      <c:overlay val="0"/>
      <c:spPr>
        <a:noFill/>
        <a:ln w="3175">
          <a:solidFill>
            <a:srgbClr val="000000"/>
          </a:solidFill>
          <a:prstDash val="solid"/>
        </a:ln>
      </c:spPr>
      <c:txPr>
        <a:bodyPr/>
        <a:lstStyle/>
        <a:p>
          <a:pPr>
            <a:defRPr sz="910"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3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199546979915906E-2"/>
          <c:y val="0.21794926369508302"/>
          <c:w val="0.92166517751753363"/>
          <c:h val="0.58461684849972051"/>
        </c:manualLayout>
      </c:layout>
      <c:lineChart>
        <c:grouping val="standard"/>
        <c:varyColors val="0"/>
        <c:ser>
          <c:idx val="0"/>
          <c:order val="0"/>
          <c:tx>
            <c:v>PAIS</c:v>
          </c:tx>
          <c:spPr>
            <a:ln w="38100">
              <a:solidFill>
                <a:srgbClr val="FF0000"/>
              </a:solidFill>
              <a:prstDash val="solid"/>
            </a:ln>
          </c:spPr>
          <c:marker>
            <c:symbol val="none"/>
          </c:marker>
          <c:cat>
            <c:numRef>
              <c:f>'26'!$A$11:$A$20</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'26'!$C$11:$C$20</c:f>
              <c:numCache>
                <c:formatCode>0.0</c:formatCode>
                <c:ptCount val="10"/>
                <c:pt idx="0">
                  <c:v>5.2115072689934694</c:v>
                </c:pt>
                <c:pt idx="1">
                  <c:v>5.60305972849621</c:v>
                </c:pt>
                <c:pt idx="2">
                  <c:v>5.3788386294722992</c:v>
                </c:pt>
                <c:pt idx="3">
                  <c:v>5.432434870295265</c:v>
                </c:pt>
                <c:pt idx="4">
                  <c:v>5.7288202421045176</c:v>
                </c:pt>
                <c:pt idx="5">
                  <c:v>5.5068716319437394</c:v>
                </c:pt>
                <c:pt idx="6">
                  <c:v>5.6721886289601056</c:v>
                </c:pt>
                <c:pt idx="7">
                  <c:v>5.6826935865075763</c:v>
                </c:pt>
              </c:numCache>
            </c:numRef>
          </c:val>
          <c:smooth val="0"/>
        </c:ser>
        <c:ser>
          <c:idx val="1"/>
          <c:order val="1"/>
          <c:tx>
            <c:v>REGION</c:v>
          </c:tx>
          <c:spPr>
            <a:ln w="38100">
              <a:solidFill>
                <a:srgbClr val="333399"/>
              </a:solidFill>
              <a:prstDash val="solid"/>
            </a:ln>
          </c:spPr>
          <c:marker>
            <c:symbol val="none"/>
          </c:marker>
          <c:cat>
            <c:numRef>
              <c:f>'26'!$A$11:$A$20</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'26'!$E$11:$E$20</c:f>
              <c:numCache>
                <c:formatCode>0.0</c:formatCode>
                <c:ptCount val="10"/>
                <c:pt idx="0">
                  <c:v>6.0332757631517149</c:v>
                </c:pt>
                <c:pt idx="1">
                  <c:v>6.4139451581826288</c:v>
                </c:pt>
                <c:pt idx="2">
                  <c:v>6.154291439903103</c:v>
                </c:pt>
                <c:pt idx="3">
                  <c:v>6.203315638585738</c:v>
                </c:pt>
                <c:pt idx="4">
                  <c:v>6.510467738423924</c:v>
                </c:pt>
                <c:pt idx="5">
                  <c:v>6.2847755517673995</c:v>
                </c:pt>
                <c:pt idx="6">
                  <c:v>6.5025212096237537</c:v>
                </c:pt>
                <c:pt idx="7">
                  <c:v>6.4837308628786285</c:v>
                </c:pt>
              </c:numCache>
            </c:numRef>
          </c:val>
          <c:smooth val="0"/>
        </c:ser>
        <c:ser>
          <c:idx val="2"/>
          <c:order val="2"/>
          <c:tx>
            <c:v>S. SALUD</c:v>
          </c:tx>
          <c:spPr>
            <a:ln w="38100">
              <a:solidFill>
                <a:srgbClr val="336666"/>
              </a:solidFill>
              <a:prstDash val="solid"/>
            </a:ln>
          </c:spPr>
          <c:marker>
            <c:symbol val="none"/>
          </c:marker>
          <c:cat>
            <c:numRef>
              <c:f>'26'!$A$11:$A$20</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'26'!$G$11:$G$20</c:f>
              <c:numCache>
                <c:formatCode>0.0</c:formatCode>
                <c:ptCount val="10"/>
                <c:pt idx="0">
                  <c:v>5.4158591796199653</c:v>
                </c:pt>
                <c:pt idx="1">
                  <c:v>5.7816083744037838</c:v>
                </c:pt>
                <c:pt idx="2">
                  <c:v>5.2760217151183291</c:v>
                </c:pt>
                <c:pt idx="3">
                  <c:v>5.5032814717700607</c:v>
                </c:pt>
                <c:pt idx="4">
                  <c:v>5.6093109215460162</c:v>
                </c:pt>
                <c:pt idx="5">
                  <c:v>5.5454469954926724</c:v>
                </c:pt>
                <c:pt idx="6">
                  <c:v>5.5689928036071548</c:v>
                </c:pt>
                <c:pt idx="7">
                  <c:v>5.4733951658442423</c:v>
                </c:pt>
                <c:pt idx="8">
                  <c:v>6.2270046136775097</c:v>
                </c:pt>
                <c:pt idx="9">
                  <c:v>5.6753975847067535</c:v>
                </c:pt>
              </c:numCache>
            </c:numRef>
          </c:val>
          <c:smooth val="0"/>
        </c:ser>
        <c:dLbls>
          <c:showLegendKey val="0"/>
          <c:showVal val="0"/>
          <c:showCatName val="0"/>
          <c:showSerName val="0"/>
          <c:showPercent val="0"/>
          <c:showBubbleSize val="0"/>
        </c:dLbls>
        <c:smooth val="0"/>
        <c:axId val="333618776"/>
        <c:axId val="333619168"/>
      </c:lineChart>
      <c:catAx>
        <c:axId val="33361877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0/00</a:t>
                </a:r>
              </a:p>
            </c:rich>
          </c:tx>
          <c:layout>
            <c:manualLayout>
              <c:xMode val="edge"/>
              <c:yMode val="edge"/>
              <c:x val="9.7919216646266682E-3"/>
              <c:y val="0.102564371761228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75" b="1" i="1" u="none" strike="noStrike" baseline="0">
                <a:solidFill>
                  <a:srgbClr val="000000"/>
                </a:solidFill>
                <a:latin typeface="Arial"/>
                <a:ea typeface="Arial"/>
                <a:cs typeface="Arial"/>
              </a:defRPr>
            </a:pPr>
            <a:endParaRPr lang="es-CL"/>
          </a:p>
        </c:txPr>
        <c:crossAx val="333619168"/>
        <c:crosses val="autoZero"/>
        <c:auto val="1"/>
        <c:lblAlgn val="ctr"/>
        <c:lblOffset val="100"/>
        <c:tickLblSkip val="1"/>
        <c:tickMarkSkip val="1"/>
        <c:noMultiLvlLbl val="0"/>
      </c:catAx>
      <c:valAx>
        <c:axId val="333619168"/>
        <c:scaling>
          <c:orientation val="minMax"/>
          <c:max val="6.7"/>
          <c:min val="4.7"/>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175" b="1" i="1" u="none" strike="noStrike" baseline="0">
                <a:solidFill>
                  <a:srgbClr val="000000"/>
                </a:solidFill>
                <a:latin typeface="Arial"/>
                <a:ea typeface="Arial"/>
                <a:cs typeface="Arial"/>
              </a:defRPr>
            </a:pPr>
            <a:endParaRPr lang="es-CL"/>
          </a:p>
        </c:txPr>
        <c:crossAx val="333618776"/>
        <c:crosses val="autoZero"/>
        <c:crossBetween val="between"/>
        <c:majorUnit val="0.5"/>
      </c:valAx>
      <c:spPr>
        <a:noFill/>
        <a:ln w="25400">
          <a:noFill/>
        </a:ln>
      </c:spPr>
    </c:plotArea>
    <c:legend>
      <c:legendPos val="r"/>
      <c:layout>
        <c:manualLayout>
          <c:xMode val="edge"/>
          <c:yMode val="edge"/>
          <c:x val="0.3353735740193089"/>
          <c:y val="0.92307934585099938"/>
          <c:w val="0.42966377907424796"/>
          <c:h val="6.9231038427888802E-2"/>
        </c:manualLayout>
      </c:layout>
      <c:overlay val="0"/>
      <c:spPr>
        <a:noFill/>
        <a:ln w="3175">
          <a:solidFill>
            <a:srgbClr val="000000"/>
          </a:solidFill>
          <a:prstDash val="solid"/>
        </a:ln>
      </c:spPr>
      <c:txPr>
        <a:bodyPr/>
        <a:lstStyle/>
        <a:p>
          <a:pPr>
            <a:defRPr sz="910"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3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25" b="0" i="0" u="none" strike="noStrike" baseline="0">
                <a:solidFill>
                  <a:srgbClr val="000000"/>
                </a:solidFill>
                <a:latin typeface="Arial"/>
                <a:ea typeface="Arial"/>
                <a:cs typeface="Arial"/>
              </a:defRPr>
            </a:pPr>
            <a:r>
              <a:rPr lang="es-ES" sz="2150" b="1" i="1" strike="noStrike">
                <a:solidFill>
                  <a:srgbClr val="000000"/>
                </a:solidFill>
                <a:latin typeface="Arial Narrow"/>
              </a:rPr>
              <a:t>PRINCIPALES  CAUSAS  DE  MUERTE </a:t>
            </a:r>
          </a:p>
          <a:p>
            <a:pPr>
              <a:defRPr sz="1825" b="0" i="0" u="none" strike="noStrike" baseline="0">
                <a:solidFill>
                  <a:srgbClr val="000000"/>
                </a:solidFill>
                <a:latin typeface="Arial"/>
                <a:ea typeface="Arial"/>
                <a:cs typeface="Arial"/>
              </a:defRPr>
            </a:pPr>
            <a:r>
              <a:rPr lang="es-ES" sz="2000" b="1" i="1" strike="noStrike">
                <a:solidFill>
                  <a:srgbClr val="000000"/>
                </a:solidFill>
                <a:latin typeface="Arial Narrow"/>
              </a:rPr>
              <a:t>SERVICIO DE  SALUD  ACONCAGUA 1992 - 2015</a:t>
            </a:r>
          </a:p>
        </c:rich>
      </c:tx>
      <c:layout>
        <c:manualLayout>
          <c:xMode val="edge"/>
          <c:yMode val="edge"/>
          <c:x val="0.31725816548642582"/>
          <c:y val="2.1477198162730008E-3"/>
        </c:manualLayout>
      </c:layout>
      <c:overlay val="0"/>
      <c:spPr>
        <a:noFill/>
        <a:ln w="25400">
          <a:noFill/>
        </a:ln>
      </c:spPr>
    </c:title>
    <c:autoTitleDeleted val="0"/>
    <c:plotArea>
      <c:layout>
        <c:manualLayout>
          <c:layoutTarget val="inner"/>
          <c:xMode val="edge"/>
          <c:yMode val="edge"/>
          <c:x val="0.30654031484576455"/>
          <c:y val="0.16440493766404199"/>
          <c:w val="0.67214984253991239"/>
          <c:h val="0.78685335499151343"/>
        </c:manualLayout>
      </c:layout>
      <c:barChart>
        <c:barDir val="bar"/>
        <c:grouping val="clustered"/>
        <c:varyColors val="0"/>
        <c:ser>
          <c:idx val="0"/>
          <c:order val="0"/>
          <c:tx>
            <c:strRef>
              <c:f>'27'!$G$65</c:f>
              <c:strCache>
                <c:ptCount val="1"/>
                <c:pt idx="0">
                  <c:v>2015</c:v>
                </c:pt>
              </c:strCache>
            </c:strRef>
          </c:tx>
          <c:spPr>
            <a:solidFill>
              <a:srgbClr val="FF0000"/>
            </a:solidFill>
            <a:ln w="12700">
              <a:solidFill>
                <a:srgbClr val="000000"/>
              </a:solidFill>
              <a:prstDash val="solid"/>
            </a:ln>
            <a:effectLst>
              <a:outerShdw dist="35921" dir="2700000" algn="br">
                <a:srgbClr val="000000"/>
              </a:outerShdw>
            </a:effectLst>
          </c:spPr>
          <c:invertIfNegative val="0"/>
          <c:cat>
            <c:numRef>
              <c:f>'27'!$G$65:$H$65</c:f>
              <c:numCache>
                <c:formatCode>General</c:formatCode>
                <c:ptCount val="2"/>
                <c:pt idx="0">
                  <c:v>2015</c:v>
                </c:pt>
                <c:pt idx="1">
                  <c:v>1992</c:v>
                </c:pt>
              </c:numCache>
            </c:numRef>
          </c:cat>
          <c:val>
            <c:numRef>
              <c:f>'27'!$G$66:$G$77</c:f>
              <c:numCache>
                <c:formatCode>General</c:formatCode>
                <c:ptCount val="12"/>
                <c:pt idx="0">
                  <c:v>406</c:v>
                </c:pt>
                <c:pt idx="1">
                  <c:v>375</c:v>
                </c:pt>
                <c:pt idx="2">
                  <c:v>172</c:v>
                </c:pt>
                <c:pt idx="3">
                  <c:v>92</c:v>
                </c:pt>
                <c:pt idx="4">
                  <c:v>106</c:v>
                </c:pt>
                <c:pt idx="5">
                  <c:v>46</c:v>
                </c:pt>
                <c:pt idx="6">
                  <c:v>100</c:v>
                </c:pt>
                <c:pt idx="7">
                  <c:v>58</c:v>
                </c:pt>
                <c:pt idx="8">
                  <c:v>75</c:v>
                </c:pt>
                <c:pt idx="9">
                  <c:v>14</c:v>
                </c:pt>
                <c:pt idx="10">
                  <c:v>10</c:v>
                </c:pt>
                <c:pt idx="11">
                  <c:v>118</c:v>
                </c:pt>
              </c:numCache>
            </c:numRef>
          </c:val>
        </c:ser>
        <c:ser>
          <c:idx val="1"/>
          <c:order val="1"/>
          <c:tx>
            <c:v>1992</c:v>
          </c:tx>
          <c:spPr>
            <a:solidFill>
              <a:srgbClr val="FFFF00"/>
            </a:solidFill>
            <a:ln w="12700">
              <a:solidFill>
                <a:srgbClr val="000000"/>
              </a:solidFill>
              <a:prstDash val="solid"/>
            </a:ln>
            <a:effectLst>
              <a:outerShdw dist="35921" dir="2700000" algn="br">
                <a:srgbClr val="000000"/>
              </a:outerShdw>
            </a:effectLst>
          </c:spPr>
          <c:invertIfNegative val="0"/>
          <c:cat>
            <c:numRef>
              <c:f>'27'!$G$65:$H$65</c:f>
              <c:numCache>
                <c:formatCode>General</c:formatCode>
                <c:ptCount val="2"/>
                <c:pt idx="0">
                  <c:v>2015</c:v>
                </c:pt>
                <c:pt idx="1">
                  <c:v>1992</c:v>
                </c:pt>
              </c:numCache>
            </c:numRef>
          </c:cat>
          <c:val>
            <c:numRef>
              <c:f>'27'!$H$66:$H$77</c:f>
              <c:numCache>
                <c:formatCode>General</c:formatCode>
                <c:ptCount val="12"/>
                <c:pt idx="0">
                  <c:v>294</c:v>
                </c:pt>
                <c:pt idx="1">
                  <c:v>170</c:v>
                </c:pt>
                <c:pt idx="2">
                  <c:v>151</c:v>
                </c:pt>
                <c:pt idx="3">
                  <c:v>100</c:v>
                </c:pt>
                <c:pt idx="4">
                  <c:v>52</c:v>
                </c:pt>
                <c:pt idx="5">
                  <c:v>36</c:v>
                </c:pt>
                <c:pt idx="6">
                  <c:v>59</c:v>
                </c:pt>
                <c:pt idx="7">
                  <c:v>28</c:v>
                </c:pt>
                <c:pt idx="8">
                  <c:v>23</c:v>
                </c:pt>
                <c:pt idx="9">
                  <c:v>28</c:v>
                </c:pt>
                <c:pt idx="10">
                  <c:v>10</c:v>
                </c:pt>
                <c:pt idx="11">
                  <c:v>26</c:v>
                </c:pt>
              </c:numCache>
            </c:numRef>
          </c:val>
        </c:ser>
        <c:dLbls>
          <c:showLegendKey val="0"/>
          <c:showVal val="0"/>
          <c:showCatName val="0"/>
          <c:showSerName val="0"/>
          <c:showPercent val="0"/>
          <c:showBubbleSize val="0"/>
        </c:dLbls>
        <c:gapWidth val="150"/>
        <c:axId val="333619952"/>
        <c:axId val="333620344"/>
      </c:barChart>
      <c:catAx>
        <c:axId val="333619952"/>
        <c:scaling>
          <c:orientation val="minMax"/>
        </c:scaling>
        <c:delete val="1"/>
        <c:axPos val="l"/>
        <c:numFmt formatCode="General" sourceLinked="1"/>
        <c:majorTickMark val="out"/>
        <c:minorTickMark val="none"/>
        <c:tickLblPos val="nextTo"/>
        <c:crossAx val="333620344"/>
        <c:crosses val="autoZero"/>
        <c:auto val="1"/>
        <c:lblAlgn val="ctr"/>
        <c:lblOffset val="100"/>
        <c:noMultiLvlLbl val="0"/>
      </c:catAx>
      <c:valAx>
        <c:axId val="33362034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AP. CIRCULATORIO</a:t>
                </a:r>
              </a:p>
            </c:rich>
          </c:tx>
          <c:layout>
            <c:manualLayout>
              <c:xMode val="edge"/>
              <c:yMode val="edge"/>
              <c:x val="1.4645439560755121E-2"/>
              <c:y val="0.9094256479658794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1" i="0" u="none" strike="noStrike" baseline="0">
                <a:solidFill>
                  <a:srgbClr val="000000"/>
                </a:solidFill>
                <a:latin typeface="Arial"/>
                <a:ea typeface="Arial"/>
                <a:cs typeface="Arial"/>
              </a:defRPr>
            </a:pPr>
            <a:endParaRPr lang="es-CL"/>
          </a:p>
        </c:txPr>
        <c:crossAx val="333619952"/>
        <c:crosses val="autoZero"/>
        <c:crossBetween val="between"/>
      </c:valAx>
      <c:spPr>
        <a:noFill/>
        <a:ln w="25400">
          <a:noFill/>
        </a:ln>
      </c:spPr>
    </c:plotArea>
    <c:legend>
      <c:legendPos val="r"/>
      <c:layout>
        <c:manualLayout>
          <c:xMode val="edge"/>
          <c:yMode val="edge"/>
          <c:x val="0.90789565777963765"/>
          <c:y val="0.49203229078437088"/>
          <c:w val="8.7719413362801091E-2"/>
          <c:h val="0.12151415336031172"/>
        </c:manualLayout>
      </c:layout>
      <c:overlay val="0"/>
      <c:spPr>
        <a:gradFill rotWithShape="0">
          <a:gsLst>
            <a:gs pos="0">
              <a:srgbClr val="336666"/>
            </a:gs>
            <a:gs pos="100000">
              <a:srgbClr val="336666">
                <a:gamma/>
                <a:tint val="47451"/>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15" b="1" i="0"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336666">
            <a:gamma/>
            <a:tint val="0"/>
            <a:invGamma/>
          </a:srgbClr>
        </a:gs>
        <a:gs pos="50000">
          <a:srgbClr val="336666"/>
        </a:gs>
        <a:gs pos="100000">
          <a:srgbClr val="336666">
            <a:gamma/>
            <a:tint val="0"/>
            <a:invGamma/>
          </a:srgbClr>
        </a:gs>
      </a:gsLst>
      <a:lin ang="2700000" scaled="1"/>
    </a:gradFill>
    <a:ln w="3175">
      <a:solidFill>
        <a:srgbClr val="000000"/>
      </a:solidFill>
      <a:prstDash val="solid"/>
    </a:ln>
  </c:spPr>
  <c:txPr>
    <a:bodyPr/>
    <a:lstStyle/>
    <a:p>
      <a:pPr>
        <a:defRPr sz="182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5" orientation="landscape" horizontalDpi="300" verticalDpi="300"/>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Arial"/>
                <a:ea typeface="Arial"/>
                <a:cs typeface="Arial"/>
              </a:defRPr>
            </a:pPr>
            <a:r>
              <a:rPr lang="es-ES" sz="2100" b="1" i="1" strike="noStrike">
                <a:solidFill>
                  <a:srgbClr val="000000"/>
                </a:solidFill>
                <a:latin typeface="Arial Narrow"/>
              </a:rPr>
              <a:t>PRINCIPALES  CAUSAS  DE  MUERTE </a:t>
            </a:r>
          </a:p>
          <a:p>
            <a:pPr>
              <a:defRPr sz="1800" b="0" i="0" u="none" strike="noStrike" baseline="0">
                <a:solidFill>
                  <a:srgbClr val="000000"/>
                </a:solidFill>
                <a:latin typeface="Arial"/>
                <a:ea typeface="Arial"/>
                <a:cs typeface="Arial"/>
              </a:defRPr>
            </a:pPr>
            <a:r>
              <a:rPr lang="es-ES" sz="1950" b="1" i="1" strike="noStrike">
                <a:solidFill>
                  <a:srgbClr val="000000"/>
                </a:solidFill>
                <a:latin typeface="Arial Narrow"/>
              </a:rPr>
              <a:t>PAIS   2003  SERVICIO DE  SALUD  2015</a:t>
            </a:r>
          </a:p>
        </c:rich>
      </c:tx>
      <c:layout>
        <c:manualLayout>
          <c:xMode val="edge"/>
          <c:yMode val="edge"/>
          <c:x val="0.41776361836349402"/>
          <c:y val="9.9601593625498266E-3"/>
        </c:manualLayout>
      </c:layout>
      <c:overlay val="0"/>
      <c:spPr>
        <a:noFill/>
        <a:ln w="25400">
          <a:noFill/>
        </a:ln>
      </c:spPr>
    </c:title>
    <c:autoTitleDeleted val="0"/>
    <c:plotArea>
      <c:layout>
        <c:manualLayout>
          <c:layoutTarget val="inner"/>
          <c:xMode val="edge"/>
          <c:yMode val="edge"/>
          <c:x val="0.26973713093768303"/>
          <c:y val="0.14342643432757646"/>
          <c:w val="0.6600884261158354"/>
          <c:h val="0.78884538880161847"/>
        </c:manualLayout>
      </c:layout>
      <c:barChart>
        <c:barDir val="bar"/>
        <c:grouping val="clustered"/>
        <c:varyColors val="0"/>
        <c:ser>
          <c:idx val="0"/>
          <c:order val="0"/>
          <c:tx>
            <c:strRef>
              <c:f>'27'!$J$65</c:f>
              <c:strCache>
                <c:ptCount val="1"/>
                <c:pt idx="0">
                  <c:v>Paìs</c:v>
                </c:pt>
              </c:strCache>
            </c:strRef>
          </c:tx>
          <c:spPr>
            <a:solidFill>
              <a:srgbClr val="FF0000"/>
            </a:solidFill>
            <a:ln w="12700">
              <a:solidFill>
                <a:srgbClr val="000000"/>
              </a:solidFill>
              <a:prstDash val="solid"/>
            </a:ln>
            <a:effectLst>
              <a:outerShdw dist="35921" dir="2700000" algn="br">
                <a:srgbClr val="000000"/>
              </a:outerShdw>
            </a:effectLst>
          </c:spPr>
          <c:invertIfNegative val="0"/>
          <c:cat>
            <c:strRef>
              <c:f>'27'!$J$65:$K$65</c:f>
              <c:strCache>
                <c:ptCount val="2"/>
                <c:pt idx="0">
                  <c:v>Paìs</c:v>
                </c:pt>
                <c:pt idx="1">
                  <c:v>SS</c:v>
                </c:pt>
              </c:strCache>
            </c:strRef>
          </c:cat>
          <c:val>
            <c:numRef>
              <c:f>'27'!$J$66:$J$77</c:f>
              <c:numCache>
                <c:formatCode>0.00</c:formatCode>
                <c:ptCount val="12"/>
                <c:pt idx="0">
                  <c:v>28.409742805239507</c:v>
                </c:pt>
                <c:pt idx="1">
                  <c:v>23.544315900181662</c:v>
                </c:pt>
                <c:pt idx="2">
                  <c:v>8.8823023233578748</c:v>
                </c:pt>
                <c:pt idx="3">
                  <c:v>8.8524237498804847</c:v>
                </c:pt>
                <c:pt idx="4">
                  <c:v>7.8891385409694994</c:v>
                </c:pt>
                <c:pt idx="5">
                  <c:v>1.5273926761640693</c:v>
                </c:pt>
                <c:pt idx="6">
                  <c:v>2.845635337986423</c:v>
                </c:pt>
                <c:pt idx="7">
                  <c:v>2.7093890429295344</c:v>
                </c:pt>
                <c:pt idx="8">
                  <c:v>4.9574529113681995</c:v>
                </c:pt>
                <c:pt idx="9">
                  <c:v>0.88201548905249072</c:v>
                </c:pt>
                <c:pt idx="10">
                  <c:v>1.0947509322114923</c:v>
                </c:pt>
                <c:pt idx="11">
                  <c:v>8.4054402906587633</c:v>
                </c:pt>
              </c:numCache>
            </c:numRef>
          </c:val>
        </c:ser>
        <c:ser>
          <c:idx val="1"/>
          <c:order val="1"/>
          <c:tx>
            <c:strRef>
              <c:f>'27'!$K$65</c:f>
              <c:strCache>
                <c:ptCount val="1"/>
                <c:pt idx="0">
                  <c:v>SS</c:v>
                </c:pt>
              </c:strCache>
            </c:strRef>
          </c:tx>
          <c:spPr>
            <a:solidFill>
              <a:srgbClr val="FFFF00"/>
            </a:solidFill>
            <a:ln w="12700">
              <a:solidFill>
                <a:srgbClr val="000000"/>
              </a:solidFill>
              <a:prstDash val="solid"/>
            </a:ln>
            <a:effectLst>
              <a:outerShdw dist="35921" dir="2700000" algn="br">
                <a:srgbClr val="000000"/>
              </a:outerShdw>
            </a:effectLst>
          </c:spPr>
          <c:invertIfNegative val="0"/>
          <c:cat>
            <c:strRef>
              <c:f>'27'!$J$65:$K$65</c:f>
              <c:strCache>
                <c:ptCount val="2"/>
                <c:pt idx="0">
                  <c:v>Paìs</c:v>
                </c:pt>
                <c:pt idx="1">
                  <c:v>SS</c:v>
                </c:pt>
              </c:strCache>
            </c:strRef>
          </c:cat>
          <c:val>
            <c:numRef>
              <c:f>'27'!$K$66:$K$77</c:f>
              <c:numCache>
                <c:formatCode>0.00</c:formatCode>
                <c:ptCount val="12"/>
                <c:pt idx="0">
                  <c:v>25.826972010178118</c:v>
                </c:pt>
                <c:pt idx="1">
                  <c:v>23.854961832061068</c:v>
                </c:pt>
                <c:pt idx="2">
                  <c:v>10.941475826972011</c:v>
                </c:pt>
                <c:pt idx="3">
                  <c:v>5.8524173027989823</c:v>
                </c:pt>
                <c:pt idx="4">
                  <c:v>6.7430025445292623</c:v>
                </c:pt>
                <c:pt idx="5">
                  <c:v>2.9262086513994912</c:v>
                </c:pt>
                <c:pt idx="6">
                  <c:v>6.3613231552162848</c:v>
                </c:pt>
                <c:pt idx="7">
                  <c:v>3.6895674300254448</c:v>
                </c:pt>
                <c:pt idx="8">
                  <c:v>4.770992366412214</c:v>
                </c:pt>
                <c:pt idx="9">
                  <c:v>0.89058524173027986</c:v>
                </c:pt>
                <c:pt idx="10">
                  <c:v>0.63613231552162841</c:v>
                </c:pt>
                <c:pt idx="11">
                  <c:v>7.5063613231552164</c:v>
                </c:pt>
              </c:numCache>
            </c:numRef>
          </c:val>
        </c:ser>
        <c:dLbls>
          <c:showLegendKey val="0"/>
          <c:showVal val="0"/>
          <c:showCatName val="0"/>
          <c:showSerName val="0"/>
          <c:showPercent val="0"/>
          <c:showBubbleSize val="0"/>
        </c:dLbls>
        <c:gapWidth val="150"/>
        <c:axId val="333621128"/>
        <c:axId val="333621520"/>
      </c:barChart>
      <c:catAx>
        <c:axId val="333621128"/>
        <c:scaling>
          <c:orientation val="minMax"/>
        </c:scaling>
        <c:delete val="1"/>
        <c:axPos val="l"/>
        <c:numFmt formatCode="General" sourceLinked="0"/>
        <c:majorTickMark val="out"/>
        <c:minorTickMark val="none"/>
        <c:tickLblPos val="nextTo"/>
        <c:crossAx val="333621520"/>
        <c:crosses val="autoZero"/>
        <c:auto val="1"/>
        <c:lblAlgn val="ctr"/>
        <c:lblOffset val="100"/>
        <c:noMultiLvlLbl val="0"/>
      </c:catAx>
      <c:valAx>
        <c:axId val="33362152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AP. CIRCULATORIO</a:t>
                </a:r>
              </a:p>
            </c:rich>
          </c:tx>
          <c:layout>
            <c:manualLayout>
              <c:xMode val="edge"/>
              <c:yMode val="edge"/>
              <c:x val="3.3991228070175482E-2"/>
              <c:y val="0.87848689232571064"/>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925" b="1" i="0" u="none" strike="noStrike" baseline="0">
                <a:solidFill>
                  <a:srgbClr val="000000"/>
                </a:solidFill>
                <a:latin typeface="Arial"/>
                <a:ea typeface="Arial"/>
                <a:cs typeface="Arial"/>
              </a:defRPr>
            </a:pPr>
            <a:endParaRPr lang="es-CL"/>
          </a:p>
        </c:txPr>
        <c:crossAx val="333621128"/>
        <c:crosses val="autoZero"/>
        <c:crossBetween val="between"/>
      </c:valAx>
      <c:spPr>
        <a:noFill/>
        <a:ln w="25400">
          <a:noFill/>
        </a:ln>
      </c:spPr>
    </c:plotArea>
    <c:legend>
      <c:legendPos val="r"/>
      <c:layout>
        <c:manualLayout>
          <c:xMode val="edge"/>
          <c:yMode val="edge"/>
          <c:x val="0.9133781139199707"/>
          <c:y val="0.49402432265689228"/>
          <c:w val="8.2236957222452278E-2"/>
          <c:h val="0.12151415336031662"/>
        </c:manualLayout>
      </c:layout>
      <c:overlay val="0"/>
      <c:spPr>
        <a:gradFill rotWithShape="0">
          <a:gsLst>
            <a:gs pos="0">
              <a:srgbClr val="336666"/>
            </a:gs>
            <a:gs pos="100000">
              <a:srgbClr val="336666">
                <a:gamma/>
                <a:tint val="44314"/>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15" b="1" i="0"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336666">
            <a:gamma/>
            <a:tint val="0"/>
            <a:invGamma/>
          </a:srgbClr>
        </a:gs>
        <a:gs pos="50000">
          <a:srgbClr val="336666"/>
        </a:gs>
        <a:gs pos="100000">
          <a:srgbClr val="336666">
            <a:gamma/>
            <a:tint val="0"/>
            <a:invGamma/>
          </a:srgbClr>
        </a:gs>
      </a:gsLst>
      <a:lin ang="2700000" scaled="1"/>
    </a:gradFill>
    <a:ln w="3175">
      <a:solidFill>
        <a:srgbClr val="000000"/>
      </a:solidFill>
      <a:prstDash val="solid"/>
    </a:ln>
  </c:spPr>
  <c:txPr>
    <a:bodyPr/>
    <a:lstStyle/>
    <a:p>
      <a:pPr>
        <a:defRPr sz="1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318887964557229E-2"/>
          <c:y val="0.16484683769367539"/>
          <c:w val="0.89521522954593757"/>
          <c:h val="0.60779552959105965"/>
        </c:manualLayout>
      </c:layout>
      <c:lineChart>
        <c:grouping val="standard"/>
        <c:varyColors val="0"/>
        <c:ser>
          <c:idx val="1"/>
          <c:order val="0"/>
          <c:tx>
            <c:strRef>
              <c:f>'28'!$B$28</c:f>
              <c:strCache>
                <c:ptCount val="1"/>
                <c:pt idx="0">
                  <c:v> ENF. APARATO CIRCULATORIO</c:v>
                </c:pt>
              </c:strCache>
            </c:strRef>
          </c:tx>
          <c:marker>
            <c:symbol val="none"/>
          </c:marker>
          <c:cat>
            <c:numRef>
              <c:f>'28'!$C$27:$L$27</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'28'!$C$28:$L$28</c:f>
              <c:numCache>
                <c:formatCode>0.00</c:formatCode>
                <c:ptCount val="10"/>
                <c:pt idx="0">
                  <c:v>1.4876524843796488</c:v>
                </c:pt>
                <c:pt idx="1">
                  <c:v>1.6190090712125902</c:v>
                </c:pt>
                <c:pt idx="2">
                  <c:v>1.5158280651453548</c:v>
                </c:pt>
                <c:pt idx="3">
                  <c:v>1.6204321410201374</c:v>
                </c:pt>
                <c:pt idx="4">
                  <c:v>1.7679448309569812</c:v>
                </c:pt>
                <c:pt idx="5">
                  <c:v>1.5666170885837025</c:v>
                </c:pt>
                <c:pt idx="6">
                  <c:v>1.6012720594822181</c:v>
                </c:pt>
                <c:pt idx="7">
                  <c:v>1.5353556230554315</c:v>
                </c:pt>
                <c:pt idx="8">
                  <c:v>1.7885300473047949</c:v>
                </c:pt>
                <c:pt idx="9">
                  <c:v>1.4657833456685381</c:v>
                </c:pt>
              </c:numCache>
            </c:numRef>
          </c:val>
          <c:smooth val="0"/>
        </c:ser>
        <c:ser>
          <c:idx val="2"/>
          <c:order val="1"/>
          <c:tx>
            <c:strRef>
              <c:f>'28'!$B$29</c:f>
              <c:strCache>
                <c:ptCount val="1"/>
                <c:pt idx="0">
                  <c:v> TUMORES</c:v>
                </c:pt>
              </c:strCache>
            </c:strRef>
          </c:tx>
          <c:marker>
            <c:symbol val="none"/>
          </c:marker>
          <c:cat>
            <c:numRef>
              <c:f>'28'!$C$27:$L$27</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'28'!$C$29:$L$29</c:f>
              <c:numCache>
                <c:formatCode>0.00</c:formatCode>
                <c:ptCount val="10"/>
                <c:pt idx="0">
                  <c:v>1.1539358459917817</c:v>
                </c:pt>
                <c:pt idx="1">
                  <c:v>1.1825115275033133</c:v>
                </c:pt>
                <c:pt idx="2">
                  <c:v>1.3474027245736488</c:v>
                </c:pt>
                <c:pt idx="3">
                  <c:v>1.2375615396812505</c:v>
                </c:pt>
                <c:pt idx="4">
                  <c:v>1.2066318932665356</c:v>
                </c:pt>
                <c:pt idx="5">
                  <c:v>1.3552181561483116</c:v>
                </c:pt>
                <c:pt idx="6">
                  <c:v>1.284003702708352</c:v>
                </c:pt>
                <c:pt idx="7">
                  <c:v>1.2327134088954665</c:v>
                </c:pt>
                <c:pt idx="8">
                  <c:v>1.4746247736961982</c:v>
                </c:pt>
                <c:pt idx="9">
                  <c:v>1.3538639276495117</c:v>
                </c:pt>
              </c:numCache>
            </c:numRef>
          </c:val>
          <c:smooth val="0"/>
        </c:ser>
        <c:ser>
          <c:idx val="3"/>
          <c:order val="2"/>
          <c:tx>
            <c:strRef>
              <c:f>'28'!$B$30</c:f>
              <c:strCache>
                <c:ptCount val="1"/>
                <c:pt idx="0">
                  <c:v> ENF. APARATO RESPIRATORIO</c:v>
                </c:pt>
              </c:strCache>
            </c:strRef>
          </c:tx>
          <c:marker>
            <c:symbol val="none"/>
          </c:marker>
          <c:cat>
            <c:numRef>
              <c:f>'28'!$C$27:$L$27</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'28'!$C$30:$L$30</c:f>
              <c:numCache>
                <c:formatCode>0.00</c:formatCode>
                <c:ptCount val="10"/>
                <c:pt idx="0">
                  <c:v>0.9167155849690809</c:v>
                </c:pt>
                <c:pt idx="1">
                  <c:v>1.2340976008507734</c:v>
                </c:pt>
                <c:pt idx="2">
                  <c:v>0.5013591533297298</c:v>
                </c:pt>
                <c:pt idx="3">
                  <c:v>0.58784173134859397</c:v>
                </c:pt>
                <c:pt idx="4">
                  <c:v>0.54603911625669188</c:v>
                </c:pt>
                <c:pt idx="5">
                  <c:v>0.4492227314252063</c:v>
                </c:pt>
                <c:pt idx="6">
                  <c:v>0.52629221535429538</c:v>
                </c:pt>
                <c:pt idx="7">
                  <c:v>0.6421920154126084</c:v>
                </c:pt>
                <c:pt idx="8">
                  <c:v>0.60956024061204228</c:v>
                </c:pt>
                <c:pt idx="9">
                  <c:v>0.62097225481524276</c:v>
                </c:pt>
              </c:numCache>
            </c:numRef>
          </c:val>
          <c:smooth val="0"/>
        </c:ser>
        <c:ser>
          <c:idx val="4"/>
          <c:order val="3"/>
          <c:tx>
            <c:strRef>
              <c:f>'28'!$B$31</c:f>
              <c:strCache>
                <c:ptCount val="1"/>
                <c:pt idx="0">
                  <c:v> TRAUMAT. Y  ENVENENAMIENTO</c:v>
                </c:pt>
              </c:strCache>
            </c:strRef>
          </c:tx>
          <c:marker>
            <c:symbol val="none"/>
          </c:marker>
          <c:cat>
            <c:numRef>
              <c:f>'28'!$C$27:$L$27</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'28'!$C$31:$L$31</c:f>
              <c:numCache>
                <c:formatCode>0.00</c:formatCode>
                <c:ptCount val="10"/>
                <c:pt idx="0">
                  <c:v>0.57897826419099852</c:v>
                </c:pt>
                <c:pt idx="1">
                  <c:v>0.40872042729141367</c:v>
                </c:pt>
                <c:pt idx="2">
                  <c:v>0.46219046947584469</c:v>
                </c:pt>
                <c:pt idx="3">
                  <c:v>0.52596365436453152</c:v>
                </c:pt>
                <c:pt idx="4">
                  <c:v>0.41621163406978606</c:v>
                </c:pt>
                <c:pt idx="5">
                  <c:v>0.4492227314252063</c:v>
                </c:pt>
                <c:pt idx="6">
                  <c:v>0.41804771716085881</c:v>
                </c:pt>
                <c:pt idx="7">
                  <c:v>0.36538511221751857</c:v>
                </c:pt>
                <c:pt idx="8">
                  <c:v>0.44895754248671382</c:v>
                </c:pt>
                <c:pt idx="9">
                  <c:v>0.33214795025001354</c:v>
                </c:pt>
              </c:numCache>
            </c:numRef>
          </c:val>
          <c:smooth val="0"/>
        </c:ser>
        <c:dLbls>
          <c:showLegendKey val="0"/>
          <c:showVal val="0"/>
          <c:showCatName val="0"/>
          <c:showSerName val="0"/>
          <c:showPercent val="0"/>
          <c:showBubbleSize val="0"/>
        </c:dLbls>
        <c:smooth val="0"/>
        <c:axId val="333622304"/>
        <c:axId val="335239120"/>
      </c:lineChart>
      <c:catAx>
        <c:axId val="333622304"/>
        <c:scaling>
          <c:orientation val="minMax"/>
        </c:scaling>
        <c:delete val="0"/>
        <c:axPos val="b"/>
        <c:numFmt formatCode="General" sourceLinked="1"/>
        <c:majorTickMark val="out"/>
        <c:minorTickMark val="none"/>
        <c:tickLblPos val="nextTo"/>
        <c:crossAx val="335239120"/>
        <c:crosses val="autoZero"/>
        <c:auto val="1"/>
        <c:lblAlgn val="ctr"/>
        <c:lblOffset val="100"/>
        <c:noMultiLvlLbl val="0"/>
      </c:catAx>
      <c:valAx>
        <c:axId val="335239120"/>
        <c:scaling>
          <c:orientation val="minMax"/>
        </c:scaling>
        <c:delete val="0"/>
        <c:axPos val="l"/>
        <c:majorGridlines/>
        <c:numFmt formatCode="0.00" sourceLinked="1"/>
        <c:majorTickMark val="out"/>
        <c:minorTickMark val="none"/>
        <c:tickLblPos val="nextTo"/>
        <c:spPr>
          <a:ln>
            <a:solidFill>
              <a:srgbClr val="4F81BD">
                <a:alpha val="74000"/>
              </a:srgbClr>
            </a:solidFill>
          </a:ln>
        </c:spPr>
        <c:crossAx val="333622304"/>
        <c:crosses val="autoZero"/>
        <c:crossBetween val="between"/>
      </c:valAx>
      <c:spPr>
        <a:scene3d>
          <a:camera prst="orthographicFront"/>
          <a:lightRig rig="threePt" dir="t"/>
        </a:scene3d>
        <a:sp3d>
          <a:bevelB/>
        </a:sp3d>
      </c:spPr>
    </c:plotArea>
    <c:legend>
      <c:legendPos val="r"/>
      <c:layout>
        <c:manualLayout>
          <c:xMode val="edge"/>
          <c:yMode val="edge"/>
          <c:x val="0"/>
          <c:y val="0.86977343154686693"/>
          <c:w val="0.94758381860744068"/>
          <c:h val="9.2481584963169911E-2"/>
        </c:manualLayout>
      </c:layout>
      <c:overlay val="0"/>
      <c:txPr>
        <a:bodyPr/>
        <a:lstStyle/>
        <a:p>
          <a:pPr>
            <a:defRPr sz="800" baseline="0"/>
          </a:pPr>
          <a:endParaRPr lang="es-CL"/>
        </a:p>
      </c:txPr>
    </c:legend>
    <c:plotVisOnly val="1"/>
    <c:dispBlanksAs val="gap"/>
    <c:showDLblsOverMax val="0"/>
  </c:chart>
  <c:printSettings>
    <c:headerFooter/>
    <c:pageMargins b="0.75000000000000322" l="0.70000000000000062" r="0.70000000000000062" t="0.75000000000000322"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318887964557229E-2"/>
          <c:y val="0.16484683769367539"/>
          <c:w val="0.89521522954593757"/>
          <c:h val="0.60779552959105965"/>
        </c:manualLayout>
      </c:layout>
      <c:lineChart>
        <c:grouping val="standard"/>
        <c:varyColors val="0"/>
        <c:ser>
          <c:idx val="1"/>
          <c:order val="0"/>
          <c:tx>
            <c:strRef>
              <c:f>'28'!$B$32</c:f>
              <c:strCache>
                <c:ptCount val="1"/>
                <c:pt idx="0">
                  <c:v> ENF. APARATO DIGESTIVO</c:v>
                </c:pt>
              </c:strCache>
            </c:strRef>
          </c:tx>
          <c:marker>
            <c:symbol val="none"/>
          </c:marker>
          <c:cat>
            <c:numRef>
              <c:f>'28'!$C$27:$L$27</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'28'!$C$32:$L$32</c:f>
              <c:numCache>
                <c:formatCode>0.00</c:formatCode>
                <c:ptCount val="10"/>
                <c:pt idx="0">
                  <c:v>0.24124094341291605</c:v>
                </c:pt>
                <c:pt idx="1">
                  <c:v>0.2817393236668968</c:v>
                </c:pt>
                <c:pt idx="2">
                  <c:v>0.30159886567491556</c:v>
                </c:pt>
                <c:pt idx="3">
                  <c:v>0.28618610605128919</c:v>
                </c:pt>
                <c:pt idx="4">
                  <c:v>0.40857472335290929</c:v>
                </c:pt>
                <c:pt idx="5">
                  <c:v>0.40392296018905105</c:v>
                </c:pt>
                <c:pt idx="6">
                  <c:v>0.3695243214189734</c:v>
                </c:pt>
                <c:pt idx="7">
                  <c:v>0.41336497543800077</c:v>
                </c:pt>
                <c:pt idx="8">
                  <c:v>0.39785668399229107</c:v>
                </c:pt>
                <c:pt idx="9">
                  <c:v>0.38269220354892863</c:v>
                </c:pt>
              </c:numCache>
            </c:numRef>
          </c:val>
          <c:smooth val="0"/>
        </c:ser>
        <c:ser>
          <c:idx val="2"/>
          <c:order val="1"/>
          <c:tx>
            <c:strRef>
              <c:f>'28'!$B$33</c:f>
              <c:strCache>
                <c:ptCount val="1"/>
                <c:pt idx="0">
                  <c:v> ENF. APARATO GENITOURINARIO</c:v>
                </c:pt>
              </c:strCache>
            </c:strRef>
          </c:tx>
          <c:marker>
            <c:symbol val="none"/>
          </c:marker>
          <c:cat>
            <c:numRef>
              <c:f>'28'!$C$27:$L$27</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'28'!$C$33:$L$33</c:f>
              <c:numCache>
                <c:formatCode>0.00</c:formatCode>
                <c:ptCount val="10"/>
                <c:pt idx="0">
                  <c:v>0.17691002516947177</c:v>
                </c:pt>
                <c:pt idx="1">
                  <c:v>0.23015325031943684</c:v>
                </c:pt>
                <c:pt idx="2">
                  <c:v>0.16842534057170611</c:v>
                </c:pt>
                <c:pt idx="3">
                  <c:v>0.15856257227166023</c:v>
                </c:pt>
                <c:pt idx="4">
                  <c:v>0.20619658935567384</c:v>
                </c:pt>
                <c:pt idx="5">
                  <c:v>0.22649885618077628</c:v>
                </c:pt>
                <c:pt idx="6">
                  <c:v>0.19409358296754159</c:v>
                </c:pt>
                <c:pt idx="7">
                  <c:v>0.21037324642826824</c:v>
                </c:pt>
                <c:pt idx="8">
                  <c:v>0.27010453775623433</c:v>
                </c:pt>
                <c:pt idx="9">
                  <c:v>0.20939762080979113</c:v>
                </c:pt>
              </c:numCache>
            </c:numRef>
          </c:val>
          <c:smooth val="0"/>
        </c:ser>
        <c:ser>
          <c:idx val="3"/>
          <c:order val="2"/>
          <c:tx>
            <c:strRef>
              <c:f>'28'!$B$34</c:f>
              <c:strCache>
                <c:ptCount val="1"/>
                <c:pt idx="0">
                  <c:v> INFECC.  Y PARASITARIAS</c:v>
                </c:pt>
              </c:strCache>
            </c:strRef>
          </c:tx>
          <c:marker>
            <c:symbol val="none"/>
          </c:marker>
          <c:cat>
            <c:numRef>
              <c:f>'28'!$C$27:$L$27</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'28'!$C$34:$L$34</c:f>
              <c:numCache>
                <c:formatCode>0.00</c:formatCode>
                <c:ptCount val="10"/>
                <c:pt idx="0">
                  <c:v>0.14072388365753435</c:v>
                </c:pt>
                <c:pt idx="1">
                  <c:v>0.17063085799544456</c:v>
                </c:pt>
                <c:pt idx="2">
                  <c:v>0.12533978833243245</c:v>
                </c:pt>
                <c:pt idx="3">
                  <c:v>0.13535829340263678</c:v>
                </c:pt>
                <c:pt idx="4">
                  <c:v>0.10309829467783692</c:v>
                </c:pt>
                <c:pt idx="5">
                  <c:v>0.14722425651750459</c:v>
                </c:pt>
                <c:pt idx="6">
                  <c:v>0.10077936038699274</c:v>
                </c:pt>
                <c:pt idx="7">
                  <c:v>0.14393958966144671</c:v>
                </c:pt>
                <c:pt idx="8">
                  <c:v>0.12775214623605677</c:v>
                </c:pt>
                <c:pt idx="9">
                  <c:v>0.16607397512500677</c:v>
                </c:pt>
              </c:numCache>
            </c:numRef>
          </c:val>
          <c:smooth val="0"/>
        </c:ser>
        <c:ser>
          <c:idx val="4"/>
          <c:order val="3"/>
          <c:tx>
            <c:strRef>
              <c:f>'28'!$B$35</c:f>
              <c:strCache>
                <c:ptCount val="1"/>
                <c:pt idx="0">
                  <c:v>SIGNOS, ENF. MAL DEFINIDAS</c:v>
                </c:pt>
              </c:strCache>
            </c:strRef>
          </c:tx>
          <c:marker>
            <c:symbol val="none"/>
          </c:marker>
          <c:cat>
            <c:numRef>
              <c:f>'28'!$C$27:$L$27</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'28'!$C$35:$L$35</c:f>
              <c:numCache>
                <c:formatCode>0.00</c:formatCode>
                <c:ptCount val="10"/>
                <c:pt idx="0">
                  <c:v>0.11257910692602749</c:v>
                </c:pt>
                <c:pt idx="1">
                  <c:v>0.21824877185463837</c:v>
                </c:pt>
                <c:pt idx="2">
                  <c:v>0.11750605156165543</c:v>
                </c:pt>
                <c:pt idx="3">
                  <c:v>0.16242995208316413</c:v>
                </c:pt>
                <c:pt idx="4">
                  <c:v>0.1527382143375362</c:v>
                </c:pt>
                <c:pt idx="5">
                  <c:v>0.15099923745385085</c:v>
                </c:pt>
                <c:pt idx="6">
                  <c:v>0.21275642748365134</c:v>
                </c:pt>
                <c:pt idx="7">
                  <c:v>0.27311614448582194</c:v>
                </c:pt>
                <c:pt idx="8">
                  <c:v>0.30295508964550605</c:v>
                </c:pt>
                <c:pt idx="9">
                  <c:v>0.36103038070653648</c:v>
                </c:pt>
              </c:numCache>
            </c:numRef>
          </c:val>
          <c:smooth val="0"/>
        </c:ser>
        <c:dLbls>
          <c:showLegendKey val="0"/>
          <c:showVal val="0"/>
          <c:showCatName val="0"/>
          <c:showSerName val="0"/>
          <c:showPercent val="0"/>
          <c:showBubbleSize val="0"/>
        </c:dLbls>
        <c:smooth val="0"/>
        <c:axId val="335240296"/>
        <c:axId val="335240688"/>
      </c:lineChart>
      <c:catAx>
        <c:axId val="335240296"/>
        <c:scaling>
          <c:orientation val="minMax"/>
        </c:scaling>
        <c:delete val="0"/>
        <c:axPos val="b"/>
        <c:numFmt formatCode="General" sourceLinked="1"/>
        <c:majorTickMark val="out"/>
        <c:minorTickMark val="none"/>
        <c:tickLblPos val="nextTo"/>
        <c:crossAx val="335240688"/>
        <c:crosses val="autoZero"/>
        <c:auto val="1"/>
        <c:lblAlgn val="ctr"/>
        <c:lblOffset val="100"/>
        <c:noMultiLvlLbl val="0"/>
      </c:catAx>
      <c:valAx>
        <c:axId val="335240688"/>
        <c:scaling>
          <c:orientation val="minMax"/>
        </c:scaling>
        <c:delete val="0"/>
        <c:axPos val="l"/>
        <c:majorGridlines/>
        <c:numFmt formatCode="0.00" sourceLinked="1"/>
        <c:majorTickMark val="out"/>
        <c:minorTickMark val="none"/>
        <c:tickLblPos val="nextTo"/>
        <c:spPr>
          <a:ln>
            <a:solidFill>
              <a:srgbClr val="4F81BD">
                <a:alpha val="74000"/>
              </a:srgbClr>
            </a:solidFill>
          </a:ln>
        </c:spPr>
        <c:crossAx val="335240296"/>
        <c:crosses val="autoZero"/>
        <c:crossBetween val="between"/>
      </c:valAx>
      <c:spPr>
        <a:scene3d>
          <a:camera prst="orthographicFront"/>
          <a:lightRig rig="threePt" dir="t"/>
        </a:scene3d>
        <a:sp3d>
          <a:bevelB/>
        </a:sp3d>
      </c:spPr>
    </c:plotArea>
    <c:legend>
      <c:legendPos val="r"/>
      <c:layout>
        <c:manualLayout>
          <c:xMode val="edge"/>
          <c:yMode val="edge"/>
          <c:x val="0"/>
          <c:y val="0.86977343154686715"/>
          <c:w val="0.94758381860744068"/>
          <c:h val="9.2481584963169911E-2"/>
        </c:manualLayout>
      </c:layout>
      <c:overlay val="0"/>
      <c:txPr>
        <a:bodyPr/>
        <a:lstStyle/>
        <a:p>
          <a:pPr>
            <a:defRPr sz="800" baseline="0"/>
          </a:pPr>
          <a:endParaRPr lang="es-CL"/>
        </a:p>
      </c:txPr>
    </c:legend>
    <c:plotVisOnly val="1"/>
    <c:dispBlanksAs val="gap"/>
    <c:showDLblsOverMax val="0"/>
  </c:chart>
  <c:printSettings>
    <c:headerFooter/>
    <c:pageMargins b="0.75000000000000344" l="0.70000000000000062" r="0.70000000000000062" t="0.75000000000000344"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1" i="0" u="none" strike="noStrike" baseline="0">
                <a:solidFill>
                  <a:srgbClr val="FF0000"/>
                </a:solidFill>
                <a:latin typeface="Arial"/>
                <a:ea typeface="Arial"/>
                <a:cs typeface="Arial"/>
              </a:defRPr>
            </a:pPr>
            <a:r>
              <a:rPr lang="es-ES"/>
              <a:t>INDICADORES CALIFICACIONES N.C.H.S. 
2010 - 2013
</a:t>
            </a:r>
          </a:p>
        </c:rich>
      </c:tx>
      <c:layout>
        <c:manualLayout>
          <c:xMode val="edge"/>
          <c:yMode val="edge"/>
          <c:x val="0.21906715007480873"/>
          <c:y val="5.5363321799309112E-2"/>
        </c:manualLayout>
      </c:layout>
      <c:overlay val="0"/>
      <c:spPr>
        <a:noFill/>
        <a:ln w="25400">
          <a:noFill/>
        </a:ln>
      </c:spPr>
    </c:title>
    <c:autoTitleDeleted val="0"/>
    <c:view3D>
      <c:rotX val="17"/>
      <c:hPercent val="46"/>
      <c:rotY val="12"/>
      <c:depthPercent val="280"/>
      <c:rAngAx val="1"/>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6.4908786397045434E-2"/>
          <c:y val="0.16609024601645311"/>
          <c:w val="0.92495020615790002"/>
          <c:h val="0.60553735526829322"/>
        </c:manualLayout>
      </c:layout>
      <c:bar3DChart>
        <c:barDir val="col"/>
        <c:grouping val="clustered"/>
        <c:varyColors val="0"/>
        <c:ser>
          <c:idx val="0"/>
          <c:order val="0"/>
          <c:tx>
            <c:strRef>
              <c:f>'34'!$B$36</c:f>
              <c:strCache>
                <c:ptCount val="1"/>
                <c:pt idx="0">
                  <c:v>2012</c:v>
                </c:pt>
              </c:strCache>
            </c:strRef>
          </c:tx>
          <c:spPr>
            <a:solidFill>
              <a:srgbClr val="3366FF"/>
            </a:solidFill>
            <a:ln w="12700">
              <a:solidFill>
                <a:srgbClr val="000000"/>
              </a:solidFill>
              <a:prstDash val="solid"/>
            </a:ln>
          </c:spPr>
          <c:invertIfNegative val="0"/>
          <c:cat>
            <c:strRef>
              <c:f>'34'!$A$37:$A$39</c:f>
              <c:strCache>
                <c:ptCount val="3"/>
                <c:pt idx="0">
                  <c:v>PESO/EDAD</c:v>
                </c:pt>
                <c:pt idx="1">
                  <c:v>PESO/TALLA</c:v>
                </c:pt>
                <c:pt idx="2">
                  <c:v>TALLA/EDAD</c:v>
                </c:pt>
              </c:strCache>
            </c:strRef>
          </c:cat>
          <c:val>
            <c:numRef>
              <c:f>('34'!$C$37,'34'!$C$38,'34'!$C$39)</c:f>
              <c:numCache>
                <c:formatCode>0.0</c:formatCode>
                <c:ptCount val="3"/>
                <c:pt idx="0">
                  <c:v>6.2807816554572886</c:v>
                </c:pt>
                <c:pt idx="1">
                  <c:v>33.315680771063924</c:v>
                </c:pt>
                <c:pt idx="2">
                  <c:v>14.764603082137373</c:v>
                </c:pt>
              </c:numCache>
            </c:numRef>
          </c:val>
        </c:ser>
        <c:ser>
          <c:idx val="1"/>
          <c:order val="1"/>
          <c:tx>
            <c:strRef>
              <c:f>'34'!$D$36:$E$36</c:f>
              <c:strCache>
                <c:ptCount val="1"/>
                <c:pt idx="0">
                  <c:v>2013</c:v>
                </c:pt>
              </c:strCache>
            </c:strRef>
          </c:tx>
          <c:spPr>
            <a:solidFill>
              <a:srgbClr val="FF0000"/>
            </a:solidFill>
            <a:ln w="12700">
              <a:solidFill>
                <a:srgbClr val="000000"/>
              </a:solidFill>
              <a:prstDash val="solid"/>
            </a:ln>
          </c:spPr>
          <c:invertIfNegative val="0"/>
          <c:cat>
            <c:strRef>
              <c:f>'34'!$A$37:$A$39</c:f>
              <c:strCache>
                <c:ptCount val="3"/>
                <c:pt idx="0">
                  <c:v>PESO/EDAD</c:v>
                </c:pt>
                <c:pt idx="1">
                  <c:v>PESO/TALLA</c:v>
                </c:pt>
                <c:pt idx="2">
                  <c:v>TALLA/EDAD</c:v>
                </c:pt>
              </c:strCache>
            </c:strRef>
          </c:cat>
          <c:val>
            <c:numRef>
              <c:f>'34'!$E$37:$E$39</c:f>
              <c:numCache>
                <c:formatCode>0.0</c:formatCode>
                <c:ptCount val="3"/>
                <c:pt idx="0">
                  <c:v>6.2807816554572886</c:v>
                </c:pt>
                <c:pt idx="1">
                  <c:v>32.9</c:v>
                </c:pt>
                <c:pt idx="2">
                  <c:v>14.9</c:v>
                </c:pt>
              </c:numCache>
            </c:numRef>
          </c:val>
        </c:ser>
        <c:ser>
          <c:idx val="2"/>
          <c:order val="2"/>
          <c:tx>
            <c:strRef>
              <c:f>'34'!$F$36:$G$36</c:f>
              <c:strCache>
                <c:ptCount val="1"/>
                <c:pt idx="0">
                  <c:v>2014</c:v>
                </c:pt>
              </c:strCache>
            </c:strRef>
          </c:tx>
          <c:spPr>
            <a:solidFill>
              <a:srgbClr val="FFFF00"/>
            </a:solidFill>
            <a:ln w="12700">
              <a:solidFill>
                <a:srgbClr val="000000"/>
              </a:solidFill>
              <a:prstDash val="solid"/>
            </a:ln>
          </c:spPr>
          <c:invertIfNegative val="0"/>
          <c:cat>
            <c:strRef>
              <c:f>'34'!$A$37:$A$39</c:f>
              <c:strCache>
                <c:ptCount val="3"/>
                <c:pt idx="0">
                  <c:v>PESO/EDAD</c:v>
                </c:pt>
                <c:pt idx="1">
                  <c:v>PESO/TALLA</c:v>
                </c:pt>
                <c:pt idx="2">
                  <c:v>TALLA/EDAD</c:v>
                </c:pt>
              </c:strCache>
            </c:strRef>
          </c:cat>
          <c:val>
            <c:numRef>
              <c:f>'34'!$G$37:$G$39</c:f>
              <c:numCache>
                <c:formatCode>0.0</c:formatCode>
                <c:ptCount val="3"/>
                <c:pt idx="0">
                  <c:v>5.9230965113318055</c:v>
                </c:pt>
                <c:pt idx="1">
                  <c:v>31.540616246498598</c:v>
                </c:pt>
                <c:pt idx="2">
                  <c:v>14.188948306595364</c:v>
                </c:pt>
              </c:numCache>
            </c:numRef>
          </c:val>
        </c:ser>
        <c:ser>
          <c:idx val="3"/>
          <c:order val="3"/>
          <c:tx>
            <c:strRef>
              <c:f>'34'!$H$36:$I$36</c:f>
              <c:strCache>
                <c:ptCount val="1"/>
                <c:pt idx="0">
                  <c:v>2015</c:v>
                </c:pt>
              </c:strCache>
            </c:strRef>
          </c:tx>
          <c:spPr>
            <a:solidFill>
              <a:srgbClr val="A0E0E0"/>
            </a:solidFill>
            <a:ln w="12700">
              <a:solidFill>
                <a:srgbClr val="000000"/>
              </a:solidFill>
              <a:prstDash val="solid"/>
            </a:ln>
          </c:spPr>
          <c:invertIfNegative val="0"/>
          <c:val>
            <c:numRef>
              <c:f>'34'!$I$37:$I$39</c:f>
              <c:numCache>
                <c:formatCode>0.0</c:formatCode>
                <c:ptCount val="3"/>
                <c:pt idx="0">
                  <c:v>6.307282940770671</c:v>
                </c:pt>
                <c:pt idx="1">
                  <c:v>30.639597910712524</c:v>
                </c:pt>
                <c:pt idx="2">
                  <c:v>14.018921848822313</c:v>
                </c:pt>
              </c:numCache>
            </c:numRef>
          </c:val>
        </c:ser>
        <c:dLbls>
          <c:showLegendKey val="0"/>
          <c:showVal val="0"/>
          <c:showCatName val="0"/>
          <c:showSerName val="0"/>
          <c:showPercent val="0"/>
          <c:showBubbleSize val="0"/>
        </c:dLbls>
        <c:gapWidth val="150"/>
        <c:gapDepth val="0"/>
        <c:shape val="box"/>
        <c:axId val="335241864"/>
        <c:axId val="335242256"/>
        <c:axId val="0"/>
      </c:bar3DChart>
      <c:catAx>
        <c:axId val="33524186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0/0</a:t>
                </a:r>
              </a:p>
            </c:rich>
          </c:tx>
          <c:layout>
            <c:manualLayout>
              <c:xMode val="edge"/>
              <c:yMode val="edge"/>
              <c:x val="4.8681541582149865E-2"/>
              <c:y val="9.6885813148788927E-2"/>
            </c:manualLayout>
          </c:layout>
          <c:overlay val="0"/>
          <c:spPr>
            <a:noFill/>
            <a:ln w="25400">
              <a:noFill/>
            </a:ln>
          </c:spPr>
        </c:title>
        <c:numFmt formatCode="General" sourceLinked="1"/>
        <c:majorTickMark val="out"/>
        <c:minorTickMark val="none"/>
        <c:tickLblPos val="low"/>
        <c:spPr>
          <a:ln w="9525">
            <a:noFill/>
          </a:ln>
        </c:spPr>
        <c:txPr>
          <a:bodyPr rot="0" vert="horz"/>
          <a:lstStyle/>
          <a:p>
            <a:pPr>
              <a:defRPr sz="900" b="0" i="0" u="none" strike="noStrike" baseline="0">
                <a:solidFill>
                  <a:srgbClr val="000000"/>
                </a:solidFill>
                <a:latin typeface="Arial"/>
                <a:ea typeface="Arial"/>
                <a:cs typeface="Arial"/>
              </a:defRPr>
            </a:pPr>
            <a:endParaRPr lang="es-CL"/>
          </a:p>
        </c:txPr>
        <c:crossAx val="335242256"/>
        <c:crosses val="autoZero"/>
        <c:auto val="1"/>
        <c:lblAlgn val="ctr"/>
        <c:lblOffset val="100"/>
        <c:tickLblSkip val="1"/>
        <c:tickMarkSkip val="1"/>
        <c:noMultiLvlLbl val="0"/>
      </c:catAx>
      <c:valAx>
        <c:axId val="335242256"/>
        <c:scaling>
          <c:orientation val="minMax"/>
        </c:scaling>
        <c:delete val="0"/>
        <c:axPos val="l"/>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35241864"/>
        <c:crosses val="autoZero"/>
        <c:crossBetween val="between"/>
      </c:valAx>
      <c:spPr>
        <a:noFill/>
        <a:ln w="25400">
          <a:noFill/>
        </a:ln>
      </c:spPr>
    </c:plotArea>
    <c:legend>
      <c:legendPos val="r"/>
      <c:layout>
        <c:manualLayout>
          <c:xMode val="edge"/>
          <c:yMode val="edge"/>
          <c:x val="0.32657243402386404"/>
          <c:y val="0.9238768856315106"/>
          <c:w val="0.36308359021047143"/>
          <c:h val="5.5363321799312123E-2"/>
        </c:manualLayout>
      </c:layout>
      <c:overlay val="0"/>
      <c:spPr>
        <a:solidFill>
          <a:srgbClr val="FFFFFF"/>
        </a:solidFill>
        <a:ln w="3175">
          <a:solidFill>
            <a:srgbClr val="000000"/>
          </a:solidFill>
          <a:prstDash val="solid"/>
        </a:ln>
        <a:effectLst>
          <a:outerShdw dist="35921" dir="2700000" algn="br">
            <a:srgbClr val="000000"/>
          </a:outerShdw>
        </a:effectLst>
      </c:spPr>
      <c:txPr>
        <a:bodyPr/>
        <a:lstStyle/>
        <a:p>
          <a:pPr>
            <a:defRPr sz="69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9" orientation="landscape"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1" i="0" u="none" strike="noStrike" baseline="0">
                <a:solidFill>
                  <a:srgbClr val="FF0000"/>
                </a:solidFill>
                <a:latin typeface="Arial"/>
                <a:ea typeface="Arial"/>
                <a:cs typeface="Arial"/>
              </a:defRPr>
            </a:pPr>
            <a:r>
              <a:rPr lang="es-ES"/>
              <a:t>INDICADORES CALIFICACIONES N.C.H.S. 
2012 - 2015
</a:t>
            </a:r>
          </a:p>
        </c:rich>
      </c:tx>
      <c:layout>
        <c:manualLayout>
          <c:xMode val="edge"/>
          <c:yMode val="edge"/>
          <c:x val="0.21906715007480873"/>
          <c:y val="5.5363321799309112E-2"/>
        </c:manualLayout>
      </c:layout>
      <c:overlay val="0"/>
      <c:spPr>
        <a:noFill/>
        <a:ln w="25400">
          <a:noFill/>
        </a:ln>
      </c:spPr>
    </c:title>
    <c:autoTitleDeleted val="0"/>
    <c:view3D>
      <c:rotX val="17"/>
      <c:hPercent val="46"/>
      <c:rotY val="12"/>
      <c:depthPercent val="280"/>
      <c:rAngAx val="1"/>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6.4908786397045434E-2"/>
          <c:y val="0.16609024601645311"/>
          <c:w val="0.92495020615790002"/>
          <c:h val="0.60553735526829322"/>
        </c:manualLayout>
      </c:layout>
      <c:bar3DChart>
        <c:barDir val="col"/>
        <c:grouping val="clustered"/>
        <c:varyColors val="0"/>
        <c:ser>
          <c:idx val="0"/>
          <c:order val="0"/>
          <c:tx>
            <c:strRef>
              <c:f>'34'!$B$36</c:f>
              <c:strCache>
                <c:ptCount val="1"/>
                <c:pt idx="0">
                  <c:v>2012</c:v>
                </c:pt>
              </c:strCache>
            </c:strRef>
          </c:tx>
          <c:spPr>
            <a:solidFill>
              <a:srgbClr val="3366FF"/>
            </a:solidFill>
            <a:ln w="12700">
              <a:solidFill>
                <a:srgbClr val="000000"/>
              </a:solidFill>
              <a:prstDash val="solid"/>
            </a:ln>
          </c:spPr>
          <c:invertIfNegative val="0"/>
          <c:cat>
            <c:strRef>
              <c:f>'34'!$A$37:$A$39</c:f>
              <c:strCache>
                <c:ptCount val="3"/>
                <c:pt idx="0">
                  <c:v>PESO/EDAD</c:v>
                </c:pt>
                <c:pt idx="1">
                  <c:v>PESO/TALLA</c:v>
                </c:pt>
                <c:pt idx="2">
                  <c:v>TALLA/EDAD</c:v>
                </c:pt>
              </c:strCache>
            </c:strRef>
          </c:cat>
          <c:val>
            <c:numRef>
              <c:f>('34'!$C$37,'34'!$C$38,'34'!$C$39)</c:f>
              <c:numCache>
                <c:formatCode>0.0</c:formatCode>
                <c:ptCount val="3"/>
                <c:pt idx="0">
                  <c:v>6.2807816554572886</c:v>
                </c:pt>
                <c:pt idx="1">
                  <c:v>33.315680771063924</c:v>
                </c:pt>
                <c:pt idx="2">
                  <c:v>14.764603082137373</c:v>
                </c:pt>
              </c:numCache>
            </c:numRef>
          </c:val>
        </c:ser>
        <c:ser>
          <c:idx val="1"/>
          <c:order val="1"/>
          <c:tx>
            <c:strRef>
              <c:f>'34'!$D$36:$E$36</c:f>
              <c:strCache>
                <c:ptCount val="1"/>
                <c:pt idx="0">
                  <c:v>2013</c:v>
                </c:pt>
              </c:strCache>
            </c:strRef>
          </c:tx>
          <c:spPr>
            <a:solidFill>
              <a:srgbClr val="FF0000"/>
            </a:solidFill>
            <a:ln w="12700">
              <a:solidFill>
                <a:srgbClr val="000000"/>
              </a:solidFill>
              <a:prstDash val="solid"/>
            </a:ln>
          </c:spPr>
          <c:invertIfNegative val="0"/>
          <c:cat>
            <c:strRef>
              <c:f>'34'!$A$37:$A$39</c:f>
              <c:strCache>
                <c:ptCount val="3"/>
                <c:pt idx="0">
                  <c:v>PESO/EDAD</c:v>
                </c:pt>
                <c:pt idx="1">
                  <c:v>PESO/TALLA</c:v>
                </c:pt>
                <c:pt idx="2">
                  <c:v>TALLA/EDAD</c:v>
                </c:pt>
              </c:strCache>
            </c:strRef>
          </c:cat>
          <c:val>
            <c:numRef>
              <c:f>'34'!$E$37:$E$39</c:f>
              <c:numCache>
                <c:formatCode>0.0</c:formatCode>
                <c:ptCount val="3"/>
                <c:pt idx="0">
                  <c:v>6.2807816554572886</c:v>
                </c:pt>
                <c:pt idx="1">
                  <c:v>32.9</c:v>
                </c:pt>
                <c:pt idx="2">
                  <c:v>14.9</c:v>
                </c:pt>
              </c:numCache>
            </c:numRef>
          </c:val>
        </c:ser>
        <c:ser>
          <c:idx val="2"/>
          <c:order val="2"/>
          <c:tx>
            <c:strRef>
              <c:f>'34'!$F$36:$G$36</c:f>
              <c:strCache>
                <c:ptCount val="1"/>
                <c:pt idx="0">
                  <c:v>2014</c:v>
                </c:pt>
              </c:strCache>
            </c:strRef>
          </c:tx>
          <c:spPr>
            <a:solidFill>
              <a:srgbClr val="FFFF00"/>
            </a:solidFill>
            <a:ln w="12700">
              <a:solidFill>
                <a:srgbClr val="000000"/>
              </a:solidFill>
              <a:prstDash val="solid"/>
            </a:ln>
          </c:spPr>
          <c:invertIfNegative val="0"/>
          <c:cat>
            <c:strRef>
              <c:f>'34'!$A$37:$A$39</c:f>
              <c:strCache>
                <c:ptCount val="3"/>
                <c:pt idx="0">
                  <c:v>PESO/EDAD</c:v>
                </c:pt>
                <c:pt idx="1">
                  <c:v>PESO/TALLA</c:v>
                </c:pt>
                <c:pt idx="2">
                  <c:v>TALLA/EDAD</c:v>
                </c:pt>
              </c:strCache>
            </c:strRef>
          </c:cat>
          <c:val>
            <c:numRef>
              <c:f>'34'!$G$37:$G$39</c:f>
              <c:numCache>
                <c:formatCode>0.0</c:formatCode>
                <c:ptCount val="3"/>
                <c:pt idx="0">
                  <c:v>5.9230965113318055</c:v>
                </c:pt>
                <c:pt idx="1">
                  <c:v>31.540616246498598</c:v>
                </c:pt>
                <c:pt idx="2">
                  <c:v>14.188948306595364</c:v>
                </c:pt>
              </c:numCache>
            </c:numRef>
          </c:val>
        </c:ser>
        <c:ser>
          <c:idx val="3"/>
          <c:order val="3"/>
          <c:tx>
            <c:strRef>
              <c:f>'34'!$H$36:$I$36</c:f>
              <c:strCache>
                <c:ptCount val="1"/>
                <c:pt idx="0">
                  <c:v>2015</c:v>
                </c:pt>
              </c:strCache>
            </c:strRef>
          </c:tx>
          <c:spPr>
            <a:solidFill>
              <a:srgbClr val="A0E0E0"/>
            </a:solidFill>
            <a:ln w="12700">
              <a:solidFill>
                <a:srgbClr val="000000"/>
              </a:solidFill>
              <a:prstDash val="solid"/>
            </a:ln>
          </c:spPr>
          <c:invertIfNegative val="0"/>
          <c:val>
            <c:numRef>
              <c:f>'34'!$I$37:$I$39</c:f>
              <c:numCache>
                <c:formatCode>0.0</c:formatCode>
                <c:ptCount val="3"/>
                <c:pt idx="0">
                  <c:v>6.307282940770671</c:v>
                </c:pt>
                <c:pt idx="1">
                  <c:v>30.639597910712524</c:v>
                </c:pt>
                <c:pt idx="2">
                  <c:v>14.018921848822313</c:v>
                </c:pt>
              </c:numCache>
            </c:numRef>
          </c:val>
        </c:ser>
        <c:dLbls>
          <c:showLegendKey val="0"/>
          <c:showVal val="0"/>
          <c:showCatName val="0"/>
          <c:showSerName val="0"/>
          <c:showPercent val="0"/>
          <c:showBubbleSize val="0"/>
        </c:dLbls>
        <c:gapWidth val="150"/>
        <c:gapDepth val="0"/>
        <c:shape val="box"/>
        <c:axId val="335853792"/>
        <c:axId val="335854184"/>
        <c:axId val="0"/>
      </c:bar3DChart>
      <c:catAx>
        <c:axId val="33585379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0/0</a:t>
                </a:r>
              </a:p>
            </c:rich>
          </c:tx>
          <c:layout>
            <c:manualLayout>
              <c:xMode val="edge"/>
              <c:yMode val="edge"/>
              <c:x val="4.8681541582149865E-2"/>
              <c:y val="9.6885813148788927E-2"/>
            </c:manualLayout>
          </c:layout>
          <c:overlay val="0"/>
          <c:spPr>
            <a:noFill/>
            <a:ln w="25400">
              <a:noFill/>
            </a:ln>
          </c:spPr>
        </c:title>
        <c:numFmt formatCode="General" sourceLinked="1"/>
        <c:majorTickMark val="out"/>
        <c:minorTickMark val="none"/>
        <c:tickLblPos val="low"/>
        <c:spPr>
          <a:ln w="9525">
            <a:noFill/>
          </a:ln>
        </c:spPr>
        <c:txPr>
          <a:bodyPr rot="0" vert="horz"/>
          <a:lstStyle/>
          <a:p>
            <a:pPr>
              <a:defRPr sz="900" b="0" i="0" u="none" strike="noStrike" baseline="0">
                <a:solidFill>
                  <a:srgbClr val="000000"/>
                </a:solidFill>
                <a:latin typeface="Arial"/>
                <a:ea typeface="Arial"/>
                <a:cs typeface="Arial"/>
              </a:defRPr>
            </a:pPr>
            <a:endParaRPr lang="es-CL"/>
          </a:p>
        </c:txPr>
        <c:crossAx val="335854184"/>
        <c:crosses val="autoZero"/>
        <c:auto val="1"/>
        <c:lblAlgn val="ctr"/>
        <c:lblOffset val="100"/>
        <c:tickLblSkip val="1"/>
        <c:tickMarkSkip val="1"/>
        <c:noMultiLvlLbl val="0"/>
      </c:catAx>
      <c:valAx>
        <c:axId val="335854184"/>
        <c:scaling>
          <c:orientation val="minMax"/>
        </c:scaling>
        <c:delete val="0"/>
        <c:axPos val="l"/>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35853792"/>
        <c:crosses val="autoZero"/>
        <c:crossBetween val="between"/>
      </c:valAx>
      <c:spPr>
        <a:noFill/>
        <a:ln w="25400">
          <a:noFill/>
        </a:ln>
      </c:spPr>
    </c:plotArea>
    <c:legend>
      <c:legendPos val="r"/>
      <c:layout>
        <c:manualLayout>
          <c:xMode val="edge"/>
          <c:yMode val="edge"/>
          <c:x val="0.32657243402386404"/>
          <c:y val="0.9238768856315106"/>
          <c:w val="0.36308359021047143"/>
          <c:h val="5.5363321799312123E-2"/>
        </c:manualLayout>
      </c:layout>
      <c:overlay val="0"/>
      <c:spPr>
        <a:solidFill>
          <a:srgbClr val="FFFFFF"/>
        </a:solidFill>
        <a:ln w="3175">
          <a:solidFill>
            <a:srgbClr val="000000"/>
          </a:solidFill>
          <a:prstDash val="solid"/>
        </a:ln>
        <a:effectLst>
          <a:outerShdw dist="35921" dir="2700000" algn="br">
            <a:srgbClr val="000000"/>
          </a:outerShdw>
        </a:effectLst>
      </c:spPr>
      <c:txPr>
        <a:bodyPr/>
        <a:lstStyle/>
        <a:p>
          <a:pPr>
            <a:defRPr sz="69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0" i="0" u="none" strike="noStrike" baseline="0">
                <a:solidFill>
                  <a:srgbClr val="000000"/>
                </a:solidFill>
                <a:latin typeface="Arial"/>
                <a:ea typeface="Arial"/>
                <a:cs typeface="Arial"/>
              </a:defRPr>
            </a:pPr>
            <a:r>
              <a:rPr lang="es-ES" sz="1125" b="1" i="0" strike="noStrike">
                <a:solidFill>
                  <a:srgbClr val="000000"/>
                </a:solidFill>
                <a:latin typeface="Arial"/>
                <a:cs typeface="Arial"/>
              </a:rPr>
              <a:t>PIRAMIDE  DE  POBLACION 1990 - 2013</a:t>
            </a:r>
          </a:p>
          <a:p>
            <a:pPr>
              <a:defRPr sz="950" b="0" i="0" u="none" strike="noStrike" baseline="0">
                <a:solidFill>
                  <a:srgbClr val="000000"/>
                </a:solidFill>
                <a:latin typeface="Arial"/>
                <a:ea typeface="Arial"/>
                <a:cs typeface="Arial"/>
              </a:defRPr>
            </a:pPr>
            <a:r>
              <a:rPr lang="es-ES" sz="850" b="1" i="0" strike="noStrike">
                <a:solidFill>
                  <a:srgbClr val="000000"/>
                </a:solidFill>
                <a:latin typeface="Arial"/>
                <a:cs typeface="Arial"/>
              </a:rPr>
              <a:t>SERVICIO  DE  SALUD  ACONCAGUA</a:t>
            </a:r>
          </a:p>
        </c:rich>
      </c:tx>
      <c:layout>
        <c:manualLayout>
          <c:xMode val="edge"/>
          <c:yMode val="edge"/>
          <c:x val="0.19654450321139671"/>
          <c:y val="2.5821596244131433E-2"/>
        </c:manualLayout>
      </c:layout>
      <c:overlay val="0"/>
      <c:spPr>
        <a:noFill/>
        <a:ln w="25400">
          <a:noFill/>
        </a:ln>
      </c:spPr>
    </c:title>
    <c:autoTitleDeleted val="0"/>
    <c:plotArea>
      <c:layout>
        <c:manualLayout>
          <c:layoutTarget val="inner"/>
          <c:xMode val="edge"/>
          <c:yMode val="edge"/>
          <c:x val="3.2397442373787604E-2"/>
          <c:y val="0.10798134442550666"/>
          <c:w val="0.95896429426413365"/>
          <c:h val="0.84507139115613905"/>
        </c:manualLayout>
      </c:layout>
      <c:barChart>
        <c:barDir val="bar"/>
        <c:grouping val="clustered"/>
        <c:varyColors val="0"/>
        <c:ser>
          <c:idx val="0"/>
          <c:order val="0"/>
          <c:tx>
            <c:v>HOMBRES</c:v>
          </c:tx>
          <c:spPr>
            <a:solidFill>
              <a:srgbClr val="008000"/>
            </a:solidFill>
            <a:ln w="12700">
              <a:solidFill>
                <a:srgbClr val="000000"/>
              </a:solidFill>
              <a:prstDash val="solid"/>
            </a:ln>
          </c:spPr>
          <c:invertIfNegative val="0"/>
          <c:cat>
            <c:strRef>
              <c:f>'10'!$A$4:$A$41</c:f>
              <c:strCache>
                <c:ptCount val="3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c:v>
                </c:pt>
                <c:pt idx="21">
                  <c:v>0-4</c:v>
                </c:pt>
                <c:pt idx="22">
                  <c:v>5-9</c:v>
                </c:pt>
                <c:pt idx="23">
                  <c:v>10-14</c:v>
                </c:pt>
                <c:pt idx="24">
                  <c:v>15-19</c:v>
                </c:pt>
                <c:pt idx="25">
                  <c:v>20-24</c:v>
                </c:pt>
                <c:pt idx="26">
                  <c:v>25-29</c:v>
                </c:pt>
                <c:pt idx="27">
                  <c:v>30-34</c:v>
                </c:pt>
                <c:pt idx="28">
                  <c:v>35-39</c:v>
                </c:pt>
                <c:pt idx="29">
                  <c:v>40-44</c:v>
                </c:pt>
                <c:pt idx="30">
                  <c:v>45-49</c:v>
                </c:pt>
                <c:pt idx="31">
                  <c:v>50-54</c:v>
                </c:pt>
                <c:pt idx="32">
                  <c:v>55-59</c:v>
                </c:pt>
                <c:pt idx="33">
                  <c:v>60-64</c:v>
                </c:pt>
                <c:pt idx="34">
                  <c:v>65-69</c:v>
                </c:pt>
                <c:pt idx="35">
                  <c:v>70-74</c:v>
                </c:pt>
                <c:pt idx="36">
                  <c:v>75-79</c:v>
                </c:pt>
                <c:pt idx="37">
                  <c:v>80 y +</c:v>
                </c:pt>
              </c:strCache>
            </c:strRef>
          </c:cat>
          <c:val>
            <c:numRef>
              <c:f>'10'!$B$4:$B$41</c:f>
              <c:numCache>
                <c:formatCode>General</c:formatCode>
                <c:ptCount val="38"/>
                <c:pt idx="0">
                  <c:v>-10691</c:v>
                </c:pt>
                <c:pt idx="1">
                  <c:v>-9882</c:v>
                </c:pt>
                <c:pt idx="2">
                  <c:v>-9065</c:v>
                </c:pt>
                <c:pt idx="3">
                  <c:v>-8589</c:v>
                </c:pt>
                <c:pt idx="4">
                  <c:v>-8182</c:v>
                </c:pt>
                <c:pt idx="5">
                  <c:v>-9329</c:v>
                </c:pt>
                <c:pt idx="6">
                  <c:v>-8085</c:v>
                </c:pt>
                <c:pt idx="7">
                  <c:v>-6485</c:v>
                </c:pt>
                <c:pt idx="8">
                  <c:v>-5697</c:v>
                </c:pt>
                <c:pt idx="9">
                  <c:v>-4926</c:v>
                </c:pt>
                <c:pt idx="10">
                  <c:v>-3596</c:v>
                </c:pt>
                <c:pt idx="11">
                  <c:v>-3190</c:v>
                </c:pt>
                <c:pt idx="12">
                  <c:v>-2747</c:v>
                </c:pt>
                <c:pt idx="13">
                  <c:v>-1966</c:v>
                </c:pt>
                <c:pt idx="14">
                  <c:v>-1668</c:v>
                </c:pt>
                <c:pt idx="15">
                  <c:v>-969</c:v>
                </c:pt>
                <c:pt idx="16">
                  <c:v>-784</c:v>
                </c:pt>
                <c:pt idx="21">
                  <c:v>-10040</c:v>
                </c:pt>
                <c:pt idx="22">
                  <c:v>-10161</c:v>
                </c:pt>
                <c:pt idx="23">
                  <c:v>-10300</c:v>
                </c:pt>
                <c:pt idx="24">
                  <c:v>-11200</c:v>
                </c:pt>
                <c:pt idx="25">
                  <c:v>-11694</c:v>
                </c:pt>
                <c:pt idx="26">
                  <c:v>-11294</c:v>
                </c:pt>
                <c:pt idx="27">
                  <c:v>-10675</c:v>
                </c:pt>
                <c:pt idx="28">
                  <c:v>-8001</c:v>
                </c:pt>
                <c:pt idx="29">
                  <c:v>-8564</c:v>
                </c:pt>
                <c:pt idx="30">
                  <c:v>-8607</c:v>
                </c:pt>
                <c:pt idx="31">
                  <c:v>-9194</c:v>
                </c:pt>
                <c:pt idx="32">
                  <c:v>-7779</c:v>
                </c:pt>
                <c:pt idx="33">
                  <c:v>-6211</c:v>
                </c:pt>
                <c:pt idx="34">
                  <c:v>-5172</c:v>
                </c:pt>
                <c:pt idx="35">
                  <c:v>-4002</c:v>
                </c:pt>
                <c:pt idx="36">
                  <c:v>-2509</c:v>
                </c:pt>
                <c:pt idx="37">
                  <c:v>-2594</c:v>
                </c:pt>
              </c:numCache>
            </c:numRef>
          </c:val>
        </c:ser>
        <c:ser>
          <c:idx val="1"/>
          <c:order val="1"/>
          <c:tx>
            <c:v>MUJERES</c:v>
          </c:tx>
          <c:spPr>
            <a:solidFill>
              <a:srgbClr val="FFFF00"/>
            </a:solidFill>
            <a:ln w="12700">
              <a:solidFill>
                <a:srgbClr val="000000"/>
              </a:solidFill>
              <a:prstDash val="solid"/>
            </a:ln>
          </c:spPr>
          <c:invertIfNegative val="0"/>
          <c:cat>
            <c:strRef>
              <c:f>'10'!$A$4:$A$41</c:f>
              <c:strCache>
                <c:ptCount val="3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c:v>
                </c:pt>
                <c:pt idx="21">
                  <c:v>0-4</c:v>
                </c:pt>
                <c:pt idx="22">
                  <c:v>5-9</c:v>
                </c:pt>
                <c:pt idx="23">
                  <c:v>10-14</c:v>
                </c:pt>
                <c:pt idx="24">
                  <c:v>15-19</c:v>
                </c:pt>
                <c:pt idx="25">
                  <c:v>20-24</c:v>
                </c:pt>
                <c:pt idx="26">
                  <c:v>25-29</c:v>
                </c:pt>
                <c:pt idx="27">
                  <c:v>30-34</c:v>
                </c:pt>
                <c:pt idx="28">
                  <c:v>35-39</c:v>
                </c:pt>
                <c:pt idx="29">
                  <c:v>40-44</c:v>
                </c:pt>
                <c:pt idx="30">
                  <c:v>45-49</c:v>
                </c:pt>
                <c:pt idx="31">
                  <c:v>50-54</c:v>
                </c:pt>
                <c:pt idx="32">
                  <c:v>55-59</c:v>
                </c:pt>
                <c:pt idx="33">
                  <c:v>60-64</c:v>
                </c:pt>
                <c:pt idx="34">
                  <c:v>65-69</c:v>
                </c:pt>
                <c:pt idx="35">
                  <c:v>70-74</c:v>
                </c:pt>
                <c:pt idx="36">
                  <c:v>75-79</c:v>
                </c:pt>
                <c:pt idx="37">
                  <c:v>80 y +</c:v>
                </c:pt>
              </c:strCache>
            </c:strRef>
          </c:cat>
          <c:val>
            <c:numRef>
              <c:f>'10'!$C$4:$C$41</c:f>
              <c:numCache>
                <c:formatCode>General</c:formatCode>
                <c:ptCount val="38"/>
                <c:pt idx="0">
                  <c:v>10398</c:v>
                </c:pt>
                <c:pt idx="1">
                  <c:v>9628</c:v>
                </c:pt>
                <c:pt idx="2">
                  <c:v>8566</c:v>
                </c:pt>
                <c:pt idx="3">
                  <c:v>8468</c:v>
                </c:pt>
                <c:pt idx="4">
                  <c:v>8273</c:v>
                </c:pt>
                <c:pt idx="5">
                  <c:v>9153</c:v>
                </c:pt>
                <c:pt idx="6">
                  <c:v>7794</c:v>
                </c:pt>
                <c:pt idx="7">
                  <c:v>6425</c:v>
                </c:pt>
                <c:pt idx="8">
                  <c:v>5440</c:v>
                </c:pt>
                <c:pt idx="9">
                  <c:v>4615</c:v>
                </c:pt>
                <c:pt idx="10">
                  <c:v>3579</c:v>
                </c:pt>
                <c:pt idx="11">
                  <c:v>3395</c:v>
                </c:pt>
                <c:pt idx="12">
                  <c:v>3067</c:v>
                </c:pt>
                <c:pt idx="13">
                  <c:v>2348</c:v>
                </c:pt>
                <c:pt idx="14">
                  <c:v>1893</c:v>
                </c:pt>
                <c:pt idx="15">
                  <c:v>1312</c:v>
                </c:pt>
                <c:pt idx="16">
                  <c:v>1156</c:v>
                </c:pt>
                <c:pt idx="21">
                  <c:v>9626</c:v>
                </c:pt>
                <c:pt idx="22">
                  <c:v>9678</c:v>
                </c:pt>
                <c:pt idx="23">
                  <c:v>9601</c:v>
                </c:pt>
                <c:pt idx="24">
                  <c:v>10084</c:v>
                </c:pt>
                <c:pt idx="25">
                  <c:v>11017</c:v>
                </c:pt>
                <c:pt idx="26">
                  <c:v>10781</c:v>
                </c:pt>
                <c:pt idx="27">
                  <c:v>9897</c:v>
                </c:pt>
                <c:pt idx="28">
                  <c:v>8357</c:v>
                </c:pt>
                <c:pt idx="29">
                  <c:v>9156</c:v>
                </c:pt>
                <c:pt idx="30">
                  <c:v>9271</c:v>
                </c:pt>
                <c:pt idx="31">
                  <c:v>9817</c:v>
                </c:pt>
                <c:pt idx="32">
                  <c:v>8295</c:v>
                </c:pt>
                <c:pt idx="33">
                  <c:v>6708</c:v>
                </c:pt>
                <c:pt idx="34">
                  <c:v>5467</c:v>
                </c:pt>
                <c:pt idx="35">
                  <c:v>4380</c:v>
                </c:pt>
                <c:pt idx="36">
                  <c:v>3021</c:v>
                </c:pt>
                <c:pt idx="37">
                  <c:v>3832</c:v>
                </c:pt>
              </c:numCache>
            </c:numRef>
          </c:val>
        </c:ser>
        <c:dLbls>
          <c:showLegendKey val="0"/>
          <c:showVal val="0"/>
          <c:showCatName val="0"/>
          <c:showSerName val="0"/>
          <c:showPercent val="0"/>
          <c:showBubbleSize val="0"/>
        </c:dLbls>
        <c:gapWidth val="70"/>
        <c:overlap val="100"/>
        <c:axId val="330513864"/>
        <c:axId val="330844016"/>
      </c:barChart>
      <c:catAx>
        <c:axId val="33051386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475" b="1" i="0" u="none" strike="noStrike" baseline="0">
                <a:solidFill>
                  <a:srgbClr val="000000"/>
                </a:solidFill>
                <a:latin typeface="Arial"/>
                <a:ea typeface="Arial"/>
                <a:cs typeface="Arial"/>
              </a:defRPr>
            </a:pPr>
            <a:endParaRPr lang="es-CL"/>
          </a:p>
        </c:txPr>
        <c:crossAx val="330844016"/>
        <c:crosses val="autoZero"/>
        <c:auto val="1"/>
        <c:lblAlgn val="ctr"/>
        <c:lblOffset val="100"/>
        <c:tickLblSkip val="1"/>
        <c:tickMarkSkip val="1"/>
        <c:noMultiLvlLbl val="0"/>
      </c:catAx>
      <c:valAx>
        <c:axId val="330844016"/>
        <c:scaling>
          <c:orientation val="minMax"/>
          <c:max val="12000"/>
          <c:min val="-12000"/>
        </c:scaling>
        <c:delete val="0"/>
        <c:axPos val="b"/>
        <c:numFmt formatCode="General" sourceLinked="1"/>
        <c:majorTickMark val="none"/>
        <c:minorTickMark val="none"/>
        <c:tickLblPos val="none"/>
        <c:spPr>
          <a:ln w="3175">
            <a:solidFill>
              <a:srgbClr val="000000"/>
            </a:solidFill>
            <a:prstDash val="solid"/>
          </a:ln>
        </c:spPr>
        <c:crossAx val="330513864"/>
        <c:crosses val="autoZero"/>
        <c:crossBetween val="between"/>
        <c:majorUnit val="3000"/>
      </c:valAx>
      <c:spPr>
        <a:noFill/>
        <a:ln w="12700">
          <a:solidFill>
            <a:srgbClr val="FFFFFF"/>
          </a:solidFill>
          <a:prstDash val="solid"/>
        </a:ln>
      </c:spPr>
    </c:plotArea>
    <c:legend>
      <c:legendPos val="b"/>
      <c:layout>
        <c:manualLayout>
          <c:xMode val="edge"/>
          <c:yMode val="edge"/>
          <c:x val="0.35853177100162692"/>
          <c:y val="0.96596355033085668"/>
          <c:w val="0.28293759176431182"/>
          <c:h val="2.5821596244131939E-2"/>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304" orientation="portrait" horizontalDpi="300" verticalDpi="300"/>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1" i="0" u="none" strike="noStrike" baseline="0">
                <a:solidFill>
                  <a:srgbClr val="333399"/>
                </a:solidFill>
                <a:latin typeface="Arial"/>
                <a:ea typeface="Arial"/>
                <a:cs typeface="Arial"/>
              </a:defRPr>
            </a:pPr>
            <a:r>
              <a:rPr lang="es-ES"/>
              <a:t>PORCENTAJE  DE  PARTOS SEGÚN  EDAD  DE  LA  MADRE
2008 - 2013</a:t>
            </a:r>
          </a:p>
        </c:rich>
      </c:tx>
      <c:layout>
        <c:manualLayout>
          <c:xMode val="edge"/>
          <c:yMode val="edge"/>
          <c:x val="0.15966386554622869"/>
          <c:y val="3.717472118959108E-2"/>
        </c:manualLayout>
      </c:layout>
      <c:overlay val="0"/>
      <c:spPr>
        <a:noFill/>
        <a:ln w="25400">
          <a:noFill/>
        </a:ln>
      </c:spPr>
    </c:title>
    <c:autoTitleDeleted val="0"/>
    <c:plotArea>
      <c:layout>
        <c:manualLayout>
          <c:layoutTarget val="inner"/>
          <c:xMode val="edge"/>
          <c:yMode val="edge"/>
          <c:x val="0.10924369747899702"/>
          <c:y val="0.21189591078066924"/>
          <c:w val="0.75000000000001465"/>
          <c:h val="0.67286245353162533"/>
        </c:manualLayout>
      </c:layout>
      <c:barChart>
        <c:barDir val="col"/>
        <c:grouping val="clustered"/>
        <c:varyColors val="0"/>
        <c:ser>
          <c:idx val="4"/>
          <c:order val="0"/>
          <c:tx>
            <c:v>2008</c:v>
          </c:tx>
          <c:spPr>
            <a:solidFill>
              <a:srgbClr val="FFFF99"/>
            </a:solidFill>
            <a:ln w="12700">
              <a:solidFill>
                <a:srgbClr val="000000"/>
              </a:solidFill>
              <a:prstDash val="solid"/>
            </a:ln>
          </c:spPr>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'37'!$C$84:$J$84</c:f>
              <c:numCache>
                <c:formatCode>0.00</c:formatCode>
                <c:ptCount val="8"/>
                <c:pt idx="0">
                  <c:v>0.53633681952266021</c:v>
                </c:pt>
                <c:pt idx="1">
                  <c:v>16.304639313488874</c:v>
                </c:pt>
                <c:pt idx="2">
                  <c:v>25.98551890587289</c:v>
                </c:pt>
                <c:pt idx="3">
                  <c:v>25.046929471708236</c:v>
                </c:pt>
                <c:pt idx="4">
                  <c:v>18.423169750603378</c:v>
                </c:pt>
                <c:pt idx="5">
                  <c:v>10.458567980691875</c:v>
                </c:pt>
                <c:pt idx="6">
                  <c:v>3.110753553231429</c:v>
                </c:pt>
                <c:pt idx="7">
                  <c:v>0.13408420488066505</c:v>
                </c:pt>
              </c:numCache>
            </c:numRef>
          </c:val>
        </c:ser>
        <c:ser>
          <c:idx val="5"/>
          <c:order val="1"/>
          <c:tx>
            <c:v>2009</c:v>
          </c:tx>
          <c:spPr>
            <a:solidFill>
              <a:srgbClr val="FF8080"/>
            </a:solidFill>
            <a:ln w="12700">
              <a:solidFill>
                <a:srgbClr val="000000"/>
              </a:solidFill>
              <a:prstDash val="solid"/>
            </a:ln>
          </c:spPr>
          <c:invertIfNegative val="0"/>
          <c:val>
            <c:numRef>
              <c:f>'37'!$C$85:$J$85</c:f>
              <c:numCache>
                <c:formatCode>0.00</c:formatCode>
                <c:ptCount val="8"/>
                <c:pt idx="0">
                  <c:v>0.35509423654739142</c:v>
                </c:pt>
                <c:pt idx="1">
                  <c:v>17.645452062278068</c:v>
                </c:pt>
                <c:pt idx="2">
                  <c:v>25.184375853591916</c:v>
                </c:pt>
                <c:pt idx="3">
                  <c:v>23.272329964490577</c:v>
                </c:pt>
                <c:pt idx="4">
                  <c:v>18.628789948101613</c:v>
                </c:pt>
                <c:pt idx="5">
                  <c:v>11.745424747336793</c:v>
                </c:pt>
                <c:pt idx="6">
                  <c:v>3.0319584812892653</c:v>
                </c:pt>
                <c:pt idx="7">
                  <c:v>0.13657470636438132</c:v>
                </c:pt>
              </c:numCache>
            </c:numRef>
          </c:val>
        </c:ser>
        <c:ser>
          <c:idx val="6"/>
          <c:order val="2"/>
          <c:tx>
            <c:v>2010</c:v>
          </c:tx>
          <c:spPr>
            <a:solidFill>
              <a:srgbClr val="0080C0"/>
            </a:solidFill>
            <a:ln w="12700">
              <a:solidFill>
                <a:srgbClr val="000000"/>
              </a:solidFill>
              <a:prstDash val="solid"/>
            </a:ln>
          </c:spPr>
          <c:invertIfNegative val="0"/>
          <c:val>
            <c:numRef>
              <c:f>'37'!$C$86:$J$86</c:f>
              <c:numCache>
                <c:formatCode>0.00</c:formatCode>
                <c:ptCount val="8"/>
                <c:pt idx="0">
                  <c:v>0.36434977578475336</c:v>
                </c:pt>
                <c:pt idx="1">
                  <c:v>14.517937219730943</c:v>
                </c:pt>
                <c:pt idx="2">
                  <c:v>25.168161434977577</c:v>
                </c:pt>
                <c:pt idx="3">
                  <c:v>26.065022421524663</c:v>
                </c:pt>
                <c:pt idx="4">
                  <c:v>20.011210762331839</c:v>
                </c:pt>
                <c:pt idx="5">
                  <c:v>11.18273542600897</c:v>
                </c:pt>
                <c:pt idx="6">
                  <c:v>2.6065022421524664</c:v>
                </c:pt>
                <c:pt idx="7">
                  <c:v>8.4080717488789244E-2</c:v>
                </c:pt>
              </c:numCache>
            </c:numRef>
          </c:val>
        </c:ser>
        <c:ser>
          <c:idx val="0"/>
          <c:order val="3"/>
          <c:tx>
            <c:v>2011</c:v>
          </c:tx>
          <c:spPr>
            <a:solidFill>
              <a:srgbClr val="8080FF"/>
            </a:solidFill>
            <a:ln w="12700">
              <a:solidFill>
                <a:srgbClr val="000000"/>
              </a:solidFill>
              <a:prstDash val="solid"/>
            </a:ln>
          </c:spPr>
          <c:invertIfNegative val="0"/>
          <c:val>
            <c:numRef>
              <c:f>'37'!$C$87:$J$87</c:f>
              <c:numCache>
                <c:formatCode>0.00</c:formatCode>
                <c:ptCount val="8"/>
                <c:pt idx="0">
                  <c:v>0.26371308016877637</c:v>
                </c:pt>
                <c:pt idx="1">
                  <c:v>14.978902953586498</c:v>
                </c:pt>
                <c:pt idx="2">
                  <c:v>26.292194092827003</c:v>
                </c:pt>
                <c:pt idx="3">
                  <c:v>24.894514767932492</c:v>
                </c:pt>
                <c:pt idx="4">
                  <c:v>19.831223628691983</c:v>
                </c:pt>
                <c:pt idx="5">
                  <c:v>10.548523206751055</c:v>
                </c:pt>
                <c:pt idx="6">
                  <c:v>2.9272151898734178</c:v>
                </c:pt>
                <c:pt idx="7">
                  <c:v>0.26371308016877637</c:v>
                </c:pt>
              </c:numCache>
            </c:numRef>
          </c:val>
        </c:ser>
        <c:ser>
          <c:idx val="1"/>
          <c:order val="4"/>
          <c:tx>
            <c:v>2012</c:v>
          </c:tx>
          <c:invertIfNegative val="0"/>
          <c:val>
            <c:numRef>
              <c:f>'37'!$C$98:$J$98</c:f>
              <c:numCache>
                <c:formatCode>0.00</c:formatCode>
                <c:ptCount val="8"/>
                <c:pt idx="0">
                  <c:v>0.28901734104046239</c:v>
                </c:pt>
                <c:pt idx="1">
                  <c:v>9.2485549132947966</c:v>
                </c:pt>
                <c:pt idx="2">
                  <c:v>20.23121387283237</c:v>
                </c:pt>
                <c:pt idx="3">
                  <c:v>22.254335260115607</c:v>
                </c:pt>
                <c:pt idx="4">
                  <c:v>23.410404624277454</c:v>
                </c:pt>
                <c:pt idx="5">
                  <c:v>14.450867052023122</c:v>
                </c:pt>
                <c:pt idx="6">
                  <c:v>8.6705202312138727</c:v>
                </c:pt>
                <c:pt idx="7">
                  <c:v>1.4450867052023122</c:v>
                </c:pt>
              </c:numCache>
            </c:numRef>
          </c:val>
        </c:ser>
        <c:ser>
          <c:idx val="2"/>
          <c:order val="5"/>
          <c:tx>
            <c:v>2013</c:v>
          </c:tx>
          <c:invertIfNegative val="0"/>
          <c:val>
            <c:numRef>
              <c:f>'37'!$C$99:$J$99</c:f>
              <c:numCache>
                <c:formatCode>0.00</c:formatCode>
                <c:ptCount val="8"/>
                <c:pt idx="0">
                  <c:v>0.5988023952095809</c:v>
                </c:pt>
                <c:pt idx="1">
                  <c:v>6.88622754491018</c:v>
                </c:pt>
                <c:pt idx="2">
                  <c:v>20.958083832335326</c:v>
                </c:pt>
                <c:pt idx="3">
                  <c:v>24.850299401197603</c:v>
                </c:pt>
                <c:pt idx="4">
                  <c:v>20.059880239520957</c:v>
                </c:pt>
                <c:pt idx="5">
                  <c:v>15.269461077844312</c:v>
                </c:pt>
                <c:pt idx="6">
                  <c:v>10.179640718562874</c:v>
                </c:pt>
                <c:pt idx="7">
                  <c:v>1.1976047904191618</c:v>
                </c:pt>
              </c:numCache>
            </c:numRef>
          </c:val>
        </c:ser>
        <c:dLbls>
          <c:showLegendKey val="0"/>
          <c:showVal val="0"/>
          <c:showCatName val="0"/>
          <c:showSerName val="0"/>
          <c:showPercent val="0"/>
          <c:showBubbleSize val="0"/>
        </c:dLbls>
        <c:gapWidth val="150"/>
        <c:axId val="335854968"/>
        <c:axId val="335855360"/>
      </c:barChart>
      <c:catAx>
        <c:axId val="335854968"/>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s-ES"/>
                  <a:t>o/o</a:t>
                </a:r>
              </a:p>
            </c:rich>
          </c:tx>
          <c:layout>
            <c:manualLayout>
              <c:xMode val="edge"/>
              <c:yMode val="edge"/>
              <c:x val="4.8319327731092439E-2"/>
              <c:y val="7.8066914498144124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35855360"/>
        <c:crosses val="autoZero"/>
        <c:auto val="1"/>
        <c:lblAlgn val="ctr"/>
        <c:lblOffset val="100"/>
        <c:tickLblSkip val="1"/>
        <c:tickMarkSkip val="1"/>
        <c:noMultiLvlLbl val="0"/>
      </c:catAx>
      <c:valAx>
        <c:axId val="335855360"/>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35854968"/>
        <c:crosses val="autoZero"/>
        <c:crossBetween val="between"/>
      </c:valAx>
      <c:spPr>
        <a:gradFill rotWithShape="0">
          <a:gsLst>
            <a:gs pos="0">
              <a:srgbClr val="C0C0C0"/>
            </a:gs>
            <a:gs pos="100000">
              <a:srgbClr val="C0C0C0">
                <a:gamma/>
                <a:tint val="0"/>
                <a:invGamma/>
              </a:srgbClr>
            </a:gs>
          </a:gsLst>
          <a:lin ang="5400000" scaled="1"/>
        </a:gradFill>
        <a:ln w="12700">
          <a:solidFill>
            <a:srgbClr val="C0C0C0"/>
          </a:solidFill>
          <a:prstDash val="solid"/>
        </a:ln>
      </c:spPr>
    </c:plotArea>
    <c:legend>
      <c:legendPos val="r"/>
      <c:layout>
        <c:manualLayout>
          <c:xMode val="edge"/>
          <c:yMode val="edge"/>
          <c:x val="0.88235294117647056"/>
          <c:y val="0.25650557620817843"/>
          <c:w val="7.8306755773178138E-2"/>
          <c:h val="0.40205368380998702"/>
        </c:manualLayout>
      </c:layout>
      <c:overlay val="0"/>
      <c:spPr>
        <a:solidFill>
          <a:srgbClr val="FFFFFF"/>
        </a:solidFill>
        <a:ln w="3175">
          <a:solidFill>
            <a:srgbClr val="000000"/>
          </a:solidFill>
          <a:prstDash val="solid"/>
        </a:ln>
      </c:spPr>
      <c:txPr>
        <a:bodyPr/>
        <a:lstStyle/>
        <a:p>
          <a:pPr>
            <a:defRPr sz="68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1" i="0" u="none" strike="noStrike" baseline="0">
                <a:solidFill>
                  <a:srgbClr val="333399"/>
                </a:solidFill>
                <a:latin typeface="Arial"/>
                <a:ea typeface="Arial"/>
                <a:cs typeface="Arial"/>
              </a:defRPr>
            </a:pPr>
            <a:r>
              <a:rPr lang="es-ES"/>
              <a:t>PORCENTAJE  DE  ABORTOS  SEGÚN  EDAD  DE  LA  MADRE
2008 - 2013</a:t>
            </a:r>
          </a:p>
        </c:rich>
      </c:tx>
      <c:layout>
        <c:manualLayout>
          <c:xMode val="edge"/>
          <c:yMode val="edge"/>
          <c:x val="0.14705882352941191"/>
          <c:y val="3.717472118959108E-2"/>
        </c:manualLayout>
      </c:layout>
      <c:overlay val="0"/>
      <c:spPr>
        <a:noFill/>
        <a:ln w="25400">
          <a:noFill/>
        </a:ln>
      </c:spPr>
    </c:title>
    <c:autoTitleDeleted val="0"/>
    <c:plotArea>
      <c:layout>
        <c:manualLayout>
          <c:layoutTarget val="inner"/>
          <c:xMode val="edge"/>
          <c:yMode val="edge"/>
          <c:x val="0.1134453781512605"/>
          <c:y val="0.17843866171003744"/>
          <c:w val="0.75000000000001465"/>
          <c:h val="0.67286245353162533"/>
        </c:manualLayout>
      </c:layout>
      <c:barChart>
        <c:barDir val="col"/>
        <c:grouping val="clustered"/>
        <c:varyColors val="0"/>
        <c:ser>
          <c:idx val="2"/>
          <c:order val="0"/>
          <c:tx>
            <c:strRef>
              <c:f>'37'!$B$94</c:f>
              <c:strCache>
                <c:ptCount val="1"/>
                <c:pt idx="0">
                  <c:v>2010</c:v>
                </c:pt>
              </c:strCache>
            </c:strRef>
          </c:tx>
          <c:spPr>
            <a:solidFill>
              <a:srgbClr val="FFFFC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'37'!$C$94:$J$94</c:f>
              <c:numCache>
                <c:formatCode>0.00</c:formatCode>
                <c:ptCount val="8"/>
                <c:pt idx="0">
                  <c:v>0</c:v>
                </c:pt>
                <c:pt idx="1">
                  <c:v>12.5</c:v>
                </c:pt>
                <c:pt idx="2">
                  <c:v>17.1875</c:v>
                </c:pt>
                <c:pt idx="3">
                  <c:v>20.3125</c:v>
                </c:pt>
                <c:pt idx="4">
                  <c:v>19.0625</c:v>
                </c:pt>
                <c:pt idx="5">
                  <c:v>19.6875</c:v>
                </c:pt>
                <c:pt idx="6">
                  <c:v>8.75</c:v>
                </c:pt>
                <c:pt idx="7">
                  <c:v>2.5</c:v>
                </c:pt>
              </c:numCache>
            </c:numRef>
          </c:val>
        </c:ser>
        <c:ser>
          <c:idx val="3"/>
          <c:order val="1"/>
          <c:tx>
            <c:strRef>
              <c:f>'37'!$B$95</c:f>
              <c:strCache>
                <c:ptCount val="1"/>
                <c:pt idx="0">
                  <c:v>2011</c:v>
                </c:pt>
              </c:strCache>
            </c:strRef>
          </c:tx>
          <c:spPr>
            <a:solidFill>
              <a:srgbClr val="A0E0E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'37'!$C$95:$J$95</c:f>
              <c:numCache>
                <c:formatCode>0.00</c:formatCode>
                <c:ptCount val="8"/>
                <c:pt idx="0">
                  <c:v>0.84745762711864403</c:v>
                </c:pt>
                <c:pt idx="1">
                  <c:v>15.819209039548024</c:v>
                </c:pt>
                <c:pt idx="2">
                  <c:v>23.728813559322035</c:v>
                </c:pt>
                <c:pt idx="3">
                  <c:v>17.231638418079097</c:v>
                </c:pt>
                <c:pt idx="4">
                  <c:v>16.101694915254235</c:v>
                </c:pt>
                <c:pt idx="5">
                  <c:v>16.949152542372879</c:v>
                </c:pt>
                <c:pt idx="6">
                  <c:v>8.1920903954802249</c:v>
                </c:pt>
                <c:pt idx="7">
                  <c:v>1.1299435028248588</c:v>
                </c:pt>
              </c:numCache>
            </c:numRef>
          </c:val>
        </c:ser>
        <c:ser>
          <c:idx val="4"/>
          <c:order val="2"/>
          <c:tx>
            <c:strRef>
              <c:f>'37'!$B$96</c:f>
              <c:strCache>
                <c:ptCount val="1"/>
                <c:pt idx="0">
                  <c:v>2012</c:v>
                </c:pt>
              </c:strCache>
            </c:strRef>
          </c:tx>
          <c:spPr>
            <a:solidFill>
              <a:srgbClr val="FFFF0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'37'!$C$96:$J$96</c:f>
              <c:numCache>
                <c:formatCode>0.00</c:formatCode>
                <c:ptCount val="8"/>
                <c:pt idx="0">
                  <c:v>0.91743119266055051</c:v>
                </c:pt>
                <c:pt idx="1">
                  <c:v>7.951070336391437</c:v>
                </c:pt>
                <c:pt idx="2">
                  <c:v>21.712538226299692</c:v>
                </c:pt>
                <c:pt idx="3">
                  <c:v>21.100917431192663</c:v>
                </c:pt>
                <c:pt idx="4">
                  <c:v>20.795107033639145</c:v>
                </c:pt>
                <c:pt idx="5">
                  <c:v>17.431192660550458</c:v>
                </c:pt>
                <c:pt idx="6">
                  <c:v>9.1743119266055047</c:v>
                </c:pt>
                <c:pt idx="7">
                  <c:v>0.91743119266055051</c:v>
                </c:pt>
              </c:numCache>
            </c:numRef>
          </c:val>
        </c:ser>
        <c:ser>
          <c:idx val="5"/>
          <c:order val="3"/>
          <c:tx>
            <c:strRef>
              <c:f>'37'!$B$97</c:f>
              <c:strCache>
                <c:ptCount val="1"/>
                <c:pt idx="0">
                  <c:v>2013</c:v>
                </c:pt>
              </c:strCache>
            </c:strRef>
          </c:tx>
          <c:spPr>
            <a:solidFill>
              <a:srgbClr val="FF808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'37'!$C$97:$J$97</c:f>
              <c:numCache>
                <c:formatCode>0.00</c:formatCode>
                <c:ptCount val="8"/>
                <c:pt idx="0">
                  <c:v>3.0136986301369864</c:v>
                </c:pt>
                <c:pt idx="1">
                  <c:v>10.684931506849315</c:v>
                </c:pt>
                <c:pt idx="2">
                  <c:v>19.17808219178082</c:v>
                </c:pt>
                <c:pt idx="3">
                  <c:v>20</c:v>
                </c:pt>
                <c:pt idx="4">
                  <c:v>19.726027397260275</c:v>
                </c:pt>
                <c:pt idx="5">
                  <c:v>16.986301369863014</c:v>
                </c:pt>
                <c:pt idx="6">
                  <c:v>9.3150684931506849</c:v>
                </c:pt>
                <c:pt idx="7">
                  <c:v>1.095890410958904</c:v>
                </c:pt>
              </c:numCache>
            </c:numRef>
          </c:val>
        </c:ser>
        <c:ser>
          <c:idx val="0"/>
          <c:order val="4"/>
          <c:tx>
            <c:strRef>
              <c:f>'37'!$B$98</c:f>
              <c:strCache>
                <c:ptCount val="1"/>
                <c:pt idx="0">
                  <c:v>2014</c:v>
                </c:pt>
              </c:strCache>
            </c:strRef>
          </c:tx>
          <c:spPr>
            <a:solidFill>
              <a:srgbClr val="8080FF"/>
            </a:solidFill>
            <a:ln w="12700">
              <a:solidFill>
                <a:srgbClr val="000000"/>
              </a:solidFill>
              <a:prstDash val="solid"/>
            </a:ln>
          </c:spPr>
          <c:invertIfNegative val="0"/>
          <c:val>
            <c:numRef>
              <c:f>'37'!$C$98:$J$98</c:f>
              <c:numCache>
                <c:formatCode>0.00</c:formatCode>
                <c:ptCount val="8"/>
                <c:pt idx="0">
                  <c:v>0.28901734104046239</c:v>
                </c:pt>
                <c:pt idx="1">
                  <c:v>9.2485549132947966</c:v>
                </c:pt>
                <c:pt idx="2">
                  <c:v>20.23121387283237</c:v>
                </c:pt>
                <c:pt idx="3">
                  <c:v>22.254335260115607</c:v>
                </c:pt>
                <c:pt idx="4">
                  <c:v>23.410404624277454</c:v>
                </c:pt>
                <c:pt idx="5">
                  <c:v>14.450867052023122</c:v>
                </c:pt>
                <c:pt idx="6">
                  <c:v>8.6705202312138727</c:v>
                </c:pt>
                <c:pt idx="7">
                  <c:v>1.4450867052023122</c:v>
                </c:pt>
              </c:numCache>
            </c:numRef>
          </c:val>
        </c:ser>
        <c:ser>
          <c:idx val="1"/>
          <c:order val="5"/>
          <c:tx>
            <c:strRef>
              <c:f>'37'!$B$99</c:f>
              <c:strCache>
                <c:ptCount val="1"/>
                <c:pt idx="0">
                  <c:v>2015</c:v>
                </c:pt>
              </c:strCache>
            </c:strRef>
          </c:tx>
          <c:spPr>
            <a:solidFill>
              <a:srgbClr val="802060"/>
            </a:solidFill>
            <a:ln w="12700">
              <a:solidFill>
                <a:srgbClr val="000000"/>
              </a:solidFill>
              <a:prstDash val="solid"/>
            </a:ln>
          </c:spPr>
          <c:invertIfNegative val="0"/>
          <c:val>
            <c:numRef>
              <c:f>'37'!$C$99:$J$99</c:f>
              <c:numCache>
                <c:formatCode>0.00</c:formatCode>
                <c:ptCount val="8"/>
                <c:pt idx="0">
                  <c:v>0.5988023952095809</c:v>
                </c:pt>
                <c:pt idx="1">
                  <c:v>6.88622754491018</c:v>
                </c:pt>
                <c:pt idx="2">
                  <c:v>20.958083832335326</c:v>
                </c:pt>
                <c:pt idx="3">
                  <c:v>24.850299401197603</c:v>
                </c:pt>
                <c:pt idx="4">
                  <c:v>20.059880239520957</c:v>
                </c:pt>
                <c:pt idx="5">
                  <c:v>15.269461077844312</c:v>
                </c:pt>
                <c:pt idx="6">
                  <c:v>10.179640718562874</c:v>
                </c:pt>
                <c:pt idx="7">
                  <c:v>1.1976047904191618</c:v>
                </c:pt>
              </c:numCache>
            </c:numRef>
          </c:val>
        </c:ser>
        <c:dLbls>
          <c:showLegendKey val="0"/>
          <c:showVal val="0"/>
          <c:showCatName val="0"/>
          <c:showSerName val="0"/>
          <c:showPercent val="0"/>
          <c:showBubbleSize val="0"/>
        </c:dLbls>
        <c:gapWidth val="150"/>
        <c:axId val="335856144"/>
        <c:axId val="335856536"/>
      </c:barChart>
      <c:catAx>
        <c:axId val="335856144"/>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s-ES"/>
                  <a:t>o/o</a:t>
                </a:r>
              </a:p>
            </c:rich>
          </c:tx>
          <c:layout>
            <c:manualLayout>
              <c:xMode val="edge"/>
              <c:yMode val="edge"/>
              <c:x val="5.2521008403361352E-2"/>
              <c:y val="4.4609665427509292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35856536"/>
        <c:crosses val="autoZero"/>
        <c:auto val="1"/>
        <c:lblAlgn val="ctr"/>
        <c:lblOffset val="100"/>
        <c:tickLblSkip val="1"/>
        <c:tickMarkSkip val="1"/>
        <c:noMultiLvlLbl val="0"/>
      </c:catAx>
      <c:valAx>
        <c:axId val="335856536"/>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35856144"/>
        <c:crosses val="autoZero"/>
        <c:crossBetween val="between"/>
      </c:valAx>
      <c:spPr>
        <a:gradFill rotWithShape="0">
          <a:gsLst>
            <a:gs pos="0">
              <a:srgbClr val="C0C0C0"/>
            </a:gs>
            <a:gs pos="100000">
              <a:srgbClr val="C0C0C0">
                <a:gamma/>
                <a:tint val="0"/>
                <a:invGamma/>
              </a:srgbClr>
            </a:gs>
          </a:gsLst>
          <a:lin ang="5400000" scaled="1"/>
        </a:gradFill>
        <a:ln w="12700">
          <a:solidFill>
            <a:srgbClr val="808080"/>
          </a:solidFill>
          <a:prstDash val="solid"/>
        </a:ln>
      </c:spPr>
    </c:plotArea>
    <c:legend>
      <c:legendPos val="r"/>
      <c:layout>
        <c:manualLayout>
          <c:xMode val="edge"/>
          <c:yMode val="edge"/>
          <c:x val="0.88235294117647056"/>
          <c:y val="0.25650557620817843"/>
          <c:w val="0.10084033613444986"/>
          <c:h val="0.44981412639407137"/>
        </c:manualLayout>
      </c:layout>
      <c:overlay val="0"/>
      <c:spPr>
        <a:solidFill>
          <a:srgbClr val="FFFFFF"/>
        </a:solidFill>
        <a:ln w="3175">
          <a:solidFill>
            <a:srgbClr val="000000"/>
          </a:solidFill>
          <a:prstDash val="solid"/>
        </a:ln>
      </c:spPr>
      <c:txPr>
        <a:bodyPr/>
        <a:lstStyle/>
        <a:p>
          <a:pPr>
            <a:defRPr sz="68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5" orientation="landscape"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1" i="0" u="none" strike="noStrike" baseline="0">
                <a:solidFill>
                  <a:srgbClr val="333399"/>
                </a:solidFill>
                <a:latin typeface="Arial"/>
                <a:ea typeface="Arial"/>
                <a:cs typeface="Arial"/>
              </a:defRPr>
            </a:pPr>
            <a:r>
              <a:rPr lang="es-ES"/>
              <a:t>PORCENTAJE  DE  PARTOS SEGÚN  EDAD  DE  LA  MADRE
2010 - 2015</a:t>
            </a:r>
          </a:p>
        </c:rich>
      </c:tx>
      <c:layout>
        <c:manualLayout>
          <c:xMode val="edge"/>
          <c:yMode val="edge"/>
          <c:x val="0.15966386554622869"/>
          <c:y val="3.717472118959108E-2"/>
        </c:manualLayout>
      </c:layout>
      <c:overlay val="0"/>
      <c:spPr>
        <a:noFill/>
        <a:ln w="25400">
          <a:noFill/>
        </a:ln>
      </c:spPr>
    </c:title>
    <c:autoTitleDeleted val="0"/>
    <c:plotArea>
      <c:layout>
        <c:manualLayout>
          <c:layoutTarget val="inner"/>
          <c:xMode val="edge"/>
          <c:yMode val="edge"/>
          <c:x val="0.10924369747899702"/>
          <c:y val="0.21189591078066924"/>
          <c:w val="0.75000000000001465"/>
          <c:h val="0.67286245353162533"/>
        </c:manualLayout>
      </c:layout>
      <c:barChart>
        <c:barDir val="col"/>
        <c:grouping val="clustered"/>
        <c:varyColors val="0"/>
        <c:ser>
          <c:idx val="4"/>
          <c:order val="0"/>
          <c:tx>
            <c:strRef>
              <c:f>'37'!$B$83</c:f>
              <c:strCache>
                <c:ptCount val="1"/>
                <c:pt idx="0">
                  <c:v>2010</c:v>
                </c:pt>
              </c:strCache>
            </c:strRef>
          </c:tx>
          <c:spPr>
            <a:solidFill>
              <a:srgbClr val="FFFF99"/>
            </a:solidFill>
            <a:ln w="12700">
              <a:solidFill>
                <a:srgbClr val="000000"/>
              </a:solidFill>
              <a:prstDash val="solid"/>
            </a:ln>
          </c:spPr>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'37'!$C$83:$J$83</c:f>
              <c:numCache>
                <c:formatCode>0.00</c:formatCode>
                <c:ptCount val="8"/>
                <c:pt idx="0">
                  <c:v>0.58370920668612369</c:v>
                </c:pt>
                <c:pt idx="1">
                  <c:v>17.32555054391085</c:v>
                </c:pt>
                <c:pt idx="2">
                  <c:v>26.691430087556384</c:v>
                </c:pt>
                <c:pt idx="3">
                  <c:v>23.4810294507827</c:v>
                </c:pt>
                <c:pt idx="4">
                  <c:v>17.750066330591668</c:v>
                </c:pt>
                <c:pt idx="5">
                  <c:v>10.427169010347573</c:v>
                </c:pt>
                <c:pt idx="6">
                  <c:v>3.5818519501193946</c:v>
                </c:pt>
                <c:pt idx="7">
                  <c:v>0.15919342000530645</c:v>
                </c:pt>
              </c:numCache>
            </c:numRef>
          </c:val>
        </c:ser>
        <c:ser>
          <c:idx val="5"/>
          <c:order val="1"/>
          <c:tx>
            <c:strRef>
              <c:f>'37'!$B$84</c:f>
              <c:strCache>
                <c:ptCount val="1"/>
                <c:pt idx="0">
                  <c:v>2011</c:v>
                </c:pt>
              </c:strCache>
            </c:strRef>
          </c:tx>
          <c:spPr>
            <a:solidFill>
              <a:srgbClr val="FF8080"/>
            </a:solidFill>
            <a:ln w="12700">
              <a:solidFill>
                <a:srgbClr val="000000"/>
              </a:solidFill>
              <a:prstDash val="solid"/>
            </a:ln>
          </c:spPr>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'37'!$C$84:$J$84</c:f>
              <c:numCache>
                <c:formatCode>0.00</c:formatCode>
                <c:ptCount val="8"/>
                <c:pt idx="0">
                  <c:v>0.53633681952266021</c:v>
                </c:pt>
                <c:pt idx="1">
                  <c:v>16.304639313488874</c:v>
                </c:pt>
                <c:pt idx="2">
                  <c:v>25.98551890587289</c:v>
                </c:pt>
                <c:pt idx="3">
                  <c:v>25.046929471708236</c:v>
                </c:pt>
                <c:pt idx="4">
                  <c:v>18.423169750603378</c:v>
                </c:pt>
                <c:pt idx="5">
                  <c:v>10.458567980691875</c:v>
                </c:pt>
                <c:pt idx="6">
                  <c:v>3.110753553231429</c:v>
                </c:pt>
                <c:pt idx="7">
                  <c:v>0.13408420488066505</c:v>
                </c:pt>
              </c:numCache>
            </c:numRef>
          </c:val>
        </c:ser>
        <c:ser>
          <c:idx val="6"/>
          <c:order val="2"/>
          <c:tx>
            <c:strRef>
              <c:f>'37'!$B$85</c:f>
              <c:strCache>
                <c:ptCount val="1"/>
                <c:pt idx="0">
                  <c:v>2012</c:v>
                </c:pt>
              </c:strCache>
            </c:strRef>
          </c:tx>
          <c:spPr>
            <a:solidFill>
              <a:srgbClr val="0080C0"/>
            </a:solidFill>
            <a:ln w="12700">
              <a:solidFill>
                <a:srgbClr val="000000"/>
              </a:solidFill>
              <a:prstDash val="solid"/>
            </a:ln>
          </c:spPr>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'37'!$C$85:$J$85</c:f>
              <c:numCache>
                <c:formatCode>0.00</c:formatCode>
                <c:ptCount val="8"/>
                <c:pt idx="0">
                  <c:v>0.35509423654739142</c:v>
                </c:pt>
                <c:pt idx="1">
                  <c:v>17.645452062278068</c:v>
                </c:pt>
                <c:pt idx="2">
                  <c:v>25.184375853591916</c:v>
                </c:pt>
                <c:pt idx="3">
                  <c:v>23.272329964490577</c:v>
                </c:pt>
                <c:pt idx="4">
                  <c:v>18.628789948101613</c:v>
                </c:pt>
                <c:pt idx="5">
                  <c:v>11.745424747336793</c:v>
                </c:pt>
                <c:pt idx="6">
                  <c:v>3.0319584812892653</c:v>
                </c:pt>
                <c:pt idx="7">
                  <c:v>0.13657470636438132</c:v>
                </c:pt>
              </c:numCache>
            </c:numRef>
          </c:val>
        </c:ser>
        <c:ser>
          <c:idx val="0"/>
          <c:order val="3"/>
          <c:tx>
            <c:strRef>
              <c:f>'37'!$B$86</c:f>
              <c:strCache>
                <c:ptCount val="1"/>
                <c:pt idx="0">
                  <c:v>2013</c:v>
                </c:pt>
              </c:strCache>
            </c:strRef>
          </c:tx>
          <c:spPr>
            <a:solidFill>
              <a:srgbClr val="8080FF"/>
            </a:solidFill>
            <a:ln w="12700">
              <a:solidFill>
                <a:srgbClr val="000000"/>
              </a:solidFill>
              <a:prstDash val="solid"/>
            </a:ln>
          </c:spPr>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'37'!$C$86:$J$86</c:f>
              <c:numCache>
                <c:formatCode>0.00</c:formatCode>
                <c:ptCount val="8"/>
                <c:pt idx="0">
                  <c:v>0.36434977578475336</c:v>
                </c:pt>
                <c:pt idx="1">
                  <c:v>14.517937219730943</c:v>
                </c:pt>
                <c:pt idx="2">
                  <c:v>25.168161434977577</c:v>
                </c:pt>
                <c:pt idx="3">
                  <c:v>26.065022421524663</c:v>
                </c:pt>
                <c:pt idx="4">
                  <c:v>20.011210762331839</c:v>
                </c:pt>
                <c:pt idx="5">
                  <c:v>11.18273542600897</c:v>
                </c:pt>
                <c:pt idx="6">
                  <c:v>2.6065022421524664</c:v>
                </c:pt>
                <c:pt idx="7">
                  <c:v>8.4080717488789244E-2</c:v>
                </c:pt>
              </c:numCache>
            </c:numRef>
          </c:val>
        </c:ser>
        <c:ser>
          <c:idx val="1"/>
          <c:order val="4"/>
          <c:tx>
            <c:strRef>
              <c:f>'37'!$B$87</c:f>
              <c:strCache>
                <c:ptCount val="1"/>
                <c:pt idx="0">
                  <c:v>2014</c:v>
                </c:pt>
              </c:strCache>
            </c:strRef>
          </c:tx>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'37'!$C$87:$J$87</c:f>
              <c:numCache>
                <c:formatCode>0.00</c:formatCode>
                <c:ptCount val="8"/>
                <c:pt idx="0">
                  <c:v>0.26371308016877637</c:v>
                </c:pt>
                <c:pt idx="1">
                  <c:v>14.978902953586498</c:v>
                </c:pt>
                <c:pt idx="2">
                  <c:v>26.292194092827003</c:v>
                </c:pt>
                <c:pt idx="3">
                  <c:v>24.894514767932492</c:v>
                </c:pt>
                <c:pt idx="4">
                  <c:v>19.831223628691983</c:v>
                </c:pt>
                <c:pt idx="5">
                  <c:v>10.548523206751055</c:v>
                </c:pt>
                <c:pt idx="6">
                  <c:v>2.9272151898734178</c:v>
                </c:pt>
                <c:pt idx="7">
                  <c:v>0.26371308016877637</c:v>
                </c:pt>
              </c:numCache>
            </c:numRef>
          </c:val>
        </c:ser>
        <c:ser>
          <c:idx val="2"/>
          <c:order val="5"/>
          <c:tx>
            <c:strRef>
              <c:f>'37'!$B$88</c:f>
              <c:strCache>
                <c:ptCount val="1"/>
                <c:pt idx="0">
                  <c:v>2015</c:v>
                </c:pt>
              </c:strCache>
            </c:strRef>
          </c:tx>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'37'!$C$88:$J$88</c:f>
              <c:numCache>
                <c:formatCode>0.00</c:formatCode>
                <c:ptCount val="8"/>
                <c:pt idx="0">
                  <c:v>0.63325991189427311</c:v>
                </c:pt>
                <c:pt idx="1">
                  <c:v>13.518722466960353</c:v>
                </c:pt>
                <c:pt idx="2">
                  <c:v>25.908590308370044</c:v>
                </c:pt>
                <c:pt idx="3">
                  <c:v>24.972466960352424</c:v>
                </c:pt>
                <c:pt idx="4">
                  <c:v>21.255506607929515</c:v>
                </c:pt>
                <c:pt idx="5">
                  <c:v>10.572687224669604</c:v>
                </c:pt>
                <c:pt idx="6">
                  <c:v>2.9735682819383258</c:v>
                </c:pt>
                <c:pt idx="7">
                  <c:v>0.16519823788546256</c:v>
                </c:pt>
              </c:numCache>
            </c:numRef>
          </c:val>
        </c:ser>
        <c:dLbls>
          <c:showLegendKey val="0"/>
          <c:showVal val="0"/>
          <c:showCatName val="0"/>
          <c:showSerName val="0"/>
          <c:showPercent val="0"/>
          <c:showBubbleSize val="0"/>
        </c:dLbls>
        <c:gapWidth val="150"/>
        <c:axId val="335857320"/>
        <c:axId val="336272120"/>
      </c:barChart>
      <c:catAx>
        <c:axId val="335857320"/>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s-ES"/>
                  <a:t>o/o</a:t>
                </a:r>
              </a:p>
            </c:rich>
          </c:tx>
          <c:layout>
            <c:manualLayout>
              <c:xMode val="edge"/>
              <c:yMode val="edge"/>
              <c:x val="4.8319327731092439E-2"/>
              <c:y val="7.8066914498144124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36272120"/>
        <c:crosses val="autoZero"/>
        <c:auto val="1"/>
        <c:lblAlgn val="ctr"/>
        <c:lblOffset val="100"/>
        <c:tickLblSkip val="1"/>
        <c:tickMarkSkip val="1"/>
        <c:noMultiLvlLbl val="0"/>
      </c:catAx>
      <c:valAx>
        <c:axId val="336272120"/>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35857320"/>
        <c:crosses val="autoZero"/>
        <c:crossBetween val="between"/>
      </c:valAx>
      <c:spPr>
        <a:gradFill rotWithShape="0">
          <a:gsLst>
            <a:gs pos="0">
              <a:srgbClr val="C0C0C0"/>
            </a:gs>
            <a:gs pos="100000">
              <a:srgbClr val="C0C0C0">
                <a:gamma/>
                <a:tint val="0"/>
                <a:invGamma/>
              </a:srgbClr>
            </a:gs>
          </a:gsLst>
          <a:lin ang="5400000" scaled="1"/>
        </a:gradFill>
        <a:ln w="12700">
          <a:solidFill>
            <a:srgbClr val="C0C0C0"/>
          </a:solidFill>
          <a:prstDash val="solid"/>
        </a:ln>
      </c:spPr>
    </c:plotArea>
    <c:legend>
      <c:legendPos val="r"/>
      <c:layout>
        <c:manualLayout>
          <c:xMode val="edge"/>
          <c:yMode val="edge"/>
          <c:x val="0.88235294117647056"/>
          <c:y val="0.25650557620817843"/>
          <c:w val="7.8306755773178138E-2"/>
          <c:h val="0.40205368380998702"/>
        </c:manualLayout>
      </c:layout>
      <c:overlay val="0"/>
      <c:spPr>
        <a:solidFill>
          <a:srgbClr val="FFFFFF"/>
        </a:solidFill>
        <a:ln w="3175">
          <a:solidFill>
            <a:srgbClr val="000000"/>
          </a:solidFill>
          <a:prstDash val="solid"/>
        </a:ln>
      </c:spPr>
      <c:txPr>
        <a:bodyPr/>
        <a:lstStyle/>
        <a:p>
          <a:pPr>
            <a:defRPr sz="68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1" i="0" u="none" strike="noStrike" baseline="0">
                <a:solidFill>
                  <a:srgbClr val="333399"/>
                </a:solidFill>
                <a:latin typeface="Arial"/>
                <a:ea typeface="Arial"/>
                <a:cs typeface="Arial"/>
              </a:defRPr>
            </a:pPr>
            <a:r>
              <a:rPr lang="es-ES"/>
              <a:t>PORCENTAJE  DE  ABORTOS  SEGÚN  EDAD  DE  LA  MADRE
2010 - 2015</a:t>
            </a:r>
          </a:p>
        </c:rich>
      </c:tx>
      <c:layout>
        <c:manualLayout>
          <c:xMode val="edge"/>
          <c:yMode val="edge"/>
          <c:x val="0.14705882352941191"/>
          <c:y val="3.717472118959108E-2"/>
        </c:manualLayout>
      </c:layout>
      <c:overlay val="0"/>
      <c:spPr>
        <a:noFill/>
        <a:ln w="25400">
          <a:noFill/>
        </a:ln>
      </c:spPr>
    </c:title>
    <c:autoTitleDeleted val="0"/>
    <c:plotArea>
      <c:layout>
        <c:manualLayout>
          <c:layoutTarget val="inner"/>
          <c:xMode val="edge"/>
          <c:yMode val="edge"/>
          <c:x val="0.1134453781512605"/>
          <c:y val="0.17843866171003744"/>
          <c:w val="0.75000000000001465"/>
          <c:h val="0.67286245353162533"/>
        </c:manualLayout>
      </c:layout>
      <c:barChart>
        <c:barDir val="col"/>
        <c:grouping val="clustered"/>
        <c:varyColors val="0"/>
        <c:ser>
          <c:idx val="2"/>
          <c:order val="0"/>
          <c:tx>
            <c:strRef>
              <c:f>'37'!$B$94</c:f>
              <c:strCache>
                <c:ptCount val="1"/>
                <c:pt idx="0">
                  <c:v>2010</c:v>
                </c:pt>
              </c:strCache>
            </c:strRef>
          </c:tx>
          <c:spPr>
            <a:solidFill>
              <a:srgbClr val="FFFFC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'37'!$C$94:$J$94</c:f>
              <c:numCache>
                <c:formatCode>0.00</c:formatCode>
                <c:ptCount val="8"/>
                <c:pt idx="0">
                  <c:v>0</c:v>
                </c:pt>
                <c:pt idx="1">
                  <c:v>12.5</c:v>
                </c:pt>
                <c:pt idx="2">
                  <c:v>17.1875</c:v>
                </c:pt>
                <c:pt idx="3">
                  <c:v>20.3125</c:v>
                </c:pt>
                <c:pt idx="4">
                  <c:v>19.0625</c:v>
                </c:pt>
                <c:pt idx="5">
                  <c:v>19.6875</c:v>
                </c:pt>
                <c:pt idx="6">
                  <c:v>8.75</c:v>
                </c:pt>
                <c:pt idx="7">
                  <c:v>2.5</c:v>
                </c:pt>
              </c:numCache>
            </c:numRef>
          </c:val>
        </c:ser>
        <c:ser>
          <c:idx val="3"/>
          <c:order val="1"/>
          <c:tx>
            <c:strRef>
              <c:f>'37'!$B$95</c:f>
              <c:strCache>
                <c:ptCount val="1"/>
                <c:pt idx="0">
                  <c:v>2011</c:v>
                </c:pt>
              </c:strCache>
            </c:strRef>
          </c:tx>
          <c:spPr>
            <a:solidFill>
              <a:srgbClr val="A0E0E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'37'!$C$95:$J$95</c:f>
              <c:numCache>
                <c:formatCode>0.00</c:formatCode>
                <c:ptCount val="8"/>
                <c:pt idx="0">
                  <c:v>0.84745762711864403</c:v>
                </c:pt>
                <c:pt idx="1">
                  <c:v>15.819209039548024</c:v>
                </c:pt>
                <c:pt idx="2">
                  <c:v>23.728813559322035</c:v>
                </c:pt>
                <c:pt idx="3">
                  <c:v>17.231638418079097</c:v>
                </c:pt>
                <c:pt idx="4">
                  <c:v>16.101694915254235</c:v>
                </c:pt>
                <c:pt idx="5">
                  <c:v>16.949152542372879</c:v>
                </c:pt>
                <c:pt idx="6">
                  <c:v>8.1920903954802249</c:v>
                </c:pt>
                <c:pt idx="7">
                  <c:v>1.1299435028248588</c:v>
                </c:pt>
              </c:numCache>
            </c:numRef>
          </c:val>
        </c:ser>
        <c:ser>
          <c:idx val="4"/>
          <c:order val="2"/>
          <c:tx>
            <c:strRef>
              <c:f>'37'!$B$96</c:f>
              <c:strCache>
                <c:ptCount val="1"/>
                <c:pt idx="0">
                  <c:v>2012</c:v>
                </c:pt>
              </c:strCache>
            </c:strRef>
          </c:tx>
          <c:spPr>
            <a:solidFill>
              <a:srgbClr val="FFFF0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'37'!$C$96:$J$96</c:f>
              <c:numCache>
                <c:formatCode>0.00</c:formatCode>
                <c:ptCount val="8"/>
                <c:pt idx="0">
                  <c:v>0.91743119266055051</c:v>
                </c:pt>
                <c:pt idx="1">
                  <c:v>7.951070336391437</c:v>
                </c:pt>
                <c:pt idx="2">
                  <c:v>21.712538226299692</c:v>
                </c:pt>
                <c:pt idx="3">
                  <c:v>21.100917431192663</c:v>
                </c:pt>
                <c:pt idx="4">
                  <c:v>20.795107033639145</c:v>
                </c:pt>
                <c:pt idx="5">
                  <c:v>17.431192660550458</c:v>
                </c:pt>
                <c:pt idx="6">
                  <c:v>9.1743119266055047</c:v>
                </c:pt>
                <c:pt idx="7">
                  <c:v>0.91743119266055051</c:v>
                </c:pt>
              </c:numCache>
            </c:numRef>
          </c:val>
        </c:ser>
        <c:ser>
          <c:idx val="5"/>
          <c:order val="3"/>
          <c:tx>
            <c:strRef>
              <c:f>'37'!$B$97</c:f>
              <c:strCache>
                <c:ptCount val="1"/>
                <c:pt idx="0">
                  <c:v>2013</c:v>
                </c:pt>
              </c:strCache>
            </c:strRef>
          </c:tx>
          <c:spPr>
            <a:solidFill>
              <a:srgbClr val="FF808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'37'!$C$97:$J$97</c:f>
              <c:numCache>
                <c:formatCode>0.00</c:formatCode>
                <c:ptCount val="8"/>
                <c:pt idx="0">
                  <c:v>3.0136986301369864</c:v>
                </c:pt>
                <c:pt idx="1">
                  <c:v>10.684931506849315</c:v>
                </c:pt>
                <c:pt idx="2">
                  <c:v>19.17808219178082</c:v>
                </c:pt>
                <c:pt idx="3">
                  <c:v>20</c:v>
                </c:pt>
                <c:pt idx="4">
                  <c:v>19.726027397260275</c:v>
                </c:pt>
                <c:pt idx="5">
                  <c:v>16.986301369863014</c:v>
                </c:pt>
                <c:pt idx="6">
                  <c:v>9.3150684931506849</c:v>
                </c:pt>
                <c:pt idx="7">
                  <c:v>1.095890410958904</c:v>
                </c:pt>
              </c:numCache>
            </c:numRef>
          </c:val>
        </c:ser>
        <c:ser>
          <c:idx val="0"/>
          <c:order val="4"/>
          <c:tx>
            <c:strRef>
              <c:f>'37'!$B$98</c:f>
              <c:strCache>
                <c:ptCount val="1"/>
                <c:pt idx="0">
                  <c:v>2014</c:v>
                </c:pt>
              </c:strCache>
            </c:strRef>
          </c:tx>
          <c:spPr>
            <a:solidFill>
              <a:srgbClr val="8080FF"/>
            </a:solidFill>
            <a:ln w="12700">
              <a:solidFill>
                <a:srgbClr val="000000"/>
              </a:solidFill>
              <a:prstDash val="solid"/>
            </a:ln>
          </c:spPr>
          <c:invertIfNegative val="0"/>
          <c:val>
            <c:numRef>
              <c:f>'37'!$C$98:$J$98</c:f>
              <c:numCache>
                <c:formatCode>0.00</c:formatCode>
                <c:ptCount val="8"/>
                <c:pt idx="0">
                  <c:v>0.28901734104046239</c:v>
                </c:pt>
                <c:pt idx="1">
                  <c:v>9.2485549132947966</c:v>
                </c:pt>
                <c:pt idx="2">
                  <c:v>20.23121387283237</c:v>
                </c:pt>
                <c:pt idx="3">
                  <c:v>22.254335260115607</c:v>
                </c:pt>
                <c:pt idx="4">
                  <c:v>23.410404624277454</c:v>
                </c:pt>
                <c:pt idx="5">
                  <c:v>14.450867052023122</c:v>
                </c:pt>
                <c:pt idx="6">
                  <c:v>8.6705202312138727</c:v>
                </c:pt>
                <c:pt idx="7">
                  <c:v>1.4450867052023122</c:v>
                </c:pt>
              </c:numCache>
            </c:numRef>
          </c:val>
        </c:ser>
        <c:ser>
          <c:idx val="1"/>
          <c:order val="5"/>
          <c:tx>
            <c:strRef>
              <c:f>'37'!$B$99</c:f>
              <c:strCache>
                <c:ptCount val="1"/>
                <c:pt idx="0">
                  <c:v>2015</c:v>
                </c:pt>
              </c:strCache>
            </c:strRef>
          </c:tx>
          <c:spPr>
            <a:solidFill>
              <a:srgbClr val="802060"/>
            </a:solidFill>
            <a:ln w="12700">
              <a:solidFill>
                <a:srgbClr val="000000"/>
              </a:solidFill>
              <a:prstDash val="solid"/>
            </a:ln>
          </c:spPr>
          <c:invertIfNegative val="0"/>
          <c:val>
            <c:numRef>
              <c:f>'37'!$C$99:$J$99</c:f>
              <c:numCache>
                <c:formatCode>0.00</c:formatCode>
                <c:ptCount val="8"/>
                <c:pt idx="0">
                  <c:v>0.5988023952095809</c:v>
                </c:pt>
                <c:pt idx="1">
                  <c:v>6.88622754491018</c:v>
                </c:pt>
                <c:pt idx="2">
                  <c:v>20.958083832335326</c:v>
                </c:pt>
                <c:pt idx="3">
                  <c:v>24.850299401197603</c:v>
                </c:pt>
                <c:pt idx="4">
                  <c:v>20.059880239520957</c:v>
                </c:pt>
                <c:pt idx="5">
                  <c:v>15.269461077844312</c:v>
                </c:pt>
                <c:pt idx="6">
                  <c:v>10.179640718562874</c:v>
                </c:pt>
                <c:pt idx="7">
                  <c:v>1.1976047904191618</c:v>
                </c:pt>
              </c:numCache>
            </c:numRef>
          </c:val>
        </c:ser>
        <c:dLbls>
          <c:showLegendKey val="0"/>
          <c:showVal val="0"/>
          <c:showCatName val="0"/>
          <c:showSerName val="0"/>
          <c:showPercent val="0"/>
          <c:showBubbleSize val="0"/>
        </c:dLbls>
        <c:gapWidth val="150"/>
        <c:axId val="336272904"/>
        <c:axId val="336273296"/>
      </c:barChart>
      <c:catAx>
        <c:axId val="336272904"/>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s-ES"/>
                  <a:t>o/o</a:t>
                </a:r>
              </a:p>
            </c:rich>
          </c:tx>
          <c:layout>
            <c:manualLayout>
              <c:xMode val="edge"/>
              <c:yMode val="edge"/>
              <c:x val="5.2521008403361352E-2"/>
              <c:y val="4.4609665427509292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36273296"/>
        <c:crosses val="autoZero"/>
        <c:auto val="1"/>
        <c:lblAlgn val="ctr"/>
        <c:lblOffset val="100"/>
        <c:tickLblSkip val="1"/>
        <c:tickMarkSkip val="1"/>
        <c:noMultiLvlLbl val="0"/>
      </c:catAx>
      <c:valAx>
        <c:axId val="336273296"/>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36272904"/>
        <c:crosses val="autoZero"/>
        <c:crossBetween val="between"/>
      </c:valAx>
      <c:spPr>
        <a:gradFill rotWithShape="0">
          <a:gsLst>
            <a:gs pos="0">
              <a:srgbClr val="C0C0C0"/>
            </a:gs>
            <a:gs pos="100000">
              <a:srgbClr val="C0C0C0">
                <a:gamma/>
                <a:tint val="0"/>
                <a:invGamma/>
              </a:srgbClr>
            </a:gs>
          </a:gsLst>
          <a:lin ang="5400000" scaled="1"/>
        </a:gradFill>
        <a:ln w="12700">
          <a:solidFill>
            <a:srgbClr val="808080"/>
          </a:solidFill>
          <a:prstDash val="solid"/>
        </a:ln>
      </c:spPr>
    </c:plotArea>
    <c:legend>
      <c:legendPos val="r"/>
      <c:layout>
        <c:manualLayout>
          <c:xMode val="edge"/>
          <c:yMode val="edge"/>
          <c:x val="0.88235294117647056"/>
          <c:y val="0.25650557620817843"/>
          <c:w val="0.10084033613444986"/>
          <c:h val="0.44981412639407137"/>
        </c:manualLayout>
      </c:layout>
      <c:overlay val="0"/>
      <c:spPr>
        <a:solidFill>
          <a:srgbClr val="FFFFFF"/>
        </a:solidFill>
        <a:ln w="3175">
          <a:solidFill>
            <a:srgbClr val="000000"/>
          </a:solidFill>
          <a:prstDash val="solid"/>
        </a:ln>
      </c:spPr>
      <c:txPr>
        <a:bodyPr/>
        <a:lstStyle/>
        <a:p>
          <a:pPr>
            <a:defRPr sz="68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5" orientation="landscape"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333399"/>
                </a:solidFill>
                <a:latin typeface="Arial"/>
                <a:ea typeface="Arial"/>
                <a:cs typeface="Arial"/>
              </a:defRPr>
            </a:pPr>
            <a:r>
              <a:rPr lang="es-ES"/>
              <a:t>PORCENTAJE  DE CESAREAS DEL  TOTAL  DE  PARTOS 
SERVICIO  DE  SALUD  ACONCAGUA  2009 - 2013  </a:t>
            </a:r>
          </a:p>
        </c:rich>
      </c:tx>
      <c:layout>
        <c:manualLayout>
          <c:xMode val="edge"/>
          <c:yMode val="edge"/>
          <c:x val="0.19874498951230984"/>
          <c:y val="3.6544850498338874E-2"/>
        </c:manualLayout>
      </c:layout>
      <c:overlay val="0"/>
      <c:spPr>
        <a:noFill/>
        <a:ln w="25400">
          <a:noFill/>
        </a:ln>
      </c:spPr>
    </c:title>
    <c:autoTitleDeleted val="0"/>
    <c:plotArea>
      <c:layout>
        <c:manualLayout>
          <c:layoutTarget val="inner"/>
          <c:xMode val="edge"/>
          <c:yMode val="edge"/>
          <c:x val="7.7405936811443005E-2"/>
          <c:y val="0.1893690779580402"/>
          <c:w val="0.91422687531350244"/>
          <c:h val="0.64451931796245254"/>
        </c:manualLayout>
      </c:layout>
      <c:lineChart>
        <c:grouping val="standard"/>
        <c:varyColors val="0"/>
        <c:ser>
          <c:idx val="0"/>
          <c:order val="0"/>
          <c:tx>
            <c:v>Total</c:v>
          </c:tx>
          <c:spPr>
            <a:ln w="25400">
              <a:solidFill>
                <a:srgbClr val="000080"/>
              </a:solidFill>
              <a:prstDash val="solid"/>
            </a:ln>
          </c:spPr>
          <c:marker>
            <c:symbol val="none"/>
          </c:marker>
          <c:cat>
            <c:numRef>
              <c:f>'38'!$N$20:$R$20</c:f>
              <c:numCache>
                <c:formatCode>General</c:formatCode>
                <c:ptCount val="5"/>
                <c:pt idx="0">
                  <c:v>2011</c:v>
                </c:pt>
                <c:pt idx="1">
                  <c:v>2012</c:v>
                </c:pt>
                <c:pt idx="2">
                  <c:v>2013</c:v>
                </c:pt>
                <c:pt idx="3">
                  <c:v>2013</c:v>
                </c:pt>
                <c:pt idx="4">
                  <c:v>2015</c:v>
                </c:pt>
              </c:numCache>
            </c:numRef>
          </c:cat>
          <c:val>
            <c:numRef>
              <c:f>('38'!$B$14,'38'!$D$14,'38'!$F$14,'38'!$H$14,'38'!$J$14)</c:f>
              <c:numCache>
                <c:formatCode>0.0</c:formatCode>
                <c:ptCount val="5"/>
                <c:pt idx="0">
                  <c:v>50.630195762939124</c:v>
                </c:pt>
                <c:pt idx="1">
                  <c:v>55.331412103746402</c:v>
                </c:pt>
                <c:pt idx="2">
                  <c:v>56.558295964125563</c:v>
                </c:pt>
                <c:pt idx="3">
                  <c:v>57.72679324894515</c:v>
                </c:pt>
                <c:pt idx="4">
                  <c:v>55.506607929515418</c:v>
                </c:pt>
              </c:numCache>
            </c:numRef>
          </c:val>
          <c:smooth val="0"/>
        </c:ser>
        <c:ser>
          <c:idx val="1"/>
          <c:order val="1"/>
          <c:tx>
            <c:v>Beneficiarios</c:v>
          </c:tx>
          <c:spPr>
            <a:ln w="25400">
              <a:solidFill>
                <a:srgbClr val="FF0000"/>
              </a:solidFill>
              <a:prstDash val="solid"/>
            </a:ln>
          </c:spPr>
          <c:marker>
            <c:symbol val="none"/>
          </c:marker>
          <c:cat>
            <c:numRef>
              <c:f>'38'!$N$20:$R$20</c:f>
              <c:numCache>
                <c:formatCode>General</c:formatCode>
                <c:ptCount val="5"/>
                <c:pt idx="0">
                  <c:v>2011</c:v>
                </c:pt>
                <c:pt idx="1">
                  <c:v>2012</c:v>
                </c:pt>
                <c:pt idx="2">
                  <c:v>2013</c:v>
                </c:pt>
                <c:pt idx="3">
                  <c:v>2013</c:v>
                </c:pt>
                <c:pt idx="4">
                  <c:v>2015</c:v>
                </c:pt>
              </c:numCache>
            </c:numRef>
          </c:cat>
          <c:val>
            <c:numRef>
              <c:f>('38'!$C$14,'38'!$E$14,'38'!$G$14,'38'!$I$14,'38'!$K$14)</c:f>
              <c:numCache>
                <c:formatCode>0.0</c:formatCode>
                <c:ptCount val="5"/>
                <c:pt idx="0">
                  <c:v>37.5</c:v>
                </c:pt>
                <c:pt idx="1">
                  <c:v>37.813310285220396</c:v>
                </c:pt>
                <c:pt idx="2">
                  <c:v>38.971648246035564</c:v>
                </c:pt>
                <c:pt idx="3">
                  <c:v>39.066666666666663</c:v>
                </c:pt>
                <c:pt idx="4">
                  <c:v>38.186046511627907</c:v>
                </c:pt>
              </c:numCache>
            </c:numRef>
          </c:val>
          <c:smooth val="0"/>
        </c:ser>
        <c:dLbls>
          <c:showLegendKey val="0"/>
          <c:showVal val="0"/>
          <c:showCatName val="0"/>
          <c:showSerName val="0"/>
          <c:showPercent val="0"/>
          <c:showBubbleSize val="0"/>
        </c:dLbls>
        <c:smooth val="0"/>
        <c:axId val="336274080"/>
        <c:axId val="336274472"/>
      </c:lineChart>
      <c:catAx>
        <c:axId val="336274080"/>
        <c:scaling>
          <c:orientation val="minMax"/>
        </c:scaling>
        <c:delete val="0"/>
        <c:axPos val="b"/>
        <c:title>
          <c:tx>
            <c:rich>
              <a:bodyPr/>
              <a:lstStyle/>
              <a:p>
                <a:pPr>
                  <a:defRPr sz="500" b="1" i="0" u="none" strike="noStrike" baseline="0">
                    <a:solidFill>
                      <a:srgbClr val="000000"/>
                    </a:solidFill>
                    <a:latin typeface="Arial"/>
                    <a:ea typeface="Arial"/>
                    <a:cs typeface="Arial"/>
                  </a:defRPr>
                </a:pPr>
                <a:r>
                  <a:rPr lang="es-ES"/>
                  <a:t>PORCENTAJE</a:t>
                </a:r>
              </a:p>
            </c:rich>
          </c:tx>
          <c:layout>
            <c:manualLayout>
              <c:xMode val="edge"/>
              <c:yMode val="edge"/>
              <c:x val="1.8828451882845303E-2"/>
              <c:y val="8.9700996677740868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36274472"/>
        <c:crosses val="autoZero"/>
        <c:auto val="1"/>
        <c:lblAlgn val="ctr"/>
        <c:lblOffset val="100"/>
        <c:tickLblSkip val="1"/>
        <c:tickMarkSkip val="1"/>
        <c:noMultiLvlLbl val="0"/>
      </c:catAx>
      <c:valAx>
        <c:axId val="336274472"/>
        <c:scaling>
          <c:orientation val="minMax"/>
          <c:max val="58"/>
          <c:min val="3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36274080"/>
        <c:crosses val="autoZero"/>
        <c:crossBetween val="between"/>
        <c:majorUnit val="5"/>
      </c:valAx>
      <c:spPr>
        <a:gradFill rotWithShape="0">
          <a:gsLst>
            <a:gs pos="0">
              <a:srgbClr val="C0C0C0"/>
            </a:gs>
            <a:gs pos="100000">
              <a:srgbClr val="C0C0C0">
                <a:gamma/>
                <a:tint val="0"/>
                <a:invGamma/>
              </a:srgbClr>
            </a:gs>
          </a:gsLst>
          <a:lin ang="5400000" scaled="1"/>
        </a:gradFill>
        <a:ln w="12700">
          <a:solidFill>
            <a:srgbClr val="808080"/>
          </a:solidFill>
          <a:prstDash val="solid"/>
        </a:ln>
      </c:spPr>
    </c:plotArea>
    <c:legend>
      <c:legendPos val="r"/>
      <c:layout>
        <c:manualLayout>
          <c:xMode val="edge"/>
          <c:yMode val="edge"/>
          <c:x val="0.30753160039096783"/>
          <c:y val="0.91694491676915468"/>
          <c:w val="0.46861968613756338"/>
          <c:h val="7.3089700996675444E-2"/>
        </c:manualLayout>
      </c:layout>
      <c:overlay val="0"/>
      <c:spPr>
        <a:solidFill>
          <a:srgbClr val="FFFFFF"/>
        </a:solidFill>
        <a:ln w="3175">
          <a:solidFill>
            <a:srgbClr val="000000"/>
          </a:solidFill>
          <a:prstDash val="solid"/>
        </a:ln>
      </c:spPr>
      <c:txPr>
        <a:bodyPr/>
        <a:lstStyle/>
        <a:p>
          <a:pPr>
            <a:defRPr sz="775" b="1"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333399"/>
                </a:solidFill>
                <a:latin typeface="Arial"/>
                <a:ea typeface="Arial"/>
                <a:cs typeface="Arial"/>
              </a:defRPr>
            </a:pPr>
            <a:r>
              <a:rPr lang="es-ES"/>
              <a:t>PORCENTAJE  DE CESAREAS DEL  TOTAL  DE  PARTOS 
SERVICIO  DE  SALUD  ACONCAGUA  2011 - 2015  </a:t>
            </a:r>
          </a:p>
        </c:rich>
      </c:tx>
      <c:layout>
        <c:manualLayout>
          <c:xMode val="edge"/>
          <c:yMode val="edge"/>
          <c:x val="0.19874498951230984"/>
          <c:y val="3.6544850498338874E-2"/>
        </c:manualLayout>
      </c:layout>
      <c:overlay val="0"/>
      <c:spPr>
        <a:noFill/>
        <a:ln w="25400">
          <a:noFill/>
        </a:ln>
      </c:spPr>
    </c:title>
    <c:autoTitleDeleted val="0"/>
    <c:plotArea>
      <c:layout>
        <c:manualLayout>
          <c:layoutTarget val="inner"/>
          <c:xMode val="edge"/>
          <c:yMode val="edge"/>
          <c:x val="7.7405936811443005E-2"/>
          <c:y val="0.1893690779580402"/>
          <c:w val="0.91422687531350244"/>
          <c:h val="0.64451931796245254"/>
        </c:manualLayout>
      </c:layout>
      <c:lineChart>
        <c:grouping val="standard"/>
        <c:varyColors val="0"/>
        <c:ser>
          <c:idx val="0"/>
          <c:order val="0"/>
          <c:tx>
            <c:v>Total</c:v>
          </c:tx>
          <c:spPr>
            <a:ln w="25400">
              <a:solidFill>
                <a:srgbClr val="000080"/>
              </a:solidFill>
              <a:prstDash val="solid"/>
            </a:ln>
          </c:spPr>
          <c:marker>
            <c:symbol val="none"/>
          </c:marker>
          <c:cat>
            <c:numRef>
              <c:f>'38'!$N$20:$R$20</c:f>
              <c:numCache>
                <c:formatCode>General</c:formatCode>
                <c:ptCount val="5"/>
                <c:pt idx="0">
                  <c:v>2011</c:v>
                </c:pt>
                <c:pt idx="1">
                  <c:v>2012</c:v>
                </c:pt>
                <c:pt idx="2">
                  <c:v>2013</c:v>
                </c:pt>
                <c:pt idx="3">
                  <c:v>2013</c:v>
                </c:pt>
                <c:pt idx="4">
                  <c:v>2015</c:v>
                </c:pt>
              </c:numCache>
            </c:numRef>
          </c:cat>
          <c:val>
            <c:numRef>
              <c:f>('38'!$B$14,'38'!$D$14,'38'!$F$14,'38'!$H$14,'38'!$J$14)</c:f>
              <c:numCache>
                <c:formatCode>0.0</c:formatCode>
                <c:ptCount val="5"/>
                <c:pt idx="0">
                  <c:v>50.630195762939124</c:v>
                </c:pt>
                <c:pt idx="1">
                  <c:v>55.331412103746402</c:v>
                </c:pt>
                <c:pt idx="2">
                  <c:v>56.558295964125563</c:v>
                </c:pt>
                <c:pt idx="3">
                  <c:v>57.72679324894515</c:v>
                </c:pt>
                <c:pt idx="4">
                  <c:v>55.506607929515418</c:v>
                </c:pt>
              </c:numCache>
            </c:numRef>
          </c:val>
          <c:smooth val="0"/>
        </c:ser>
        <c:ser>
          <c:idx val="1"/>
          <c:order val="1"/>
          <c:tx>
            <c:v>Beneficiarios</c:v>
          </c:tx>
          <c:spPr>
            <a:ln w="25400">
              <a:solidFill>
                <a:srgbClr val="FF0000"/>
              </a:solidFill>
              <a:prstDash val="solid"/>
            </a:ln>
          </c:spPr>
          <c:marker>
            <c:symbol val="none"/>
          </c:marker>
          <c:cat>
            <c:numRef>
              <c:f>'38'!$N$20:$R$20</c:f>
              <c:numCache>
                <c:formatCode>General</c:formatCode>
                <c:ptCount val="5"/>
                <c:pt idx="0">
                  <c:v>2011</c:v>
                </c:pt>
                <c:pt idx="1">
                  <c:v>2012</c:v>
                </c:pt>
                <c:pt idx="2">
                  <c:v>2013</c:v>
                </c:pt>
                <c:pt idx="3">
                  <c:v>2013</c:v>
                </c:pt>
                <c:pt idx="4">
                  <c:v>2015</c:v>
                </c:pt>
              </c:numCache>
            </c:numRef>
          </c:cat>
          <c:val>
            <c:numRef>
              <c:f>('38'!$C$14,'38'!$E$14,'38'!$G$14,'38'!$I$14,'38'!$K$14)</c:f>
              <c:numCache>
                <c:formatCode>0.0</c:formatCode>
                <c:ptCount val="5"/>
                <c:pt idx="0">
                  <c:v>37.5</c:v>
                </c:pt>
                <c:pt idx="1">
                  <c:v>37.813310285220396</c:v>
                </c:pt>
                <c:pt idx="2">
                  <c:v>38.971648246035564</c:v>
                </c:pt>
                <c:pt idx="3">
                  <c:v>39.066666666666663</c:v>
                </c:pt>
                <c:pt idx="4">
                  <c:v>38.186046511627907</c:v>
                </c:pt>
              </c:numCache>
            </c:numRef>
          </c:val>
          <c:smooth val="0"/>
        </c:ser>
        <c:dLbls>
          <c:showLegendKey val="0"/>
          <c:showVal val="0"/>
          <c:showCatName val="0"/>
          <c:showSerName val="0"/>
          <c:showPercent val="0"/>
          <c:showBubbleSize val="0"/>
        </c:dLbls>
        <c:smooth val="0"/>
        <c:axId val="336275256"/>
        <c:axId val="336275648"/>
      </c:lineChart>
      <c:catAx>
        <c:axId val="336275256"/>
        <c:scaling>
          <c:orientation val="minMax"/>
        </c:scaling>
        <c:delete val="0"/>
        <c:axPos val="b"/>
        <c:title>
          <c:tx>
            <c:rich>
              <a:bodyPr/>
              <a:lstStyle/>
              <a:p>
                <a:pPr>
                  <a:defRPr sz="500" b="1" i="0" u="none" strike="noStrike" baseline="0">
                    <a:solidFill>
                      <a:srgbClr val="000000"/>
                    </a:solidFill>
                    <a:latin typeface="Arial"/>
                    <a:ea typeface="Arial"/>
                    <a:cs typeface="Arial"/>
                  </a:defRPr>
                </a:pPr>
                <a:r>
                  <a:rPr lang="es-ES"/>
                  <a:t>PORCENTAJE</a:t>
                </a:r>
              </a:p>
            </c:rich>
          </c:tx>
          <c:layout>
            <c:manualLayout>
              <c:xMode val="edge"/>
              <c:yMode val="edge"/>
              <c:x val="1.8828451882845303E-2"/>
              <c:y val="8.9700996677740868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36275648"/>
        <c:crosses val="autoZero"/>
        <c:auto val="1"/>
        <c:lblAlgn val="ctr"/>
        <c:lblOffset val="100"/>
        <c:tickLblSkip val="1"/>
        <c:tickMarkSkip val="1"/>
        <c:noMultiLvlLbl val="0"/>
      </c:catAx>
      <c:valAx>
        <c:axId val="336275648"/>
        <c:scaling>
          <c:orientation val="minMax"/>
          <c:max val="60"/>
          <c:min val="3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36275256"/>
        <c:crosses val="autoZero"/>
        <c:crossBetween val="between"/>
        <c:majorUnit val="5"/>
      </c:valAx>
      <c:spPr>
        <a:gradFill rotWithShape="0">
          <a:gsLst>
            <a:gs pos="0">
              <a:srgbClr val="C0C0C0"/>
            </a:gs>
            <a:gs pos="100000">
              <a:srgbClr val="C0C0C0">
                <a:gamma/>
                <a:tint val="0"/>
                <a:invGamma/>
              </a:srgbClr>
            </a:gs>
          </a:gsLst>
          <a:lin ang="5400000" scaled="1"/>
        </a:gradFill>
        <a:ln w="12700">
          <a:solidFill>
            <a:srgbClr val="808080"/>
          </a:solidFill>
          <a:prstDash val="solid"/>
        </a:ln>
      </c:spPr>
    </c:plotArea>
    <c:legend>
      <c:legendPos val="r"/>
      <c:layout>
        <c:manualLayout>
          <c:xMode val="edge"/>
          <c:yMode val="edge"/>
          <c:x val="0.30753160039096783"/>
          <c:y val="0.91694491676915468"/>
          <c:w val="0.46861968613756338"/>
          <c:h val="7.3089700996675444E-2"/>
        </c:manualLayout>
      </c:layout>
      <c:overlay val="0"/>
      <c:spPr>
        <a:solidFill>
          <a:srgbClr val="FFFFFF"/>
        </a:solidFill>
        <a:ln w="3175">
          <a:solidFill>
            <a:srgbClr val="000000"/>
          </a:solidFill>
          <a:prstDash val="solid"/>
        </a:ln>
      </c:spPr>
      <c:txPr>
        <a:bodyPr/>
        <a:lstStyle/>
        <a:p>
          <a:pPr>
            <a:defRPr sz="775" b="1"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Perfil  de  Esterilización  Femenina y Masculina
Servicio de  Salud  Aconcagua  2008 -  2013</a:t>
            </a:r>
          </a:p>
        </c:rich>
      </c:tx>
      <c:layout>
        <c:manualLayout>
          <c:xMode val="edge"/>
          <c:yMode val="edge"/>
          <c:x val="0.26098549265895732"/>
          <c:y val="3.4700315457415656E-2"/>
        </c:manualLayout>
      </c:layout>
      <c:overlay val="0"/>
      <c:spPr>
        <a:noFill/>
        <a:ln w="25400">
          <a:noFill/>
        </a:ln>
      </c:spPr>
    </c:title>
    <c:autoTitleDeleted val="0"/>
    <c:plotArea>
      <c:layout>
        <c:manualLayout>
          <c:layoutTarget val="inner"/>
          <c:xMode val="edge"/>
          <c:yMode val="edge"/>
          <c:x val="6.3914821848750122E-2"/>
          <c:y val="0.27760252365930632"/>
          <c:w val="0.90146529982501356"/>
          <c:h val="0.56466876971608837"/>
        </c:manualLayout>
      </c:layout>
      <c:lineChart>
        <c:grouping val="standard"/>
        <c:varyColors val="0"/>
        <c:ser>
          <c:idx val="1"/>
          <c:order val="0"/>
          <c:tx>
            <c:v>Femenina</c:v>
          </c:tx>
          <c:spPr>
            <a:ln w="25400">
              <a:solidFill>
                <a:srgbClr val="FF0000"/>
              </a:solidFill>
              <a:prstDash val="solid"/>
            </a:ln>
          </c:spPr>
          <c:marker>
            <c:symbol val="square"/>
            <c:size val="8"/>
            <c:spPr>
              <a:noFill/>
              <a:ln w="9525">
                <a:noFill/>
              </a:ln>
            </c:spPr>
          </c:marker>
          <c:cat>
            <c:numRef>
              <c:f>'40'!$T$8:$Y$8</c:f>
              <c:numCache>
                <c:formatCode>General</c:formatCode>
                <c:ptCount val="6"/>
                <c:pt idx="0">
                  <c:v>2010</c:v>
                </c:pt>
                <c:pt idx="1">
                  <c:v>2011</c:v>
                </c:pt>
                <c:pt idx="2">
                  <c:v>2012</c:v>
                </c:pt>
                <c:pt idx="3">
                  <c:v>2013</c:v>
                </c:pt>
                <c:pt idx="4">
                  <c:v>2014</c:v>
                </c:pt>
                <c:pt idx="5">
                  <c:v>2015</c:v>
                </c:pt>
              </c:numCache>
            </c:numRef>
          </c:cat>
          <c:val>
            <c:numRef>
              <c:f>'40'!$T$12:$Y$12</c:f>
              <c:numCache>
                <c:formatCode>General</c:formatCode>
                <c:ptCount val="6"/>
                <c:pt idx="0">
                  <c:v>515</c:v>
                </c:pt>
                <c:pt idx="1">
                  <c:v>490</c:v>
                </c:pt>
                <c:pt idx="2">
                  <c:v>603</c:v>
                </c:pt>
                <c:pt idx="3">
                  <c:v>532</c:v>
                </c:pt>
                <c:pt idx="4">
                  <c:v>593</c:v>
                </c:pt>
                <c:pt idx="5">
                  <c:v>619</c:v>
                </c:pt>
              </c:numCache>
            </c:numRef>
          </c:val>
          <c:smooth val="0"/>
        </c:ser>
        <c:dLbls>
          <c:showLegendKey val="0"/>
          <c:showVal val="0"/>
          <c:showCatName val="0"/>
          <c:showSerName val="0"/>
          <c:showPercent val="0"/>
          <c:showBubbleSize val="0"/>
        </c:dLbls>
        <c:marker val="1"/>
        <c:smooth val="0"/>
        <c:axId val="334270328"/>
        <c:axId val="334270720"/>
      </c:lineChart>
      <c:lineChart>
        <c:grouping val="standard"/>
        <c:varyColors val="0"/>
        <c:ser>
          <c:idx val="0"/>
          <c:order val="1"/>
          <c:tx>
            <c:v>Masculina</c:v>
          </c:tx>
          <c:spPr>
            <a:ln w="25400">
              <a:solidFill>
                <a:srgbClr val="000080"/>
              </a:solidFill>
              <a:prstDash val="solid"/>
            </a:ln>
          </c:spPr>
          <c:marker>
            <c:symbol val="none"/>
          </c:marker>
          <c:cat>
            <c:numRef>
              <c:f>'40'!$T$13:$Y$13</c:f>
              <c:numCache>
                <c:formatCode>General</c:formatCode>
                <c:ptCount val="6"/>
                <c:pt idx="0">
                  <c:v>2</c:v>
                </c:pt>
                <c:pt idx="1">
                  <c:v>5</c:v>
                </c:pt>
                <c:pt idx="2">
                  <c:v>4</c:v>
                </c:pt>
                <c:pt idx="3">
                  <c:v>2</c:v>
                </c:pt>
                <c:pt idx="4">
                  <c:v>5</c:v>
                </c:pt>
                <c:pt idx="5">
                  <c:v>1</c:v>
                </c:pt>
              </c:numCache>
            </c:numRef>
          </c:cat>
          <c:val>
            <c:numRef>
              <c:f>'40'!$T$13:$Y$13</c:f>
              <c:numCache>
                <c:formatCode>General</c:formatCode>
                <c:ptCount val="6"/>
                <c:pt idx="0">
                  <c:v>2</c:v>
                </c:pt>
                <c:pt idx="1">
                  <c:v>5</c:v>
                </c:pt>
                <c:pt idx="2">
                  <c:v>4</c:v>
                </c:pt>
                <c:pt idx="3">
                  <c:v>2</c:v>
                </c:pt>
                <c:pt idx="4">
                  <c:v>5</c:v>
                </c:pt>
                <c:pt idx="5">
                  <c:v>1</c:v>
                </c:pt>
              </c:numCache>
            </c:numRef>
          </c:val>
          <c:smooth val="0"/>
        </c:ser>
        <c:dLbls>
          <c:showLegendKey val="0"/>
          <c:showVal val="0"/>
          <c:showCatName val="0"/>
          <c:showSerName val="0"/>
          <c:showPercent val="0"/>
          <c:showBubbleSize val="0"/>
        </c:dLbls>
        <c:marker val="1"/>
        <c:smooth val="0"/>
        <c:axId val="334271112"/>
        <c:axId val="334271504"/>
      </c:lineChart>
      <c:catAx>
        <c:axId val="33427032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Femenina</a:t>
                </a:r>
              </a:p>
            </c:rich>
          </c:tx>
          <c:layout>
            <c:manualLayout>
              <c:xMode val="edge"/>
              <c:yMode val="edge"/>
              <c:x val="7.9893475366178534E-3"/>
              <c:y val="0.13564668769716845"/>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1" i="1" u="none" strike="noStrike" baseline="0">
                <a:solidFill>
                  <a:srgbClr val="000000"/>
                </a:solidFill>
                <a:latin typeface="Arial"/>
                <a:ea typeface="Arial"/>
                <a:cs typeface="Arial"/>
              </a:defRPr>
            </a:pPr>
            <a:endParaRPr lang="es-CL"/>
          </a:p>
        </c:txPr>
        <c:crossAx val="334270720"/>
        <c:crosses val="autoZero"/>
        <c:auto val="0"/>
        <c:lblAlgn val="ctr"/>
        <c:lblOffset val="100"/>
        <c:tickLblSkip val="1"/>
        <c:tickMarkSkip val="1"/>
        <c:noMultiLvlLbl val="0"/>
      </c:catAx>
      <c:valAx>
        <c:axId val="334270720"/>
        <c:scaling>
          <c:orientation val="minMax"/>
          <c:max val="700"/>
          <c:min val="400"/>
        </c:scaling>
        <c:delete val="0"/>
        <c:axPos val="l"/>
        <c:minorGridlines>
          <c:spPr>
            <a:ln w="3175">
              <a:solidFill>
                <a:srgbClr val="000000"/>
              </a:solidFill>
              <a:prstDash val="solid"/>
            </a:ln>
          </c:spPr>
        </c:minorGridlines>
        <c:numFmt formatCode="General" sourceLinked="1"/>
        <c:majorTickMark val="cross"/>
        <c:minorTickMark val="none"/>
        <c:tickLblPos val="nextTo"/>
        <c:spPr>
          <a:ln w="3175">
            <a:solidFill>
              <a:srgbClr val="000000"/>
            </a:solidFill>
            <a:prstDash val="solid"/>
          </a:ln>
        </c:spPr>
        <c:txPr>
          <a:bodyPr rot="0" vert="horz"/>
          <a:lstStyle/>
          <a:p>
            <a:pPr>
              <a:defRPr sz="800" b="1" i="1" u="none" strike="noStrike" baseline="0">
                <a:solidFill>
                  <a:srgbClr val="000000"/>
                </a:solidFill>
                <a:latin typeface="Arial"/>
                <a:ea typeface="Arial"/>
                <a:cs typeface="Arial"/>
              </a:defRPr>
            </a:pPr>
            <a:endParaRPr lang="es-CL"/>
          </a:p>
        </c:txPr>
        <c:crossAx val="334270328"/>
        <c:crosses val="autoZero"/>
        <c:crossBetween val="between"/>
        <c:majorUnit val="100"/>
        <c:minorUnit val="100"/>
      </c:valAx>
      <c:catAx>
        <c:axId val="334271112"/>
        <c:scaling>
          <c:orientation val="minMax"/>
        </c:scaling>
        <c:delete val="1"/>
        <c:axPos val="b"/>
        <c:title>
          <c:tx>
            <c:rich>
              <a:bodyPr/>
              <a:lstStyle/>
              <a:p>
                <a:pPr>
                  <a:defRPr sz="1000" b="1" i="0" u="none" strike="noStrike" baseline="0">
                    <a:solidFill>
                      <a:srgbClr val="000000"/>
                    </a:solidFill>
                    <a:latin typeface="Arial"/>
                    <a:ea typeface="Arial"/>
                    <a:cs typeface="Arial"/>
                  </a:defRPr>
                </a:pPr>
                <a:r>
                  <a:rPr lang="es-ES"/>
                  <a:t>Masculina</a:t>
                </a:r>
              </a:p>
            </c:rich>
          </c:tx>
          <c:layout>
            <c:manualLayout>
              <c:xMode val="edge"/>
              <c:yMode val="edge"/>
              <c:x val="0.90279683082224549"/>
              <c:y val="0.14511041009463724"/>
            </c:manualLayout>
          </c:layout>
          <c:overlay val="0"/>
          <c:spPr>
            <a:noFill/>
            <a:ln w="25400">
              <a:noFill/>
            </a:ln>
          </c:spPr>
        </c:title>
        <c:numFmt formatCode="General" sourceLinked="1"/>
        <c:majorTickMark val="out"/>
        <c:minorTickMark val="none"/>
        <c:tickLblPos val="nextTo"/>
        <c:crossAx val="334271504"/>
        <c:crosses val="autoZero"/>
        <c:auto val="0"/>
        <c:lblAlgn val="ctr"/>
        <c:lblOffset val="100"/>
        <c:noMultiLvlLbl val="0"/>
      </c:catAx>
      <c:valAx>
        <c:axId val="334271504"/>
        <c:scaling>
          <c:orientation val="minMax"/>
          <c:max val="10"/>
          <c:min val="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34271112"/>
        <c:crosses val="max"/>
        <c:crossBetween val="between"/>
        <c:majorUnit val="2"/>
        <c:minorUnit val="2"/>
      </c:valAx>
      <c:spPr>
        <a:noFill/>
        <a:ln w="25400">
          <a:noFill/>
        </a:ln>
      </c:spPr>
    </c:plotArea>
    <c:legend>
      <c:legendPos val="r"/>
      <c:layout>
        <c:manualLayout>
          <c:xMode val="edge"/>
          <c:yMode val="edge"/>
          <c:x val="0.24633835550850094"/>
          <c:y val="0.88958990536277549"/>
          <c:w val="0.52063942739516744"/>
          <c:h val="0.1009463722397480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Perfil  de  Esterilización  Femenina y Masculina
Servicio de  Salud  Aconcagua  2010 -  2015</a:t>
            </a:r>
          </a:p>
        </c:rich>
      </c:tx>
      <c:layout>
        <c:manualLayout>
          <c:xMode val="edge"/>
          <c:yMode val="edge"/>
          <c:x val="0.26098549265895732"/>
          <c:y val="3.4700315457415656E-2"/>
        </c:manualLayout>
      </c:layout>
      <c:overlay val="0"/>
      <c:spPr>
        <a:noFill/>
        <a:ln w="25400">
          <a:noFill/>
        </a:ln>
      </c:spPr>
    </c:title>
    <c:autoTitleDeleted val="0"/>
    <c:plotArea>
      <c:layout>
        <c:manualLayout>
          <c:layoutTarget val="inner"/>
          <c:xMode val="edge"/>
          <c:yMode val="edge"/>
          <c:x val="6.3914821848750122E-2"/>
          <c:y val="0.27760252365930632"/>
          <c:w val="0.90146529982501356"/>
          <c:h val="0.56466876971608837"/>
        </c:manualLayout>
      </c:layout>
      <c:lineChart>
        <c:grouping val="standard"/>
        <c:varyColors val="0"/>
        <c:ser>
          <c:idx val="1"/>
          <c:order val="0"/>
          <c:tx>
            <c:v>Femenina</c:v>
          </c:tx>
          <c:spPr>
            <a:ln w="25400">
              <a:solidFill>
                <a:srgbClr val="FF0000"/>
              </a:solidFill>
              <a:prstDash val="solid"/>
            </a:ln>
          </c:spPr>
          <c:marker>
            <c:symbol val="square"/>
            <c:size val="8"/>
            <c:spPr>
              <a:noFill/>
              <a:ln w="9525">
                <a:noFill/>
              </a:ln>
            </c:spPr>
          </c:marker>
          <c:cat>
            <c:numRef>
              <c:f>'40'!$T$8:$Y$8</c:f>
              <c:numCache>
                <c:formatCode>General</c:formatCode>
                <c:ptCount val="6"/>
                <c:pt idx="0">
                  <c:v>2010</c:v>
                </c:pt>
                <c:pt idx="1">
                  <c:v>2011</c:v>
                </c:pt>
                <c:pt idx="2">
                  <c:v>2012</c:v>
                </c:pt>
                <c:pt idx="3">
                  <c:v>2013</c:v>
                </c:pt>
                <c:pt idx="4">
                  <c:v>2014</c:v>
                </c:pt>
                <c:pt idx="5">
                  <c:v>2015</c:v>
                </c:pt>
              </c:numCache>
            </c:numRef>
          </c:cat>
          <c:val>
            <c:numRef>
              <c:f>'40'!$T$12:$Y$12</c:f>
              <c:numCache>
                <c:formatCode>General</c:formatCode>
                <c:ptCount val="6"/>
                <c:pt idx="0">
                  <c:v>515</c:v>
                </c:pt>
                <c:pt idx="1">
                  <c:v>490</c:v>
                </c:pt>
                <c:pt idx="2">
                  <c:v>603</c:v>
                </c:pt>
                <c:pt idx="3">
                  <c:v>532</c:v>
                </c:pt>
                <c:pt idx="4">
                  <c:v>593</c:v>
                </c:pt>
                <c:pt idx="5">
                  <c:v>619</c:v>
                </c:pt>
              </c:numCache>
            </c:numRef>
          </c:val>
          <c:smooth val="0"/>
        </c:ser>
        <c:dLbls>
          <c:showLegendKey val="0"/>
          <c:showVal val="0"/>
          <c:showCatName val="0"/>
          <c:showSerName val="0"/>
          <c:showPercent val="0"/>
          <c:showBubbleSize val="0"/>
        </c:dLbls>
        <c:marker val="1"/>
        <c:smooth val="0"/>
        <c:axId val="334272288"/>
        <c:axId val="334272680"/>
      </c:lineChart>
      <c:lineChart>
        <c:grouping val="standard"/>
        <c:varyColors val="0"/>
        <c:ser>
          <c:idx val="0"/>
          <c:order val="1"/>
          <c:tx>
            <c:v>Masculina</c:v>
          </c:tx>
          <c:spPr>
            <a:ln w="25400">
              <a:solidFill>
                <a:srgbClr val="000080"/>
              </a:solidFill>
              <a:prstDash val="solid"/>
            </a:ln>
          </c:spPr>
          <c:marker>
            <c:symbol val="none"/>
          </c:marker>
          <c:cat>
            <c:numRef>
              <c:f>'40'!$T$13:$Y$13</c:f>
              <c:numCache>
                <c:formatCode>General</c:formatCode>
                <c:ptCount val="6"/>
                <c:pt idx="0">
                  <c:v>2</c:v>
                </c:pt>
                <c:pt idx="1">
                  <c:v>5</c:v>
                </c:pt>
                <c:pt idx="2">
                  <c:v>4</c:v>
                </c:pt>
                <c:pt idx="3">
                  <c:v>2</c:v>
                </c:pt>
                <c:pt idx="4">
                  <c:v>5</c:v>
                </c:pt>
                <c:pt idx="5">
                  <c:v>1</c:v>
                </c:pt>
              </c:numCache>
            </c:numRef>
          </c:cat>
          <c:val>
            <c:numRef>
              <c:f>'40'!$T$13:$Y$13</c:f>
              <c:numCache>
                <c:formatCode>General</c:formatCode>
                <c:ptCount val="6"/>
                <c:pt idx="0">
                  <c:v>2</c:v>
                </c:pt>
                <c:pt idx="1">
                  <c:v>5</c:v>
                </c:pt>
                <c:pt idx="2">
                  <c:v>4</c:v>
                </c:pt>
                <c:pt idx="3">
                  <c:v>2</c:v>
                </c:pt>
                <c:pt idx="4">
                  <c:v>5</c:v>
                </c:pt>
                <c:pt idx="5">
                  <c:v>1</c:v>
                </c:pt>
              </c:numCache>
            </c:numRef>
          </c:val>
          <c:smooth val="0"/>
        </c:ser>
        <c:dLbls>
          <c:showLegendKey val="0"/>
          <c:showVal val="0"/>
          <c:showCatName val="0"/>
          <c:showSerName val="0"/>
          <c:showPercent val="0"/>
          <c:showBubbleSize val="0"/>
        </c:dLbls>
        <c:marker val="1"/>
        <c:smooth val="0"/>
        <c:axId val="334273072"/>
        <c:axId val="334273464"/>
      </c:lineChart>
      <c:catAx>
        <c:axId val="33427228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Femenina</a:t>
                </a:r>
              </a:p>
            </c:rich>
          </c:tx>
          <c:layout>
            <c:manualLayout>
              <c:xMode val="edge"/>
              <c:yMode val="edge"/>
              <c:x val="7.9893475366178534E-3"/>
              <c:y val="0.13564668769716845"/>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1" i="1" u="none" strike="noStrike" baseline="0">
                <a:solidFill>
                  <a:srgbClr val="000000"/>
                </a:solidFill>
                <a:latin typeface="Arial"/>
                <a:ea typeface="Arial"/>
                <a:cs typeface="Arial"/>
              </a:defRPr>
            </a:pPr>
            <a:endParaRPr lang="es-CL"/>
          </a:p>
        </c:txPr>
        <c:crossAx val="334272680"/>
        <c:crosses val="autoZero"/>
        <c:auto val="0"/>
        <c:lblAlgn val="ctr"/>
        <c:lblOffset val="100"/>
        <c:tickLblSkip val="1"/>
        <c:tickMarkSkip val="1"/>
        <c:noMultiLvlLbl val="0"/>
      </c:catAx>
      <c:valAx>
        <c:axId val="334272680"/>
        <c:scaling>
          <c:orientation val="minMax"/>
          <c:max val="700"/>
          <c:min val="400"/>
        </c:scaling>
        <c:delete val="0"/>
        <c:axPos val="l"/>
        <c:minorGridlines>
          <c:spPr>
            <a:ln w="3175">
              <a:solidFill>
                <a:srgbClr val="000000"/>
              </a:solidFill>
              <a:prstDash val="solid"/>
            </a:ln>
          </c:spPr>
        </c:minorGridlines>
        <c:numFmt formatCode="General" sourceLinked="1"/>
        <c:majorTickMark val="cross"/>
        <c:minorTickMark val="none"/>
        <c:tickLblPos val="nextTo"/>
        <c:spPr>
          <a:ln w="3175">
            <a:solidFill>
              <a:srgbClr val="000000"/>
            </a:solidFill>
            <a:prstDash val="solid"/>
          </a:ln>
        </c:spPr>
        <c:txPr>
          <a:bodyPr rot="0" vert="horz"/>
          <a:lstStyle/>
          <a:p>
            <a:pPr>
              <a:defRPr sz="800" b="1" i="1" u="none" strike="noStrike" baseline="0">
                <a:solidFill>
                  <a:srgbClr val="000000"/>
                </a:solidFill>
                <a:latin typeface="Arial"/>
                <a:ea typeface="Arial"/>
                <a:cs typeface="Arial"/>
              </a:defRPr>
            </a:pPr>
            <a:endParaRPr lang="es-CL"/>
          </a:p>
        </c:txPr>
        <c:crossAx val="334272288"/>
        <c:crosses val="autoZero"/>
        <c:crossBetween val="between"/>
        <c:majorUnit val="100"/>
        <c:minorUnit val="100"/>
      </c:valAx>
      <c:catAx>
        <c:axId val="334273072"/>
        <c:scaling>
          <c:orientation val="minMax"/>
        </c:scaling>
        <c:delete val="1"/>
        <c:axPos val="b"/>
        <c:title>
          <c:tx>
            <c:rich>
              <a:bodyPr/>
              <a:lstStyle/>
              <a:p>
                <a:pPr>
                  <a:defRPr sz="1000" b="1" i="0" u="none" strike="noStrike" baseline="0">
                    <a:solidFill>
                      <a:srgbClr val="000000"/>
                    </a:solidFill>
                    <a:latin typeface="Arial"/>
                    <a:ea typeface="Arial"/>
                    <a:cs typeface="Arial"/>
                  </a:defRPr>
                </a:pPr>
                <a:r>
                  <a:rPr lang="es-ES"/>
                  <a:t>Masculina</a:t>
                </a:r>
              </a:p>
            </c:rich>
          </c:tx>
          <c:layout>
            <c:manualLayout>
              <c:xMode val="edge"/>
              <c:yMode val="edge"/>
              <c:x val="0.90279683082224549"/>
              <c:y val="0.14511041009463724"/>
            </c:manualLayout>
          </c:layout>
          <c:overlay val="0"/>
          <c:spPr>
            <a:noFill/>
            <a:ln w="25400">
              <a:noFill/>
            </a:ln>
          </c:spPr>
        </c:title>
        <c:numFmt formatCode="General" sourceLinked="1"/>
        <c:majorTickMark val="out"/>
        <c:minorTickMark val="none"/>
        <c:tickLblPos val="nextTo"/>
        <c:crossAx val="334273464"/>
        <c:crosses val="autoZero"/>
        <c:auto val="0"/>
        <c:lblAlgn val="ctr"/>
        <c:lblOffset val="100"/>
        <c:noMultiLvlLbl val="0"/>
      </c:catAx>
      <c:valAx>
        <c:axId val="334273464"/>
        <c:scaling>
          <c:orientation val="minMax"/>
          <c:max val="10"/>
          <c:min val="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34273072"/>
        <c:crosses val="max"/>
        <c:crossBetween val="between"/>
        <c:majorUnit val="2"/>
        <c:minorUnit val="2"/>
      </c:valAx>
      <c:spPr>
        <a:noFill/>
        <a:ln w="25400">
          <a:noFill/>
        </a:ln>
      </c:spPr>
    </c:plotArea>
    <c:legend>
      <c:legendPos val="r"/>
      <c:layout>
        <c:manualLayout>
          <c:xMode val="edge"/>
          <c:yMode val="edge"/>
          <c:x val="0.24633835550850094"/>
          <c:y val="0.88958990536277549"/>
          <c:w val="0.52063942739516744"/>
          <c:h val="0.1009463722397480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sz="1000"/>
              <a:t>RESOLUTIVIDAD ATENCION  MEDICA  Y  ODONTOLOGICA</a:t>
            </a:r>
          </a:p>
          <a:p>
            <a:pPr>
              <a:defRPr/>
            </a:pPr>
            <a:r>
              <a:rPr lang="es-ES" sz="1000"/>
              <a:t>EN  ATENCION  PRIMARIA  2015</a:t>
            </a:r>
          </a:p>
        </c:rich>
      </c:tx>
      <c:overlay val="0"/>
    </c:title>
    <c:autoTitleDeleted val="0"/>
    <c:plotArea>
      <c:layout>
        <c:manualLayout>
          <c:layoutTarget val="inner"/>
          <c:xMode val="edge"/>
          <c:yMode val="edge"/>
          <c:x val="0.12533552055993"/>
          <c:y val="0.1630495226558219"/>
          <c:w val="0.84410892388451464"/>
          <c:h val="0.70888754290329092"/>
        </c:manualLayout>
      </c:layout>
      <c:lineChart>
        <c:grouping val="standard"/>
        <c:varyColors val="0"/>
        <c:ser>
          <c:idx val="0"/>
          <c:order val="0"/>
          <c:tx>
            <c:strRef>
              <c:f>'58'!$B$4</c:f>
              <c:strCache>
                <c:ptCount val="1"/>
                <c:pt idx="0">
                  <c:v>MEDICO</c:v>
                </c:pt>
              </c:strCache>
            </c:strRef>
          </c:tx>
          <c:marker>
            <c:symbol val="none"/>
          </c:marker>
          <c:cat>
            <c:strRef>
              <c:f>'58'!$A$6:$A$18</c:f>
              <c:strCache>
                <c:ptCount val="13"/>
                <c:pt idx="0">
                  <c:v> CESFAM L.A. Nº 1 (M)</c:v>
                </c:pt>
                <c:pt idx="1">
                  <c:v> CESFAM L.A. Nº 2</c:v>
                </c:pt>
                <c:pt idx="2">
                  <c:v> CESFAM S. ESTEBAN</c:v>
                </c:pt>
                <c:pt idx="3">
                  <c:v> CESFAM CALLE LARGA</c:v>
                </c:pt>
                <c:pt idx="4">
                  <c:v> CESFAM  RINCONADA</c:v>
                </c:pt>
                <c:pt idx="5">
                  <c:v> CONS. S. FELIPE</c:v>
                </c:pt>
                <c:pt idx="6">
                  <c:v> CESFAM  S. FELIPE N° 2</c:v>
                </c:pt>
                <c:pt idx="7">
                  <c:v> CONS. CURIMON</c:v>
                </c:pt>
                <c:pt idx="8">
                  <c:v> CESFAM  PUTAENDO</c:v>
                </c:pt>
                <c:pt idx="9">
                  <c:v> CESDFAM  STA. MARIA</c:v>
                </c:pt>
                <c:pt idx="10">
                  <c:v> CESFAM PANQUEHUE</c:v>
                </c:pt>
                <c:pt idx="11">
                  <c:v> CESFAM  LLAY  LLAY</c:v>
                </c:pt>
                <c:pt idx="12">
                  <c:v> CESFAM  CATEMU</c:v>
                </c:pt>
              </c:strCache>
            </c:strRef>
          </c:cat>
          <c:val>
            <c:numRef>
              <c:f>'58'!$D$6:$D$18</c:f>
              <c:numCache>
                <c:formatCode>0.00</c:formatCode>
                <c:ptCount val="13"/>
                <c:pt idx="0">
                  <c:v>84.434326947856704</c:v>
                </c:pt>
                <c:pt idx="1">
                  <c:v>80.240320427236313</c:v>
                </c:pt>
                <c:pt idx="2">
                  <c:v>87.428977272727266</c:v>
                </c:pt>
                <c:pt idx="3">
                  <c:v>83.975788467664856</c:v>
                </c:pt>
                <c:pt idx="4">
                  <c:v>85.892741761791953</c:v>
                </c:pt>
                <c:pt idx="5">
                  <c:v>82.526390806645594</c:v>
                </c:pt>
                <c:pt idx="6">
                  <c:v>82.659411115002285</c:v>
                </c:pt>
                <c:pt idx="7">
                  <c:v>87.647644798633834</c:v>
                </c:pt>
                <c:pt idx="8">
                  <c:v>82.760378320212951</c:v>
                </c:pt>
                <c:pt idx="9">
                  <c:v>86.900332876444097</c:v>
                </c:pt>
                <c:pt idx="10">
                  <c:v>87.911547911547913</c:v>
                </c:pt>
                <c:pt idx="11">
                  <c:v>85.380845942228333</c:v>
                </c:pt>
                <c:pt idx="12">
                  <c:v>86.769354560606928</c:v>
                </c:pt>
              </c:numCache>
            </c:numRef>
          </c:val>
          <c:smooth val="0"/>
        </c:ser>
        <c:ser>
          <c:idx val="1"/>
          <c:order val="1"/>
          <c:tx>
            <c:strRef>
              <c:f>'58'!$E$4</c:f>
              <c:strCache>
                <c:ptCount val="1"/>
                <c:pt idx="0">
                  <c:v>ODONTOLOGO</c:v>
                </c:pt>
              </c:strCache>
            </c:strRef>
          </c:tx>
          <c:marker>
            <c:symbol val="none"/>
          </c:marker>
          <c:cat>
            <c:strRef>
              <c:f>'58'!$A$6:$A$18</c:f>
              <c:strCache>
                <c:ptCount val="13"/>
                <c:pt idx="0">
                  <c:v> CESFAM L.A. Nº 1 (M)</c:v>
                </c:pt>
                <c:pt idx="1">
                  <c:v> CESFAM L.A. Nº 2</c:v>
                </c:pt>
                <c:pt idx="2">
                  <c:v> CESFAM S. ESTEBAN</c:v>
                </c:pt>
                <c:pt idx="3">
                  <c:v> CESFAM CALLE LARGA</c:v>
                </c:pt>
                <c:pt idx="4">
                  <c:v> CESFAM  RINCONADA</c:v>
                </c:pt>
                <c:pt idx="5">
                  <c:v> CONS. S. FELIPE</c:v>
                </c:pt>
                <c:pt idx="6">
                  <c:v> CESFAM  S. FELIPE N° 2</c:v>
                </c:pt>
                <c:pt idx="7">
                  <c:v> CONS. CURIMON</c:v>
                </c:pt>
                <c:pt idx="8">
                  <c:v> CESFAM  PUTAENDO</c:v>
                </c:pt>
                <c:pt idx="9">
                  <c:v> CESDFAM  STA. MARIA</c:v>
                </c:pt>
                <c:pt idx="10">
                  <c:v> CESFAM PANQUEHUE</c:v>
                </c:pt>
                <c:pt idx="11">
                  <c:v> CESFAM  LLAY  LLAY</c:v>
                </c:pt>
                <c:pt idx="12">
                  <c:v> CESFAM  CATEMU</c:v>
                </c:pt>
              </c:strCache>
            </c:strRef>
          </c:cat>
          <c:val>
            <c:numRef>
              <c:f>'58'!$G$6:$G$18</c:f>
              <c:numCache>
                <c:formatCode>0.00</c:formatCode>
                <c:ptCount val="13"/>
                <c:pt idx="0">
                  <c:v>78.440677966101703</c:v>
                </c:pt>
                <c:pt idx="1">
                  <c:v>88.407120036513007</c:v>
                </c:pt>
                <c:pt idx="2">
                  <c:v>88.900862068965509</c:v>
                </c:pt>
                <c:pt idx="3">
                  <c:v>79.354404841963685</c:v>
                </c:pt>
                <c:pt idx="4">
                  <c:v>90.374440374440383</c:v>
                </c:pt>
                <c:pt idx="5">
                  <c:v>84.305472038484666</c:v>
                </c:pt>
                <c:pt idx="6">
                  <c:v>82.403233328151714</c:v>
                </c:pt>
                <c:pt idx="7">
                  <c:v>86.915334517465965</c:v>
                </c:pt>
                <c:pt idx="8">
                  <c:v>91.96729196729197</c:v>
                </c:pt>
                <c:pt idx="9">
                  <c:v>86.437074829931973</c:v>
                </c:pt>
                <c:pt idx="10">
                  <c:v>95.352112676056336</c:v>
                </c:pt>
                <c:pt idx="11">
                  <c:v>79.360124853687083</c:v>
                </c:pt>
                <c:pt idx="12">
                  <c:v>93.109812365426023</c:v>
                </c:pt>
              </c:numCache>
            </c:numRef>
          </c:val>
          <c:smooth val="0"/>
        </c:ser>
        <c:dLbls>
          <c:showLegendKey val="0"/>
          <c:showVal val="0"/>
          <c:showCatName val="0"/>
          <c:showSerName val="0"/>
          <c:showPercent val="0"/>
          <c:showBubbleSize val="0"/>
        </c:dLbls>
        <c:smooth val="0"/>
        <c:axId val="336112976"/>
        <c:axId val="336113368"/>
      </c:lineChart>
      <c:catAx>
        <c:axId val="336112976"/>
        <c:scaling>
          <c:orientation val="minMax"/>
        </c:scaling>
        <c:delete val="0"/>
        <c:axPos val="b"/>
        <c:numFmt formatCode="General" sourceLinked="0"/>
        <c:majorTickMark val="out"/>
        <c:minorTickMark val="none"/>
        <c:tickLblPos val="nextTo"/>
        <c:txPr>
          <a:bodyPr/>
          <a:lstStyle/>
          <a:p>
            <a:pPr>
              <a:defRPr sz="600" baseline="0"/>
            </a:pPr>
            <a:endParaRPr lang="es-CL"/>
          </a:p>
        </c:txPr>
        <c:crossAx val="336113368"/>
        <c:crossesAt val="80"/>
        <c:auto val="1"/>
        <c:lblAlgn val="ctr"/>
        <c:lblOffset val="100"/>
        <c:noMultiLvlLbl val="0"/>
      </c:catAx>
      <c:valAx>
        <c:axId val="336113368"/>
        <c:scaling>
          <c:orientation val="minMax"/>
          <c:max val="100"/>
          <c:min val="75"/>
        </c:scaling>
        <c:delete val="0"/>
        <c:axPos val="l"/>
        <c:majorGridlines/>
        <c:numFmt formatCode="0.00" sourceLinked="1"/>
        <c:majorTickMark val="out"/>
        <c:minorTickMark val="none"/>
        <c:tickLblPos val="nextTo"/>
        <c:crossAx val="336112976"/>
        <c:crosses val="autoZero"/>
        <c:crossBetween val="between"/>
      </c:valAx>
    </c:plotArea>
    <c:legend>
      <c:legendPos val="b"/>
      <c:layout>
        <c:manualLayout>
          <c:xMode val="edge"/>
          <c:yMode val="edge"/>
          <c:x val="0.32482436570428697"/>
          <c:y val="0.9294808341265034"/>
          <c:w val="0.41146216097987748"/>
          <c:h val="4.8541143895474606E-2"/>
        </c:manualLayout>
      </c:layout>
      <c:overlay val="0"/>
      <c:txPr>
        <a:bodyPr/>
        <a:lstStyle/>
        <a:p>
          <a:pPr>
            <a:defRPr sz="600" baseline="0"/>
          </a:pPr>
          <a:endParaRPr lang="es-CL"/>
        </a:p>
      </c:tx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NUMERO DE  CONSULTAS   MEDICAS
SERVICIO  DE  SALUD</a:t>
            </a:r>
          </a:p>
        </c:rich>
      </c:tx>
      <c:layout>
        <c:manualLayout>
          <c:xMode val="edge"/>
          <c:yMode val="edge"/>
          <c:x val="0.29166729158855148"/>
          <c:y val="3.717472118959108E-2"/>
        </c:manualLayout>
      </c:layout>
      <c:overlay val="0"/>
      <c:spPr>
        <a:noFill/>
        <a:ln w="25400">
          <a:noFill/>
        </a:ln>
      </c:spPr>
    </c:title>
    <c:autoTitleDeleted val="0"/>
    <c:plotArea>
      <c:layout>
        <c:manualLayout>
          <c:layoutTarget val="inner"/>
          <c:xMode val="edge"/>
          <c:yMode val="edge"/>
          <c:x val="0.12698437303210044"/>
          <c:y val="0.21189591078066924"/>
          <c:w val="0.84523973299490063"/>
          <c:h val="0.67286245353162533"/>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2010</c:v>
                </c:pt>
                <c:pt idx="1">
                  <c:v>2011</c:v>
                </c:pt>
                <c:pt idx="2">
                  <c:v>2012</c:v>
                </c:pt>
                <c:pt idx="3">
                  <c:v>2013</c:v>
                </c:pt>
                <c:pt idx="4">
                  <c:v>2014</c:v>
                </c:pt>
                <c:pt idx="5">
                  <c:v>2015</c:v>
                </c:pt>
              </c:numCache>
            </c:numRef>
          </c:cat>
          <c:val>
            <c:numRef>
              <c:f>'61'!$C$29:$H$29</c:f>
              <c:numCache>
                <c:formatCode>#,##0</c:formatCode>
                <c:ptCount val="6"/>
                <c:pt idx="0">
                  <c:v>266277</c:v>
                </c:pt>
                <c:pt idx="1">
                  <c:v>264984</c:v>
                </c:pt>
                <c:pt idx="2">
                  <c:v>267772</c:v>
                </c:pt>
                <c:pt idx="3">
                  <c:v>244282</c:v>
                </c:pt>
                <c:pt idx="4">
                  <c:v>248510</c:v>
                </c:pt>
                <c:pt idx="5">
                  <c:v>234927</c:v>
                </c:pt>
              </c:numCache>
            </c:numRef>
          </c:val>
          <c:smooth val="0"/>
        </c:ser>
        <c:dLbls>
          <c:showLegendKey val="0"/>
          <c:showVal val="0"/>
          <c:showCatName val="0"/>
          <c:showSerName val="0"/>
          <c:showPercent val="0"/>
          <c:showBubbleSize val="0"/>
        </c:dLbls>
        <c:smooth val="0"/>
        <c:axId val="336114152"/>
        <c:axId val="336114544"/>
      </c:lineChart>
      <c:catAx>
        <c:axId val="336114152"/>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s-ES"/>
                  <a:t>Numero</a:t>
                </a:r>
              </a:p>
            </c:rich>
          </c:tx>
          <c:layout>
            <c:manualLayout>
              <c:xMode val="edge"/>
              <c:yMode val="edge"/>
              <c:x val="9.9206349206350727E-3"/>
              <c:y val="9.6654275092937766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CL"/>
          </a:p>
        </c:txPr>
        <c:crossAx val="336114544"/>
        <c:crosses val="autoZero"/>
        <c:auto val="1"/>
        <c:lblAlgn val="ctr"/>
        <c:lblOffset val="100"/>
        <c:tickLblSkip val="1"/>
        <c:tickMarkSkip val="1"/>
        <c:noMultiLvlLbl val="0"/>
      </c:catAx>
      <c:valAx>
        <c:axId val="336114544"/>
        <c:scaling>
          <c:orientation val="minMax"/>
          <c:max val="300000"/>
          <c:min val="240000"/>
        </c:scaling>
        <c:delete val="0"/>
        <c:axPos val="l"/>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CL"/>
          </a:p>
        </c:txPr>
        <c:crossAx val="336114152"/>
        <c:crosses val="autoZero"/>
        <c:crossBetween val="between"/>
        <c:majorUnit val="20000"/>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0" i="0" u="none" strike="noStrike" baseline="0">
                <a:solidFill>
                  <a:srgbClr val="000000"/>
                </a:solidFill>
                <a:latin typeface="Arial"/>
                <a:ea typeface="Arial"/>
                <a:cs typeface="Arial"/>
              </a:defRPr>
            </a:pPr>
            <a:r>
              <a:rPr lang="es-ES" sz="1125" b="1" i="0" strike="noStrike">
                <a:solidFill>
                  <a:srgbClr val="000000"/>
                </a:solidFill>
                <a:latin typeface="Arial"/>
                <a:cs typeface="Arial"/>
              </a:rPr>
              <a:t>PIRAMIDE  DE  POBLACION 1990 - 2015</a:t>
            </a:r>
          </a:p>
          <a:p>
            <a:pPr>
              <a:defRPr sz="950" b="0" i="0" u="none" strike="noStrike" baseline="0">
                <a:solidFill>
                  <a:srgbClr val="000000"/>
                </a:solidFill>
                <a:latin typeface="Arial"/>
                <a:ea typeface="Arial"/>
                <a:cs typeface="Arial"/>
              </a:defRPr>
            </a:pPr>
            <a:r>
              <a:rPr lang="es-ES" sz="850" b="1" i="0" strike="noStrike">
                <a:solidFill>
                  <a:srgbClr val="000000"/>
                </a:solidFill>
                <a:latin typeface="Arial"/>
                <a:cs typeface="Arial"/>
              </a:rPr>
              <a:t>SERVICIO  DE  SALUD  ACONCAGUA</a:t>
            </a:r>
          </a:p>
        </c:rich>
      </c:tx>
      <c:layout>
        <c:manualLayout>
          <c:xMode val="edge"/>
          <c:yMode val="edge"/>
          <c:x val="0.19654450321139671"/>
          <c:y val="2.5821596244131433E-2"/>
        </c:manualLayout>
      </c:layout>
      <c:overlay val="0"/>
      <c:spPr>
        <a:noFill/>
        <a:ln w="25400">
          <a:noFill/>
        </a:ln>
      </c:spPr>
    </c:title>
    <c:autoTitleDeleted val="0"/>
    <c:plotArea>
      <c:layout>
        <c:manualLayout>
          <c:layoutTarget val="inner"/>
          <c:xMode val="edge"/>
          <c:yMode val="edge"/>
          <c:x val="3.2397442373787604E-2"/>
          <c:y val="0.10798134442550666"/>
          <c:w val="0.95896429426413365"/>
          <c:h val="0.84507139115613905"/>
        </c:manualLayout>
      </c:layout>
      <c:barChart>
        <c:barDir val="bar"/>
        <c:grouping val="clustered"/>
        <c:varyColors val="0"/>
        <c:ser>
          <c:idx val="0"/>
          <c:order val="0"/>
          <c:tx>
            <c:v>HOMBRES</c:v>
          </c:tx>
          <c:spPr>
            <a:solidFill>
              <a:srgbClr val="008000"/>
            </a:solidFill>
            <a:ln w="12700">
              <a:solidFill>
                <a:srgbClr val="000000"/>
              </a:solidFill>
              <a:prstDash val="solid"/>
            </a:ln>
          </c:spPr>
          <c:invertIfNegative val="0"/>
          <c:cat>
            <c:strRef>
              <c:f>'10'!$A$4:$A$41</c:f>
              <c:strCache>
                <c:ptCount val="3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c:v>
                </c:pt>
                <c:pt idx="21">
                  <c:v>0-4</c:v>
                </c:pt>
                <c:pt idx="22">
                  <c:v>5-9</c:v>
                </c:pt>
                <c:pt idx="23">
                  <c:v>10-14</c:v>
                </c:pt>
                <c:pt idx="24">
                  <c:v>15-19</c:v>
                </c:pt>
                <c:pt idx="25">
                  <c:v>20-24</c:v>
                </c:pt>
                <c:pt idx="26">
                  <c:v>25-29</c:v>
                </c:pt>
                <c:pt idx="27">
                  <c:v>30-34</c:v>
                </c:pt>
                <c:pt idx="28">
                  <c:v>35-39</c:v>
                </c:pt>
                <c:pt idx="29">
                  <c:v>40-44</c:v>
                </c:pt>
                <c:pt idx="30">
                  <c:v>45-49</c:v>
                </c:pt>
                <c:pt idx="31">
                  <c:v>50-54</c:v>
                </c:pt>
                <c:pt idx="32">
                  <c:v>55-59</c:v>
                </c:pt>
                <c:pt idx="33">
                  <c:v>60-64</c:v>
                </c:pt>
                <c:pt idx="34">
                  <c:v>65-69</c:v>
                </c:pt>
                <c:pt idx="35">
                  <c:v>70-74</c:v>
                </c:pt>
                <c:pt idx="36">
                  <c:v>75-79</c:v>
                </c:pt>
                <c:pt idx="37">
                  <c:v>80 y +</c:v>
                </c:pt>
              </c:strCache>
            </c:strRef>
          </c:cat>
          <c:val>
            <c:numRef>
              <c:f>'10'!$B$4:$B$41</c:f>
              <c:numCache>
                <c:formatCode>General</c:formatCode>
                <c:ptCount val="38"/>
                <c:pt idx="0">
                  <c:v>-10691</c:v>
                </c:pt>
                <c:pt idx="1">
                  <c:v>-9882</c:v>
                </c:pt>
                <c:pt idx="2">
                  <c:v>-9065</c:v>
                </c:pt>
                <c:pt idx="3">
                  <c:v>-8589</c:v>
                </c:pt>
                <c:pt idx="4">
                  <c:v>-8182</c:v>
                </c:pt>
                <c:pt idx="5">
                  <c:v>-9329</c:v>
                </c:pt>
                <c:pt idx="6">
                  <c:v>-8085</c:v>
                </c:pt>
                <c:pt idx="7">
                  <c:v>-6485</c:v>
                </c:pt>
                <c:pt idx="8">
                  <c:v>-5697</c:v>
                </c:pt>
                <c:pt idx="9">
                  <c:v>-4926</c:v>
                </c:pt>
                <c:pt idx="10">
                  <c:v>-3596</c:v>
                </c:pt>
                <c:pt idx="11">
                  <c:v>-3190</c:v>
                </c:pt>
                <c:pt idx="12">
                  <c:v>-2747</c:v>
                </c:pt>
                <c:pt idx="13">
                  <c:v>-1966</c:v>
                </c:pt>
                <c:pt idx="14">
                  <c:v>-1668</c:v>
                </c:pt>
                <c:pt idx="15">
                  <c:v>-969</c:v>
                </c:pt>
                <c:pt idx="16">
                  <c:v>-784</c:v>
                </c:pt>
                <c:pt idx="21">
                  <c:v>-10040</c:v>
                </c:pt>
                <c:pt idx="22">
                  <c:v>-10161</c:v>
                </c:pt>
                <c:pt idx="23">
                  <c:v>-10300</c:v>
                </c:pt>
                <c:pt idx="24">
                  <c:v>-11200</c:v>
                </c:pt>
                <c:pt idx="25">
                  <c:v>-11694</c:v>
                </c:pt>
                <c:pt idx="26">
                  <c:v>-11294</c:v>
                </c:pt>
                <c:pt idx="27">
                  <c:v>-10675</c:v>
                </c:pt>
                <c:pt idx="28">
                  <c:v>-8001</c:v>
                </c:pt>
                <c:pt idx="29">
                  <c:v>-8564</c:v>
                </c:pt>
                <c:pt idx="30">
                  <c:v>-8607</c:v>
                </c:pt>
                <c:pt idx="31">
                  <c:v>-9194</c:v>
                </c:pt>
                <c:pt idx="32">
                  <c:v>-7779</c:v>
                </c:pt>
                <c:pt idx="33">
                  <c:v>-6211</c:v>
                </c:pt>
                <c:pt idx="34">
                  <c:v>-5172</c:v>
                </c:pt>
                <c:pt idx="35">
                  <c:v>-4002</c:v>
                </c:pt>
                <c:pt idx="36">
                  <c:v>-2509</c:v>
                </c:pt>
                <c:pt idx="37">
                  <c:v>-2594</c:v>
                </c:pt>
              </c:numCache>
            </c:numRef>
          </c:val>
        </c:ser>
        <c:ser>
          <c:idx val="1"/>
          <c:order val="1"/>
          <c:tx>
            <c:v>MUJERES</c:v>
          </c:tx>
          <c:spPr>
            <a:solidFill>
              <a:srgbClr val="FFFF00"/>
            </a:solidFill>
            <a:ln w="12700">
              <a:solidFill>
                <a:srgbClr val="000000"/>
              </a:solidFill>
              <a:prstDash val="solid"/>
            </a:ln>
          </c:spPr>
          <c:invertIfNegative val="0"/>
          <c:cat>
            <c:strRef>
              <c:f>'10'!$A$4:$A$41</c:f>
              <c:strCache>
                <c:ptCount val="3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c:v>
                </c:pt>
                <c:pt idx="21">
                  <c:v>0-4</c:v>
                </c:pt>
                <c:pt idx="22">
                  <c:v>5-9</c:v>
                </c:pt>
                <c:pt idx="23">
                  <c:v>10-14</c:v>
                </c:pt>
                <c:pt idx="24">
                  <c:v>15-19</c:v>
                </c:pt>
                <c:pt idx="25">
                  <c:v>20-24</c:v>
                </c:pt>
                <c:pt idx="26">
                  <c:v>25-29</c:v>
                </c:pt>
                <c:pt idx="27">
                  <c:v>30-34</c:v>
                </c:pt>
                <c:pt idx="28">
                  <c:v>35-39</c:v>
                </c:pt>
                <c:pt idx="29">
                  <c:v>40-44</c:v>
                </c:pt>
                <c:pt idx="30">
                  <c:v>45-49</c:v>
                </c:pt>
                <c:pt idx="31">
                  <c:v>50-54</c:v>
                </c:pt>
                <c:pt idx="32">
                  <c:v>55-59</c:v>
                </c:pt>
                <c:pt idx="33">
                  <c:v>60-64</c:v>
                </c:pt>
                <c:pt idx="34">
                  <c:v>65-69</c:v>
                </c:pt>
                <c:pt idx="35">
                  <c:v>70-74</c:v>
                </c:pt>
                <c:pt idx="36">
                  <c:v>75-79</c:v>
                </c:pt>
                <c:pt idx="37">
                  <c:v>80 y +</c:v>
                </c:pt>
              </c:strCache>
            </c:strRef>
          </c:cat>
          <c:val>
            <c:numRef>
              <c:f>'10'!$C$4:$C$41</c:f>
              <c:numCache>
                <c:formatCode>General</c:formatCode>
                <c:ptCount val="38"/>
                <c:pt idx="0">
                  <c:v>10398</c:v>
                </c:pt>
                <c:pt idx="1">
                  <c:v>9628</c:v>
                </c:pt>
                <c:pt idx="2">
                  <c:v>8566</c:v>
                </c:pt>
                <c:pt idx="3">
                  <c:v>8468</c:v>
                </c:pt>
                <c:pt idx="4">
                  <c:v>8273</c:v>
                </c:pt>
                <c:pt idx="5">
                  <c:v>9153</c:v>
                </c:pt>
                <c:pt idx="6">
                  <c:v>7794</c:v>
                </c:pt>
                <c:pt idx="7">
                  <c:v>6425</c:v>
                </c:pt>
                <c:pt idx="8">
                  <c:v>5440</c:v>
                </c:pt>
                <c:pt idx="9">
                  <c:v>4615</c:v>
                </c:pt>
                <c:pt idx="10">
                  <c:v>3579</c:v>
                </c:pt>
                <c:pt idx="11">
                  <c:v>3395</c:v>
                </c:pt>
                <c:pt idx="12">
                  <c:v>3067</c:v>
                </c:pt>
                <c:pt idx="13">
                  <c:v>2348</c:v>
                </c:pt>
                <c:pt idx="14">
                  <c:v>1893</c:v>
                </c:pt>
                <c:pt idx="15">
                  <c:v>1312</c:v>
                </c:pt>
                <c:pt idx="16">
                  <c:v>1156</c:v>
                </c:pt>
                <c:pt idx="21">
                  <c:v>9626</c:v>
                </c:pt>
                <c:pt idx="22">
                  <c:v>9678</c:v>
                </c:pt>
                <c:pt idx="23">
                  <c:v>9601</c:v>
                </c:pt>
                <c:pt idx="24">
                  <c:v>10084</c:v>
                </c:pt>
                <c:pt idx="25">
                  <c:v>11017</c:v>
                </c:pt>
                <c:pt idx="26">
                  <c:v>10781</c:v>
                </c:pt>
                <c:pt idx="27">
                  <c:v>9897</c:v>
                </c:pt>
                <c:pt idx="28">
                  <c:v>8357</c:v>
                </c:pt>
                <c:pt idx="29">
                  <c:v>9156</c:v>
                </c:pt>
                <c:pt idx="30">
                  <c:v>9271</c:v>
                </c:pt>
                <c:pt idx="31">
                  <c:v>9817</c:v>
                </c:pt>
                <c:pt idx="32">
                  <c:v>8295</c:v>
                </c:pt>
                <c:pt idx="33">
                  <c:v>6708</c:v>
                </c:pt>
                <c:pt idx="34">
                  <c:v>5467</c:v>
                </c:pt>
                <c:pt idx="35">
                  <c:v>4380</c:v>
                </c:pt>
                <c:pt idx="36">
                  <c:v>3021</c:v>
                </c:pt>
                <c:pt idx="37">
                  <c:v>3832</c:v>
                </c:pt>
              </c:numCache>
            </c:numRef>
          </c:val>
        </c:ser>
        <c:dLbls>
          <c:showLegendKey val="0"/>
          <c:showVal val="0"/>
          <c:showCatName val="0"/>
          <c:showSerName val="0"/>
          <c:showPercent val="0"/>
          <c:showBubbleSize val="0"/>
        </c:dLbls>
        <c:gapWidth val="70"/>
        <c:overlap val="100"/>
        <c:axId val="332527336"/>
        <c:axId val="332546992"/>
      </c:barChart>
      <c:catAx>
        <c:axId val="33252733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475" b="1" i="0" u="none" strike="noStrike" baseline="0">
                <a:solidFill>
                  <a:srgbClr val="000000"/>
                </a:solidFill>
                <a:latin typeface="Arial"/>
                <a:ea typeface="Arial"/>
                <a:cs typeface="Arial"/>
              </a:defRPr>
            </a:pPr>
            <a:endParaRPr lang="es-CL"/>
          </a:p>
        </c:txPr>
        <c:crossAx val="332546992"/>
        <c:crosses val="autoZero"/>
        <c:auto val="1"/>
        <c:lblAlgn val="ctr"/>
        <c:lblOffset val="100"/>
        <c:tickLblSkip val="1"/>
        <c:tickMarkSkip val="1"/>
        <c:noMultiLvlLbl val="0"/>
      </c:catAx>
      <c:valAx>
        <c:axId val="332546992"/>
        <c:scaling>
          <c:orientation val="minMax"/>
          <c:max val="12000"/>
          <c:min val="-12000"/>
        </c:scaling>
        <c:delete val="0"/>
        <c:axPos val="b"/>
        <c:numFmt formatCode="General" sourceLinked="1"/>
        <c:majorTickMark val="none"/>
        <c:minorTickMark val="none"/>
        <c:tickLblPos val="none"/>
        <c:spPr>
          <a:ln w="3175">
            <a:solidFill>
              <a:srgbClr val="000000"/>
            </a:solidFill>
            <a:prstDash val="solid"/>
          </a:ln>
        </c:spPr>
        <c:crossAx val="332527336"/>
        <c:crosses val="autoZero"/>
        <c:crossBetween val="between"/>
        <c:majorUnit val="3000"/>
      </c:valAx>
      <c:spPr>
        <a:noFill/>
        <a:ln w="12700">
          <a:solidFill>
            <a:srgbClr val="FFFFFF"/>
          </a:solidFill>
          <a:prstDash val="solid"/>
        </a:ln>
      </c:spPr>
    </c:plotArea>
    <c:legend>
      <c:legendPos val="b"/>
      <c:layout>
        <c:manualLayout>
          <c:xMode val="edge"/>
          <c:yMode val="edge"/>
          <c:x val="0.35853177100162692"/>
          <c:y val="0.96596355033085668"/>
          <c:w val="0.28293759176431182"/>
          <c:h val="2.5821596244131939E-2"/>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304" orientation="portrait" horizontalDpi="300" verticalDpi="300"/>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TASA  CONSULTA   MEDICO  HABITANTE  AÑO
SERVICIO  DE  SALUD</a:t>
            </a:r>
          </a:p>
        </c:rich>
      </c:tx>
      <c:layout>
        <c:manualLayout>
          <c:xMode val="edge"/>
          <c:yMode val="edge"/>
          <c:x val="0.24404803566222172"/>
          <c:y val="3.717472118959108E-2"/>
        </c:manualLayout>
      </c:layout>
      <c:overlay val="0"/>
      <c:spPr>
        <a:noFill/>
        <a:ln w="25400">
          <a:noFill/>
        </a:ln>
      </c:spPr>
    </c:title>
    <c:autoTitleDeleted val="0"/>
    <c:plotArea>
      <c:layout>
        <c:manualLayout>
          <c:layoutTarget val="inner"/>
          <c:xMode val="edge"/>
          <c:yMode val="edge"/>
          <c:x val="9.1270018116819576E-2"/>
          <c:y val="0.21189591078066924"/>
          <c:w val="0.8809540879101716"/>
          <c:h val="0.67286245353162533"/>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2010</c:v>
                </c:pt>
                <c:pt idx="1">
                  <c:v>2011</c:v>
                </c:pt>
                <c:pt idx="2">
                  <c:v>2012</c:v>
                </c:pt>
                <c:pt idx="3">
                  <c:v>2013</c:v>
                </c:pt>
                <c:pt idx="4">
                  <c:v>2014</c:v>
                </c:pt>
                <c:pt idx="5">
                  <c:v>2015</c:v>
                </c:pt>
              </c:numCache>
            </c:numRef>
          </c:cat>
          <c:val>
            <c:numRef>
              <c:f>'61'!$N$19:$S$19</c:f>
              <c:numCache>
                <c:formatCode>0.00</c:formatCode>
                <c:ptCount val="6"/>
                <c:pt idx="0">
                  <c:v>1.0297903114775655</c:v>
                </c:pt>
                <c:pt idx="1">
                  <c:v>1.0003095484367803</c:v>
                </c:pt>
                <c:pt idx="2">
                  <c:v>0.99947744035354891</c:v>
                </c:pt>
                <c:pt idx="3">
                  <c:v>0.90158591901737239</c:v>
                </c:pt>
                <c:pt idx="4">
                  <c:v>0.90707673888921336</c:v>
                </c:pt>
                <c:pt idx="5">
                  <c:v>0.84815784248244486</c:v>
                </c:pt>
              </c:numCache>
            </c:numRef>
          </c:val>
          <c:smooth val="0"/>
        </c:ser>
        <c:dLbls>
          <c:showLegendKey val="0"/>
          <c:showVal val="0"/>
          <c:showCatName val="0"/>
          <c:showSerName val="0"/>
          <c:showPercent val="0"/>
          <c:showBubbleSize val="0"/>
        </c:dLbls>
        <c:smooth val="0"/>
        <c:axId val="336115328"/>
        <c:axId val="336115720"/>
      </c:lineChart>
      <c:catAx>
        <c:axId val="33611532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Tasa</a:t>
                </a:r>
              </a:p>
            </c:rich>
          </c:tx>
          <c:layout>
            <c:manualLayout>
              <c:xMode val="edge"/>
              <c:yMode val="edge"/>
              <c:x val="9.9206349206350727E-3"/>
              <c:y val="9.6654275092937766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36115720"/>
        <c:crosses val="autoZero"/>
        <c:auto val="1"/>
        <c:lblAlgn val="ctr"/>
        <c:lblOffset val="100"/>
        <c:tickLblSkip val="1"/>
        <c:tickMarkSkip val="1"/>
        <c:noMultiLvlLbl val="0"/>
      </c:catAx>
      <c:valAx>
        <c:axId val="336115720"/>
        <c:scaling>
          <c:orientation val="minMax"/>
          <c:min val="0.85000000000000064"/>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36115328"/>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25" b="1" i="0" u="none" strike="noStrike" baseline="0">
                <a:solidFill>
                  <a:srgbClr val="333399"/>
                </a:solidFill>
                <a:latin typeface="Arial"/>
                <a:ea typeface="Arial"/>
                <a:cs typeface="Arial"/>
              </a:defRPr>
            </a:pPr>
            <a:r>
              <a:rPr lang="es-ES"/>
              <a:t>TASA  CONSULTA   MEDICO  HABITANTE  AÑO
COMUNA  LOS  ANDES</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9.4405755582378847E-2"/>
          <c:y val="0.21800998317625531"/>
          <c:w val="0.8741273665035455"/>
          <c:h val="0.68246603429084507"/>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2010</c:v>
                </c:pt>
                <c:pt idx="1">
                  <c:v>2011</c:v>
                </c:pt>
                <c:pt idx="2">
                  <c:v>2012</c:v>
                </c:pt>
                <c:pt idx="3">
                  <c:v>2013</c:v>
                </c:pt>
                <c:pt idx="4">
                  <c:v>2014</c:v>
                </c:pt>
                <c:pt idx="5">
                  <c:v>2015</c:v>
                </c:pt>
              </c:numCache>
            </c:numRef>
          </c:cat>
          <c:val>
            <c:numRef>
              <c:f>'61'!$N$20:$S$20</c:f>
              <c:numCache>
                <c:formatCode>0.00</c:formatCode>
                <c:ptCount val="6"/>
                <c:pt idx="0">
                  <c:v>0.67588164767167835</c:v>
                </c:pt>
                <c:pt idx="1">
                  <c:v>0.62463480035752883</c:v>
                </c:pt>
                <c:pt idx="2">
                  <c:v>0.67964008932089848</c:v>
                </c:pt>
                <c:pt idx="3">
                  <c:v>0.52217838432184205</c:v>
                </c:pt>
                <c:pt idx="4">
                  <c:v>0.49084398455519734</c:v>
                </c:pt>
                <c:pt idx="5">
                  <c:v>0.46164471288471437</c:v>
                </c:pt>
              </c:numCache>
            </c:numRef>
          </c:val>
          <c:smooth val="0"/>
        </c:ser>
        <c:dLbls>
          <c:showLegendKey val="0"/>
          <c:showVal val="0"/>
          <c:showCatName val="0"/>
          <c:showSerName val="0"/>
          <c:showPercent val="0"/>
          <c:showBubbleSize val="0"/>
        </c:dLbls>
        <c:smooth val="0"/>
        <c:axId val="336579504"/>
        <c:axId val="336579896"/>
      </c:lineChart>
      <c:catAx>
        <c:axId val="336579504"/>
        <c:scaling>
          <c:orientation val="minMax"/>
        </c:scaling>
        <c:delete val="0"/>
        <c:axPos val="b"/>
        <c:title>
          <c:tx>
            <c:rich>
              <a:bodyPr/>
              <a:lstStyle/>
              <a:p>
                <a:pPr>
                  <a:defRPr sz="575" b="1" i="0" u="none" strike="noStrike" baseline="0">
                    <a:solidFill>
                      <a:srgbClr val="000000"/>
                    </a:solidFill>
                    <a:latin typeface="Arial"/>
                    <a:ea typeface="Arial"/>
                    <a:cs typeface="Arial"/>
                  </a:defRPr>
                </a:pPr>
                <a:r>
                  <a:rPr lang="es-ES"/>
                  <a:t>Tasa</a:t>
                </a:r>
              </a:p>
            </c:rich>
          </c:tx>
          <c:layout>
            <c:manualLayout>
              <c:xMode val="edge"/>
              <c:yMode val="edge"/>
              <c:x val="1.7482517482517761E-2"/>
              <c:y val="0.113744573397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50" b="0" i="0" u="none" strike="noStrike" baseline="0">
                <a:solidFill>
                  <a:srgbClr val="000000"/>
                </a:solidFill>
                <a:latin typeface="Arial"/>
                <a:ea typeface="Arial"/>
                <a:cs typeface="Arial"/>
              </a:defRPr>
            </a:pPr>
            <a:endParaRPr lang="es-CL"/>
          </a:p>
        </c:txPr>
        <c:crossAx val="336579896"/>
        <c:crosses val="autoZero"/>
        <c:auto val="1"/>
        <c:lblAlgn val="ctr"/>
        <c:lblOffset val="100"/>
        <c:tickLblSkip val="1"/>
        <c:tickMarkSkip val="1"/>
        <c:noMultiLvlLbl val="0"/>
      </c:catAx>
      <c:valAx>
        <c:axId val="336579896"/>
        <c:scaling>
          <c:orientation val="minMax"/>
          <c:min val="0.5"/>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50" b="0" i="0" u="none" strike="noStrike" baseline="0">
                <a:solidFill>
                  <a:srgbClr val="000000"/>
                </a:solidFill>
                <a:latin typeface="Arial"/>
                <a:ea typeface="Arial"/>
                <a:cs typeface="Arial"/>
              </a:defRPr>
            </a:pPr>
            <a:endParaRPr lang="es-CL"/>
          </a:p>
        </c:txPr>
        <c:crossAx val="336579504"/>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  ESTEBAN</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9.3103448275865267E-2"/>
          <c:y val="0.21531100478468901"/>
          <c:w val="0.87586206896551722"/>
          <c:h val="0.6842105263157896"/>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2010</c:v>
                </c:pt>
                <c:pt idx="1">
                  <c:v>2011</c:v>
                </c:pt>
                <c:pt idx="2">
                  <c:v>2012</c:v>
                </c:pt>
                <c:pt idx="3">
                  <c:v>2013</c:v>
                </c:pt>
                <c:pt idx="4">
                  <c:v>2014</c:v>
                </c:pt>
                <c:pt idx="5">
                  <c:v>2015</c:v>
                </c:pt>
              </c:numCache>
            </c:numRef>
          </c:cat>
          <c:val>
            <c:numRef>
              <c:f>'61'!$N$21:$S$21</c:f>
              <c:numCache>
                <c:formatCode>0.00</c:formatCode>
                <c:ptCount val="6"/>
                <c:pt idx="0">
                  <c:v>1.941117529175999</c:v>
                </c:pt>
                <c:pt idx="1">
                  <c:v>1.5439903708373932</c:v>
                </c:pt>
                <c:pt idx="2">
                  <c:v>0.9783334276178085</c:v>
                </c:pt>
                <c:pt idx="3">
                  <c:v>0.79832449036581965</c:v>
                </c:pt>
                <c:pt idx="4">
                  <c:v>0.94989250868199104</c:v>
                </c:pt>
                <c:pt idx="5">
                  <c:v>0.84343516854544465</c:v>
                </c:pt>
              </c:numCache>
            </c:numRef>
          </c:val>
          <c:smooth val="0"/>
        </c:ser>
        <c:dLbls>
          <c:showLegendKey val="0"/>
          <c:showVal val="0"/>
          <c:showCatName val="0"/>
          <c:showSerName val="0"/>
          <c:showPercent val="0"/>
          <c:showBubbleSize val="0"/>
        </c:dLbls>
        <c:smooth val="0"/>
        <c:axId val="336580680"/>
        <c:axId val="336581072"/>
      </c:lineChart>
      <c:catAx>
        <c:axId val="336580680"/>
        <c:scaling>
          <c:orientation val="minMax"/>
        </c:scaling>
        <c:delete val="0"/>
        <c:axPos val="b"/>
        <c:title>
          <c:tx>
            <c:rich>
              <a:bodyPr/>
              <a:lstStyle/>
              <a:p>
                <a:pPr>
                  <a:defRPr sz="575" b="1" i="0" u="none" strike="noStrike" baseline="0">
                    <a:solidFill>
                      <a:srgbClr val="000000"/>
                    </a:solidFill>
                    <a:latin typeface="Arial"/>
                    <a:ea typeface="Arial"/>
                    <a:cs typeface="Arial"/>
                  </a:defRPr>
                </a:pPr>
                <a:r>
                  <a:rPr lang="es-ES"/>
                  <a:t>Tasa</a:t>
                </a:r>
              </a:p>
            </c:rich>
          </c:tx>
          <c:layout>
            <c:manualLayout>
              <c:xMode val="edge"/>
              <c:yMode val="edge"/>
              <c:x val="1.7241379310344827E-2"/>
              <c:y val="0.1100478468899520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36581072"/>
        <c:crosses val="autoZero"/>
        <c:auto val="1"/>
        <c:lblAlgn val="ctr"/>
        <c:lblOffset val="100"/>
        <c:tickLblSkip val="1"/>
        <c:tickMarkSkip val="1"/>
        <c:noMultiLvlLbl val="0"/>
      </c:catAx>
      <c:valAx>
        <c:axId val="336581072"/>
        <c:scaling>
          <c:orientation val="minMax"/>
          <c:min val="0.5"/>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36580680"/>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CALLE  LARGA</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2010</c:v>
                </c:pt>
                <c:pt idx="1">
                  <c:v>2011</c:v>
                </c:pt>
                <c:pt idx="2">
                  <c:v>2012</c:v>
                </c:pt>
                <c:pt idx="3">
                  <c:v>2013</c:v>
                </c:pt>
                <c:pt idx="4">
                  <c:v>2014</c:v>
                </c:pt>
                <c:pt idx="5">
                  <c:v>2015</c:v>
                </c:pt>
              </c:numCache>
            </c:numRef>
          </c:cat>
          <c:val>
            <c:numRef>
              <c:f>'61'!$N$22:$S$22</c:f>
              <c:numCache>
                <c:formatCode>0.00</c:formatCode>
                <c:ptCount val="6"/>
                <c:pt idx="0">
                  <c:v>1.1173964282476656</c:v>
                </c:pt>
                <c:pt idx="1">
                  <c:v>1.2282903051092255</c:v>
                </c:pt>
                <c:pt idx="2">
                  <c:v>1.1621134252997927</c:v>
                </c:pt>
                <c:pt idx="3">
                  <c:v>0.92491221752048258</c:v>
                </c:pt>
                <c:pt idx="4">
                  <c:v>1.2672786177105833</c:v>
                </c:pt>
                <c:pt idx="5">
                  <c:v>1.1281221922731357</c:v>
                </c:pt>
              </c:numCache>
            </c:numRef>
          </c:val>
          <c:smooth val="0"/>
        </c:ser>
        <c:dLbls>
          <c:showLegendKey val="0"/>
          <c:showVal val="0"/>
          <c:showCatName val="0"/>
          <c:showSerName val="0"/>
          <c:showPercent val="0"/>
          <c:showBubbleSize val="0"/>
        </c:dLbls>
        <c:smooth val="0"/>
        <c:axId val="332830912"/>
        <c:axId val="336581856"/>
      </c:lineChart>
      <c:catAx>
        <c:axId val="332830912"/>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36581856"/>
        <c:crosses val="autoZero"/>
        <c:auto val="1"/>
        <c:lblAlgn val="ctr"/>
        <c:lblOffset val="100"/>
        <c:tickLblSkip val="1"/>
        <c:tickMarkSkip val="1"/>
        <c:noMultiLvlLbl val="0"/>
      </c:catAx>
      <c:valAx>
        <c:axId val="336581856"/>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32830912"/>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RINCONADA</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2010</c:v>
                </c:pt>
                <c:pt idx="1">
                  <c:v>2011</c:v>
                </c:pt>
                <c:pt idx="2">
                  <c:v>2012</c:v>
                </c:pt>
                <c:pt idx="3">
                  <c:v>2013</c:v>
                </c:pt>
                <c:pt idx="4">
                  <c:v>2014</c:v>
                </c:pt>
                <c:pt idx="5">
                  <c:v>2015</c:v>
                </c:pt>
              </c:numCache>
            </c:numRef>
          </c:cat>
          <c:val>
            <c:numRef>
              <c:f>'61'!$N$23:$S$23</c:f>
              <c:numCache>
                <c:formatCode>0.00</c:formatCode>
                <c:ptCount val="6"/>
                <c:pt idx="0">
                  <c:v>0.94987179487179485</c:v>
                </c:pt>
                <c:pt idx="1">
                  <c:v>1.722909636295463</c:v>
                </c:pt>
                <c:pt idx="2">
                  <c:v>1.8114794656110835</c:v>
                </c:pt>
                <c:pt idx="3">
                  <c:v>2.0662672698373883</c:v>
                </c:pt>
                <c:pt idx="4">
                  <c:v>1.5533123791102514</c:v>
                </c:pt>
                <c:pt idx="5">
                  <c:v>1.6649533827396605</c:v>
                </c:pt>
              </c:numCache>
            </c:numRef>
          </c:val>
          <c:smooth val="0"/>
        </c:ser>
        <c:dLbls>
          <c:showLegendKey val="0"/>
          <c:showVal val="0"/>
          <c:showCatName val="0"/>
          <c:showSerName val="0"/>
          <c:showPercent val="0"/>
          <c:showBubbleSize val="0"/>
        </c:dLbls>
        <c:smooth val="0"/>
        <c:axId val="336582640"/>
        <c:axId val="339802656"/>
      </c:lineChart>
      <c:catAx>
        <c:axId val="33658264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39802656"/>
        <c:crosses val="autoZero"/>
        <c:auto val="1"/>
        <c:lblAlgn val="ctr"/>
        <c:lblOffset val="100"/>
        <c:tickLblSkip val="1"/>
        <c:tickMarkSkip val="1"/>
        <c:noMultiLvlLbl val="0"/>
      </c:catAx>
      <c:valAx>
        <c:axId val="339802656"/>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36582640"/>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  FELIPE</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2010</c:v>
                </c:pt>
                <c:pt idx="1">
                  <c:v>2011</c:v>
                </c:pt>
                <c:pt idx="2">
                  <c:v>2012</c:v>
                </c:pt>
                <c:pt idx="3">
                  <c:v>2013</c:v>
                </c:pt>
                <c:pt idx="4">
                  <c:v>2014</c:v>
                </c:pt>
                <c:pt idx="5">
                  <c:v>2015</c:v>
                </c:pt>
              </c:numCache>
            </c:numRef>
          </c:cat>
          <c:val>
            <c:numRef>
              <c:f>'61'!$N$25:$S$25</c:f>
              <c:numCache>
                <c:formatCode>0.00</c:formatCode>
                <c:ptCount val="6"/>
                <c:pt idx="0">
                  <c:v>0.87369525377812007</c:v>
                </c:pt>
                <c:pt idx="1">
                  <c:v>0.90576788898364213</c:v>
                </c:pt>
                <c:pt idx="2">
                  <c:v>0.91401030244300507</c:v>
                </c:pt>
                <c:pt idx="3">
                  <c:v>0.92659903843733482</c:v>
                </c:pt>
                <c:pt idx="4">
                  <c:v>0.91577927161122774</c:v>
                </c:pt>
                <c:pt idx="5">
                  <c:v>0.81716564417177917</c:v>
                </c:pt>
              </c:numCache>
            </c:numRef>
          </c:val>
          <c:smooth val="0"/>
        </c:ser>
        <c:dLbls>
          <c:showLegendKey val="0"/>
          <c:showVal val="0"/>
          <c:showCatName val="0"/>
          <c:showSerName val="0"/>
          <c:showPercent val="0"/>
          <c:showBubbleSize val="0"/>
        </c:dLbls>
        <c:smooth val="0"/>
        <c:axId val="339803440"/>
        <c:axId val="339803832"/>
      </c:lineChart>
      <c:catAx>
        <c:axId val="339803440"/>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39803832"/>
        <c:crosses val="autoZero"/>
        <c:auto val="1"/>
        <c:lblAlgn val="ctr"/>
        <c:lblOffset val="100"/>
        <c:tickLblSkip val="1"/>
        <c:tickMarkSkip val="1"/>
        <c:noMultiLvlLbl val="0"/>
      </c:catAx>
      <c:valAx>
        <c:axId val="339803832"/>
        <c:scaling>
          <c:orientation val="minMax"/>
          <c:min val="0.70000000000000062"/>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39803440"/>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PUTAENDO</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2010</c:v>
                </c:pt>
                <c:pt idx="1">
                  <c:v>2011</c:v>
                </c:pt>
                <c:pt idx="2">
                  <c:v>2012</c:v>
                </c:pt>
                <c:pt idx="3">
                  <c:v>2013</c:v>
                </c:pt>
                <c:pt idx="4">
                  <c:v>2014</c:v>
                </c:pt>
                <c:pt idx="5">
                  <c:v>2015</c:v>
                </c:pt>
              </c:numCache>
            </c:numRef>
          </c:cat>
          <c:val>
            <c:numRef>
              <c:f>'61'!$N$27:$S$27</c:f>
              <c:numCache>
                <c:formatCode>0.00</c:formatCode>
                <c:ptCount val="6"/>
                <c:pt idx="0">
                  <c:v>1.4816363093460734</c:v>
                </c:pt>
                <c:pt idx="1">
                  <c:v>1.3395929317081705</c:v>
                </c:pt>
                <c:pt idx="2">
                  <c:v>1.4558721735117675</c:v>
                </c:pt>
                <c:pt idx="3">
                  <c:v>1.1619400855920115</c:v>
                </c:pt>
                <c:pt idx="4">
                  <c:v>1.198690449311357</c:v>
                </c:pt>
                <c:pt idx="5">
                  <c:v>1.0013403328493242</c:v>
                </c:pt>
              </c:numCache>
            </c:numRef>
          </c:val>
          <c:smooth val="0"/>
        </c:ser>
        <c:dLbls>
          <c:showLegendKey val="0"/>
          <c:showVal val="0"/>
          <c:showCatName val="0"/>
          <c:showSerName val="0"/>
          <c:showPercent val="0"/>
          <c:showBubbleSize val="0"/>
        </c:dLbls>
        <c:smooth val="0"/>
        <c:axId val="339804616"/>
        <c:axId val="339805008"/>
      </c:lineChart>
      <c:catAx>
        <c:axId val="33980461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39805008"/>
        <c:crosses val="autoZero"/>
        <c:auto val="1"/>
        <c:lblAlgn val="ctr"/>
        <c:lblOffset val="100"/>
        <c:tickLblSkip val="1"/>
        <c:tickMarkSkip val="1"/>
        <c:noMultiLvlLbl val="0"/>
      </c:catAx>
      <c:valAx>
        <c:axId val="339805008"/>
        <c:scaling>
          <c:orientation val="minMax"/>
          <c:min val="1"/>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39804616"/>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SANTA  MARIA</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2010</c:v>
                </c:pt>
                <c:pt idx="1">
                  <c:v>2011</c:v>
                </c:pt>
                <c:pt idx="2">
                  <c:v>2012</c:v>
                </c:pt>
                <c:pt idx="3">
                  <c:v>2013</c:v>
                </c:pt>
                <c:pt idx="4">
                  <c:v>2014</c:v>
                </c:pt>
                <c:pt idx="5">
                  <c:v>2015</c:v>
                </c:pt>
              </c:numCache>
            </c:numRef>
          </c:cat>
          <c:val>
            <c:numRef>
              <c:f>'61'!$N$28:$S$28</c:f>
              <c:numCache>
                <c:formatCode>0.00</c:formatCode>
                <c:ptCount val="6"/>
                <c:pt idx="0">
                  <c:v>1.2116176778607834</c:v>
                </c:pt>
                <c:pt idx="1">
                  <c:v>1.1034103410341034</c:v>
                </c:pt>
                <c:pt idx="2">
                  <c:v>1.0496177996177996</c:v>
                </c:pt>
                <c:pt idx="3">
                  <c:v>0.93967328678912765</c:v>
                </c:pt>
                <c:pt idx="4">
                  <c:v>1.1377825618945103</c:v>
                </c:pt>
                <c:pt idx="5">
                  <c:v>1.3644135720010686</c:v>
                </c:pt>
              </c:numCache>
            </c:numRef>
          </c:val>
          <c:smooth val="0"/>
        </c:ser>
        <c:dLbls>
          <c:showLegendKey val="0"/>
          <c:showVal val="0"/>
          <c:showCatName val="0"/>
          <c:showSerName val="0"/>
          <c:showPercent val="0"/>
          <c:showBubbleSize val="0"/>
        </c:dLbls>
        <c:smooth val="0"/>
        <c:axId val="339805792"/>
        <c:axId val="339806184"/>
      </c:lineChart>
      <c:catAx>
        <c:axId val="339805792"/>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39806184"/>
        <c:crosses val="autoZero"/>
        <c:auto val="1"/>
        <c:lblAlgn val="ctr"/>
        <c:lblOffset val="100"/>
        <c:tickLblSkip val="1"/>
        <c:tickMarkSkip val="1"/>
        <c:noMultiLvlLbl val="0"/>
      </c:catAx>
      <c:valAx>
        <c:axId val="339806184"/>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39805792"/>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PANQUEHUE</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2010</c:v>
                </c:pt>
                <c:pt idx="1">
                  <c:v>2011</c:v>
                </c:pt>
                <c:pt idx="2">
                  <c:v>2012</c:v>
                </c:pt>
                <c:pt idx="3">
                  <c:v>2013</c:v>
                </c:pt>
                <c:pt idx="4">
                  <c:v>2014</c:v>
                </c:pt>
                <c:pt idx="5">
                  <c:v>2015</c:v>
                </c:pt>
              </c:numCache>
            </c:numRef>
          </c:cat>
          <c:val>
            <c:numRef>
              <c:f>'61'!$N$29:$S$29</c:f>
              <c:numCache>
                <c:formatCode>0.00</c:formatCode>
                <c:ptCount val="6"/>
                <c:pt idx="0">
                  <c:v>1.5559483344663494</c:v>
                </c:pt>
                <c:pt idx="1">
                  <c:v>1.5609235286267182</c:v>
                </c:pt>
                <c:pt idx="2">
                  <c:v>1.4866331392271044</c:v>
                </c:pt>
                <c:pt idx="3">
                  <c:v>1.4916633845345937</c:v>
                </c:pt>
                <c:pt idx="4">
                  <c:v>1.7190835719864619</c:v>
                </c:pt>
                <c:pt idx="5">
                  <c:v>1.3140901459382668</c:v>
                </c:pt>
              </c:numCache>
            </c:numRef>
          </c:val>
          <c:smooth val="0"/>
        </c:ser>
        <c:dLbls>
          <c:showLegendKey val="0"/>
          <c:showVal val="0"/>
          <c:showCatName val="0"/>
          <c:showSerName val="0"/>
          <c:showPercent val="0"/>
          <c:showBubbleSize val="0"/>
        </c:dLbls>
        <c:smooth val="0"/>
        <c:axId val="339778440"/>
        <c:axId val="339778832"/>
      </c:lineChart>
      <c:catAx>
        <c:axId val="33977844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39778832"/>
        <c:crosses val="autoZero"/>
        <c:auto val="1"/>
        <c:lblAlgn val="ctr"/>
        <c:lblOffset val="100"/>
        <c:tickLblSkip val="1"/>
        <c:tickMarkSkip val="1"/>
        <c:noMultiLvlLbl val="0"/>
      </c:catAx>
      <c:valAx>
        <c:axId val="339778832"/>
        <c:scaling>
          <c:orientation val="minMax"/>
          <c:min val="1.4"/>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39778440"/>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LLAY  LLAY</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2010</c:v>
                </c:pt>
                <c:pt idx="1">
                  <c:v>2011</c:v>
                </c:pt>
                <c:pt idx="2">
                  <c:v>2012</c:v>
                </c:pt>
                <c:pt idx="3">
                  <c:v>2013</c:v>
                </c:pt>
                <c:pt idx="4">
                  <c:v>2014</c:v>
                </c:pt>
                <c:pt idx="5">
                  <c:v>2015</c:v>
                </c:pt>
              </c:numCache>
            </c:numRef>
          </c:cat>
          <c:val>
            <c:numRef>
              <c:f>'61'!$N$30:$S$30</c:f>
              <c:numCache>
                <c:formatCode>0.00</c:formatCode>
                <c:ptCount val="6"/>
                <c:pt idx="0">
                  <c:v>1.0625803135440761</c:v>
                </c:pt>
                <c:pt idx="1">
                  <c:v>0.97572053143172466</c:v>
                </c:pt>
                <c:pt idx="2">
                  <c:v>1.1188763854810051</c:v>
                </c:pt>
                <c:pt idx="3">
                  <c:v>1.0500674308833446</c:v>
                </c:pt>
                <c:pt idx="4">
                  <c:v>1.0338933221335573</c:v>
                </c:pt>
                <c:pt idx="5">
                  <c:v>0.9737150510631174</c:v>
                </c:pt>
              </c:numCache>
            </c:numRef>
          </c:val>
          <c:smooth val="0"/>
        </c:ser>
        <c:dLbls>
          <c:showLegendKey val="0"/>
          <c:showVal val="0"/>
          <c:showCatName val="0"/>
          <c:showSerName val="0"/>
          <c:showPercent val="0"/>
          <c:showBubbleSize val="0"/>
        </c:dLbls>
        <c:smooth val="0"/>
        <c:axId val="339779616"/>
        <c:axId val="339780008"/>
      </c:lineChart>
      <c:catAx>
        <c:axId val="339779616"/>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39780008"/>
        <c:crosses val="autoZero"/>
        <c:auto val="1"/>
        <c:lblAlgn val="ctr"/>
        <c:lblOffset val="100"/>
        <c:tickLblSkip val="1"/>
        <c:tickMarkSkip val="1"/>
        <c:noMultiLvlLbl val="0"/>
      </c:catAx>
      <c:valAx>
        <c:axId val="339780008"/>
        <c:scaling>
          <c:orientation val="minMax"/>
          <c:min val="0.95000000000000062"/>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39779616"/>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333399"/>
                </a:solidFill>
                <a:latin typeface="Arial"/>
                <a:ea typeface="Arial"/>
                <a:cs typeface="Arial"/>
              </a:defRPr>
            </a:pPr>
            <a:r>
              <a:rPr lang="es-ES"/>
              <a:t>PERFIL  CRECIMIENTO VEGETATIVO 
SERVICIO DE SALUD ACONCAGUA</a:t>
            </a:r>
          </a:p>
        </c:rich>
      </c:tx>
      <c:layout>
        <c:manualLayout>
          <c:xMode val="edge"/>
          <c:yMode val="edge"/>
          <c:x val="0.31300160513643682"/>
          <c:y val="3.3519553072625698E-2"/>
        </c:manualLayout>
      </c:layout>
      <c:overlay val="0"/>
      <c:spPr>
        <a:noFill/>
        <a:ln w="25400">
          <a:noFill/>
        </a:ln>
      </c:spPr>
    </c:title>
    <c:autoTitleDeleted val="0"/>
    <c:plotArea>
      <c:layout>
        <c:manualLayout>
          <c:layoutTarget val="inner"/>
          <c:xMode val="edge"/>
          <c:yMode val="edge"/>
          <c:x val="0.10754414125201199"/>
          <c:y val="0.22625729183574239"/>
          <c:w val="0.8667736757624398"/>
          <c:h val="0.63407907711993672"/>
        </c:manualLayout>
      </c:layout>
      <c:lineChart>
        <c:grouping val="standard"/>
        <c:varyColors val="0"/>
        <c:ser>
          <c:idx val="0"/>
          <c:order val="0"/>
          <c:spPr>
            <a:ln w="38100">
              <a:solidFill>
                <a:srgbClr val="000080"/>
              </a:solidFill>
              <a:prstDash val="solid"/>
            </a:ln>
          </c:spPr>
          <c:marker>
            <c:symbol val="none"/>
          </c:marker>
          <c:cat>
            <c:numRef>
              <c:f>'11'!$B$7:$K$7</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'11'!$B$21:$K$21</c:f>
              <c:numCache>
                <c:formatCode>0.00</c:formatCode>
                <c:ptCount val="10"/>
                <c:pt idx="0">
                  <c:v>0.88093151169616501</c:v>
                </c:pt>
                <c:pt idx="1">
                  <c:v>0.85434473782370257</c:v>
                </c:pt>
                <c:pt idx="2">
                  <c:v>0.90871346541013531</c:v>
                </c:pt>
                <c:pt idx="3">
                  <c:v>0.88137585904174054</c:v>
                </c:pt>
                <c:pt idx="4">
                  <c:v>0.93819448156831597</c:v>
                </c:pt>
                <c:pt idx="5">
                  <c:v>0.84144325071158388</c:v>
                </c:pt>
                <c:pt idx="6">
                  <c:v>0.86520947176684881</c:v>
                </c:pt>
                <c:pt idx="7">
                  <c:v>0.8245154956504408</c:v>
                </c:pt>
                <c:pt idx="8">
                  <c:v>0.74716755241488053</c:v>
                </c:pt>
                <c:pt idx="9">
                  <c:v>0.73686300702204088</c:v>
                </c:pt>
              </c:numCache>
            </c:numRef>
          </c:val>
          <c:smooth val="0"/>
        </c:ser>
        <c:dLbls>
          <c:showLegendKey val="0"/>
          <c:showVal val="0"/>
          <c:showCatName val="0"/>
          <c:showSerName val="0"/>
          <c:showPercent val="0"/>
          <c:showBubbleSize val="0"/>
        </c:dLbls>
        <c:smooth val="0"/>
        <c:axId val="294778576"/>
        <c:axId val="332830128"/>
      </c:lineChart>
      <c:catAx>
        <c:axId val="294778576"/>
        <c:scaling>
          <c:orientation val="minMax"/>
        </c:scaling>
        <c:delete val="0"/>
        <c:axPos val="b"/>
        <c:numFmt formatCode="General" sourceLinked="1"/>
        <c:majorTickMark val="out"/>
        <c:minorTickMark val="none"/>
        <c:tickLblPos val="nextTo"/>
        <c:spPr>
          <a:ln w="3175">
            <a:solidFill>
              <a:srgbClr val="333399"/>
            </a:solidFill>
            <a:prstDash val="solid"/>
          </a:ln>
        </c:spPr>
        <c:txPr>
          <a:bodyPr rot="0" vert="horz"/>
          <a:lstStyle/>
          <a:p>
            <a:pPr>
              <a:defRPr sz="1100" b="1" i="1" u="none" strike="noStrike" baseline="0">
                <a:solidFill>
                  <a:srgbClr val="000000"/>
                </a:solidFill>
                <a:latin typeface="Arial"/>
                <a:ea typeface="Arial"/>
                <a:cs typeface="Arial"/>
              </a:defRPr>
            </a:pPr>
            <a:endParaRPr lang="es-CL"/>
          </a:p>
        </c:txPr>
        <c:crossAx val="332830128"/>
        <c:crosses val="autoZero"/>
        <c:auto val="0"/>
        <c:lblAlgn val="ctr"/>
        <c:lblOffset val="100"/>
        <c:tickLblSkip val="1"/>
        <c:tickMarkSkip val="1"/>
        <c:noMultiLvlLbl val="0"/>
      </c:catAx>
      <c:valAx>
        <c:axId val="332830128"/>
        <c:scaling>
          <c:orientation val="minMax"/>
          <c:min val="0.75000000000001465"/>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1200" b="1" i="1" u="none" strike="noStrike" baseline="0">
                <a:solidFill>
                  <a:srgbClr val="000000"/>
                </a:solidFill>
                <a:latin typeface="Arial"/>
                <a:ea typeface="Arial"/>
                <a:cs typeface="Arial"/>
              </a:defRPr>
            </a:pPr>
            <a:endParaRPr lang="es-CL"/>
          </a:p>
        </c:txPr>
        <c:crossAx val="294778576"/>
        <c:crosses val="autoZero"/>
        <c:crossBetween val="between"/>
        <c:majorUnit val="0.1"/>
      </c:valAx>
      <c:spPr>
        <a:noFill/>
        <a:ln w="25400">
          <a:noFill/>
        </a:ln>
      </c:spPr>
    </c:plotArea>
    <c:plotVisOnly val="1"/>
    <c:dispBlanksAs val="gap"/>
    <c:showDLblsOverMax val="0"/>
  </c:chart>
  <c:spPr>
    <a:gradFill rotWithShape="0">
      <a:gsLst>
        <a:gs pos="0">
          <a:srgbClr val="969696"/>
        </a:gs>
        <a:gs pos="100000">
          <a:srgbClr val="969696">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5" orientation="landscape" horizontalDpi="300" verticalDpi="300"/>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CATEMU</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2010</c:v>
                </c:pt>
                <c:pt idx="1">
                  <c:v>2011</c:v>
                </c:pt>
                <c:pt idx="2">
                  <c:v>2012</c:v>
                </c:pt>
                <c:pt idx="3">
                  <c:v>2013</c:v>
                </c:pt>
                <c:pt idx="4">
                  <c:v>2014</c:v>
                </c:pt>
                <c:pt idx="5">
                  <c:v>2015</c:v>
                </c:pt>
              </c:numCache>
            </c:numRef>
          </c:cat>
          <c:val>
            <c:numRef>
              <c:f>'61'!$N$31:$S$31</c:f>
              <c:numCache>
                <c:formatCode>0.00</c:formatCode>
                <c:ptCount val="6"/>
                <c:pt idx="0">
                  <c:v>1.5490375104618428</c:v>
                </c:pt>
                <c:pt idx="1">
                  <c:v>1.5082831325301205</c:v>
                </c:pt>
                <c:pt idx="2">
                  <c:v>1.5563813813813814</c:v>
                </c:pt>
                <c:pt idx="3">
                  <c:v>1.3301929116195603</c:v>
                </c:pt>
                <c:pt idx="4">
                  <c:v>1.1745286534018928</c:v>
                </c:pt>
                <c:pt idx="5">
                  <c:v>1.2911101216978331</c:v>
                </c:pt>
              </c:numCache>
            </c:numRef>
          </c:val>
          <c:smooth val="0"/>
        </c:ser>
        <c:dLbls>
          <c:showLegendKey val="0"/>
          <c:showVal val="0"/>
          <c:showCatName val="0"/>
          <c:showSerName val="0"/>
          <c:showPercent val="0"/>
          <c:showBubbleSize val="0"/>
        </c:dLbls>
        <c:smooth val="0"/>
        <c:axId val="339780792"/>
        <c:axId val="339781184"/>
      </c:lineChart>
      <c:catAx>
        <c:axId val="33978079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39781184"/>
        <c:crosses val="autoZero"/>
        <c:auto val="1"/>
        <c:lblAlgn val="ctr"/>
        <c:lblOffset val="100"/>
        <c:tickLblSkip val="1"/>
        <c:tickMarkSkip val="1"/>
        <c:noMultiLvlLbl val="0"/>
      </c:catAx>
      <c:valAx>
        <c:axId val="339781184"/>
        <c:scaling>
          <c:orientation val="minMax"/>
          <c:min val="1.2"/>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39780792"/>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NUMERO DE  CONSULTAS   MEDICAS
SERVICIO  DE  SALUD</a:t>
            </a:r>
          </a:p>
        </c:rich>
      </c:tx>
      <c:layout>
        <c:manualLayout>
          <c:xMode val="edge"/>
          <c:yMode val="edge"/>
          <c:x val="0.29166729158855148"/>
          <c:y val="3.717472118959108E-2"/>
        </c:manualLayout>
      </c:layout>
      <c:overlay val="0"/>
      <c:spPr>
        <a:noFill/>
        <a:ln w="25400">
          <a:noFill/>
        </a:ln>
      </c:spPr>
    </c:title>
    <c:autoTitleDeleted val="0"/>
    <c:plotArea>
      <c:layout>
        <c:manualLayout>
          <c:layoutTarget val="inner"/>
          <c:xMode val="edge"/>
          <c:yMode val="edge"/>
          <c:x val="0.12698437303210044"/>
          <c:y val="0.21189591078066924"/>
          <c:w val="0.84523973299490063"/>
          <c:h val="0.67286245353162533"/>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2010</c:v>
                </c:pt>
                <c:pt idx="1">
                  <c:v>2011</c:v>
                </c:pt>
                <c:pt idx="2">
                  <c:v>2012</c:v>
                </c:pt>
                <c:pt idx="3">
                  <c:v>2013</c:v>
                </c:pt>
                <c:pt idx="4">
                  <c:v>2014</c:v>
                </c:pt>
                <c:pt idx="5">
                  <c:v>2015</c:v>
                </c:pt>
              </c:numCache>
            </c:numRef>
          </c:cat>
          <c:val>
            <c:numRef>
              <c:f>'61'!$C$29:$H$29</c:f>
              <c:numCache>
                <c:formatCode>#,##0</c:formatCode>
                <c:ptCount val="6"/>
                <c:pt idx="0">
                  <c:v>266277</c:v>
                </c:pt>
                <c:pt idx="1">
                  <c:v>264984</c:v>
                </c:pt>
                <c:pt idx="2">
                  <c:v>267772</c:v>
                </c:pt>
                <c:pt idx="3">
                  <c:v>244282</c:v>
                </c:pt>
                <c:pt idx="4">
                  <c:v>248510</c:v>
                </c:pt>
                <c:pt idx="5">
                  <c:v>234927</c:v>
                </c:pt>
              </c:numCache>
            </c:numRef>
          </c:val>
          <c:smooth val="0"/>
        </c:ser>
        <c:dLbls>
          <c:showLegendKey val="0"/>
          <c:showVal val="0"/>
          <c:showCatName val="0"/>
          <c:showSerName val="0"/>
          <c:showPercent val="0"/>
          <c:showBubbleSize val="0"/>
        </c:dLbls>
        <c:smooth val="0"/>
        <c:axId val="339766544"/>
        <c:axId val="339766936"/>
      </c:lineChart>
      <c:catAx>
        <c:axId val="339766544"/>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s-ES"/>
                  <a:t>Numero</a:t>
                </a:r>
              </a:p>
            </c:rich>
          </c:tx>
          <c:layout>
            <c:manualLayout>
              <c:xMode val="edge"/>
              <c:yMode val="edge"/>
              <c:x val="9.9206349206350727E-3"/>
              <c:y val="9.6654275092937766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CL"/>
          </a:p>
        </c:txPr>
        <c:crossAx val="339766936"/>
        <c:crosses val="autoZero"/>
        <c:auto val="1"/>
        <c:lblAlgn val="ctr"/>
        <c:lblOffset val="100"/>
        <c:tickLblSkip val="1"/>
        <c:tickMarkSkip val="1"/>
        <c:noMultiLvlLbl val="0"/>
      </c:catAx>
      <c:valAx>
        <c:axId val="339766936"/>
        <c:scaling>
          <c:orientation val="minMax"/>
          <c:max val="280000"/>
          <c:min val="234000"/>
        </c:scaling>
        <c:delete val="0"/>
        <c:axPos val="l"/>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CL"/>
          </a:p>
        </c:txPr>
        <c:crossAx val="339766544"/>
        <c:crosses val="autoZero"/>
        <c:crossBetween val="between"/>
        <c:majorUnit val="20000"/>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TASA  CONSULTA   MEDICO  HABITANTE  AÑO
SERVICIO  DE  SALUD</a:t>
            </a:r>
          </a:p>
        </c:rich>
      </c:tx>
      <c:layout>
        <c:manualLayout>
          <c:xMode val="edge"/>
          <c:yMode val="edge"/>
          <c:x val="0.24404803566222172"/>
          <c:y val="3.717472118959108E-2"/>
        </c:manualLayout>
      </c:layout>
      <c:overlay val="0"/>
      <c:spPr>
        <a:noFill/>
        <a:ln w="25400">
          <a:noFill/>
        </a:ln>
      </c:spPr>
    </c:title>
    <c:autoTitleDeleted val="0"/>
    <c:plotArea>
      <c:layout>
        <c:manualLayout>
          <c:layoutTarget val="inner"/>
          <c:xMode val="edge"/>
          <c:yMode val="edge"/>
          <c:x val="9.1270018116819576E-2"/>
          <c:y val="0.21189591078066924"/>
          <c:w val="0.8809540879101716"/>
          <c:h val="0.67286245353162533"/>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2010</c:v>
                </c:pt>
                <c:pt idx="1">
                  <c:v>2011</c:v>
                </c:pt>
                <c:pt idx="2">
                  <c:v>2012</c:v>
                </c:pt>
                <c:pt idx="3">
                  <c:v>2013</c:v>
                </c:pt>
                <c:pt idx="4">
                  <c:v>2014</c:v>
                </c:pt>
                <c:pt idx="5">
                  <c:v>2015</c:v>
                </c:pt>
              </c:numCache>
            </c:numRef>
          </c:cat>
          <c:val>
            <c:numRef>
              <c:f>'61'!$N$19:$S$19</c:f>
              <c:numCache>
                <c:formatCode>0.00</c:formatCode>
                <c:ptCount val="6"/>
                <c:pt idx="0">
                  <c:v>1.0297903114775655</c:v>
                </c:pt>
                <c:pt idx="1">
                  <c:v>1.0003095484367803</c:v>
                </c:pt>
                <c:pt idx="2">
                  <c:v>0.99947744035354891</c:v>
                </c:pt>
                <c:pt idx="3">
                  <c:v>0.90158591901737239</c:v>
                </c:pt>
                <c:pt idx="4">
                  <c:v>0.90707673888921336</c:v>
                </c:pt>
                <c:pt idx="5">
                  <c:v>0.84815784248244486</c:v>
                </c:pt>
              </c:numCache>
            </c:numRef>
          </c:val>
          <c:smooth val="0"/>
        </c:ser>
        <c:dLbls>
          <c:showLegendKey val="0"/>
          <c:showVal val="0"/>
          <c:showCatName val="0"/>
          <c:showSerName val="0"/>
          <c:showPercent val="0"/>
          <c:showBubbleSize val="0"/>
        </c:dLbls>
        <c:smooth val="0"/>
        <c:axId val="339767720"/>
        <c:axId val="339768112"/>
      </c:lineChart>
      <c:catAx>
        <c:axId val="33976772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Tasa</a:t>
                </a:r>
              </a:p>
            </c:rich>
          </c:tx>
          <c:layout>
            <c:manualLayout>
              <c:xMode val="edge"/>
              <c:yMode val="edge"/>
              <c:x val="9.9206349206350727E-3"/>
              <c:y val="9.6654275092937766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39768112"/>
        <c:crosses val="autoZero"/>
        <c:auto val="1"/>
        <c:lblAlgn val="ctr"/>
        <c:lblOffset val="100"/>
        <c:tickLblSkip val="1"/>
        <c:tickMarkSkip val="1"/>
        <c:noMultiLvlLbl val="0"/>
      </c:catAx>
      <c:valAx>
        <c:axId val="339768112"/>
        <c:scaling>
          <c:orientation val="minMax"/>
          <c:min val="0.80000000000000104"/>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39767720"/>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25" b="1" i="0" u="none" strike="noStrike" baseline="0">
                <a:solidFill>
                  <a:srgbClr val="333399"/>
                </a:solidFill>
                <a:latin typeface="Arial"/>
                <a:ea typeface="Arial"/>
                <a:cs typeface="Arial"/>
              </a:defRPr>
            </a:pPr>
            <a:r>
              <a:rPr lang="es-ES"/>
              <a:t>TASA  CONSULTA   MEDICO  HABITANTE  AÑO
COMUNA  LOS  ANDES</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9.4405755582378847E-2"/>
          <c:y val="0.21800998317625531"/>
          <c:w val="0.8741273665035455"/>
          <c:h val="0.68246603429084507"/>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2010</c:v>
                </c:pt>
                <c:pt idx="1">
                  <c:v>2011</c:v>
                </c:pt>
                <c:pt idx="2">
                  <c:v>2012</c:v>
                </c:pt>
                <c:pt idx="3">
                  <c:v>2013</c:v>
                </c:pt>
                <c:pt idx="4">
                  <c:v>2014</c:v>
                </c:pt>
                <c:pt idx="5">
                  <c:v>2015</c:v>
                </c:pt>
              </c:numCache>
            </c:numRef>
          </c:cat>
          <c:val>
            <c:numRef>
              <c:f>'61'!$N$20:$S$20</c:f>
              <c:numCache>
                <c:formatCode>0.00</c:formatCode>
                <c:ptCount val="6"/>
                <c:pt idx="0">
                  <c:v>0.67588164767167835</c:v>
                </c:pt>
                <c:pt idx="1">
                  <c:v>0.62463480035752883</c:v>
                </c:pt>
                <c:pt idx="2">
                  <c:v>0.67964008932089848</c:v>
                </c:pt>
                <c:pt idx="3">
                  <c:v>0.52217838432184205</c:v>
                </c:pt>
                <c:pt idx="4">
                  <c:v>0.49084398455519734</c:v>
                </c:pt>
                <c:pt idx="5">
                  <c:v>0.46164471288471437</c:v>
                </c:pt>
              </c:numCache>
            </c:numRef>
          </c:val>
          <c:smooth val="0"/>
        </c:ser>
        <c:dLbls>
          <c:showLegendKey val="0"/>
          <c:showVal val="0"/>
          <c:showCatName val="0"/>
          <c:showSerName val="0"/>
          <c:showPercent val="0"/>
          <c:showBubbleSize val="0"/>
        </c:dLbls>
        <c:smooth val="0"/>
        <c:axId val="339768896"/>
        <c:axId val="339769288"/>
      </c:lineChart>
      <c:catAx>
        <c:axId val="339768896"/>
        <c:scaling>
          <c:orientation val="minMax"/>
        </c:scaling>
        <c:delete val="0"/>
        <c:axPos val="b"/>
        <c:title>
          <c:tx>
            <c:rich>
              <a:bodyPr/>
              <a:lstStyle/>
              <a:p>
                <a:pPr>
                  <a:defRPr sz="575" b="1" i="0" u="none" strike="noStrike" baseline="0">
                    <a:solidFill>
                      <a:srgbClr val="000000"/>
                    </a:solidFill>
                    <a:latin typeface="Arial"/>
                    <a:ea typeface="Arial"/>
                    <a:cs typeface="Arial"/>
                  </a:defRPr>
                </a:pPr>
                <a:r>
                  <a:rPr lang="es-ES"/>
                  <a:t>Tasa</a:t>
                </a:r>
              </a:p>
            </c:rich>
          </c:tx>
          <c:layout>
            <c:manualLayout>
              <c:xMode val="edge"/>
              <c:yMode val="edge"/>
              <c:x val="1.7482517482517761E-2"/>
              <c:y val="0.113744573397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50" b="0" i="0" u="none" strike="noStrike" baseline="0">
                <a:solidFill>
                  <a:srgbClr val="000000"/>
                </a:solidFill>
                <a:latin typeface="Arial"/>
                <a:ea typeface="Arial"/>
                <a:cs typeface="Arial"/>
              </a:defRPr>
            </a:pPr>
            <a:endParaRPr lang="es-CL"/>
          </a:p>
        </c:txPr>
        <c:crossAx val="339769288"/>
        <c:crosses val="autoZero"/>
        <c:auto val="1"/>
        <c:lblAlgn val="ctr"/>
        <c:lblOffset val="100"/>
        <c:tickLblSkip val="1"/>
        <c:tickMarkSkip val="1"/>
        <c:noMultiLvlLbl val="0"/>
      </c:catAx>
      <c:valAx>
        <c:axId val="339769288"/>
        <c:scaling>
          <c:orientation val="minMax"/>
          <c:min val="0.4"/>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50" b="0" i="0" u="none" strike="noStrike" baseline="0">
                <a:solidFill>
                  <a:srgbClr val="000000"/>
                </a:solidFill>
                <a:latin typeface="Arial"/>
                <a:ea typeface="Arial"/>
                <a:cs typeface="Arial"/>
              </a:defRPr>
            </a:pPr>
            <a:endParaRPr lang="es-CL"/>
          </a:p>
        </c:txPr>
        <c:crossAx val="339768896"/>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  ESTEBAN</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9.3103448275865267E-2"/>
          <c:y val="0.21531100478468901"/>
          <c:w val="0.87586206896551722"/>
          <c:h val="0.6842105263157896"/>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2010</c:v>
                </c:pt>
                <c:pt idx="1">
                  <c:v>2011</c:v>
                </c:pt>
                <c:pt idx="2">
                  <c:v>2012</c:v>
                </c:pt>
                <c:pt idx="3">
                  <c:v>2013</c:v>
                </c:pt>
                <c:pt idx="4">
                  <c:v>2014</c:v>
                </c:pt>
                <c:pt idx="5">
                  <c:v>2015</c:v>
                </c:pt>
              </c:numCache>
            </c:numRef>
          </c:cat>
          <c:val>
            <c:numRef>
              <c:f>'61'!$N$21:$S$21</c:f>
              <c:numCache>
                <c:formatCode>0.00</c:formatCode>
                <c:ptCount val="6"/>
                <c:pt idx="0">
                  <c:v>1.941117529175999</c:v>
                </c:pt>
                <c:pt idx="1">
                  <c:v>1.5439903708373932</c:v>
                </c:pt>
                <c:pt idx="2">
                  <c:v>0.9783334276178085</c:v>
                </c:pt>
                <c:pt idx="3">
                  <c:v>0.79832449036581965</c:v>
                </c:pt>
                <c:pt idx="4">
                  <c:v>0.94989250868199104</c:v>
                </c:pt>
                <c:pt idx="5">
                  <c:v>0.84343516854544465</c:v>
                </c:pt>
              </c:numCache>
            </c:numRef>
          </c:val>
          <c:smooth val="0"/>
        </c:ser>
        <c:dLbls>
          <c:showLegendKey val="0"/>
          <c:showVal val="0"/>
          <c:showCatName val="0"/>
          <c:showSerName val="0"/>
          <c:showPercent val="0"/>
          <c:showBubbleSize val="0"/>
        </c:dLbls>
        <c:smooth val="0"/>
        <c:axId val="339770072"/>
        <c:axId val="340389024"/>
      </c:lineChart>
      <c:catAx>
        <c:axId val="339770072"/>
        <c:scaling>
          <c:orientation val="minMax"/>
        </c:scaling>
        <c:delete val="0"/>
        <c:axPos val="b"/>
        <c:title>
          <c:tx>
            <c:rich>
              <a:bodyPr/>
              <a:lstStyle/>
              <a:p>
                <a:pPr>
                  <a:defRPr sz="575" b="1" i="0" u="none" strike="noStrike" baseline="0">
                    <a:solidFill>
                      <a:srgbClr val="000000"/>
                    </a:solidFill>
                    <a:latin typeface="Arial"/>
                    <a:ea typeface="Arial"/>
                    <a:cs typeface="Arial"/>
                  </a:defRPr>
                </a:pPr>
                <a:r>
                  <a:rPr lang="es-ES"/>
                  <a:t>Tasa</a:t>
                </a:r>
              </a:p>
            </c:rich>
          </c:tx>
          <c:layout>
            <c:manualLayout>
              <c:xMode val="edge"/>
              <c:yMode val="edge"/>
              <c:x val="1.7241379310344827E-2"/>
              <c:y val="0.1100478468899520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40389024"/>
        <c:crosses val="autoZero"/>
        <c:auto val="1"/>
        <c:lblAlgn val="ctr"/>
        <c:lblOffset val="100"/>
        <c:tickLblSkip val="1"/>
        <c:tickMarkSkip val="1"/>
        <c:noMultiLvlLbl val="0"/>
      </c:catAx>
      <c:valAx>
        <c:axId val="340389024"/>
        <c:scaling>
          <c:orientation val="minMax"/>
          <c:min val="0.5"/>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39770072"/>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CALLE  LARGA</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2010</c:v>
                </c:pt>
                <c:pt idx="1">
                  <c:v>2011</c:v>
                </c:pt>
                <c:pt idx="2">
                  <c:v>2012</c:v>
                </c:pt>
                <c:pt idx="3">
                  <c:v>2013</c:v>
                </c:pt>
                <c:pt idx="4">
                  <c:v>2014</c:v>
                </c:pt>
                <c:pt idx="5">
                  <c:v>2015</c:v>
                </c:pt>
              </c:numCache>
            </c:numRef>
          </c:cat>
          <c:val>
            <c:numRef>
              <c:f>'61'!$N$22:$S$22</c:f>
              <c:numCache>
                <c:formatCode>0.00</c:formatCode>
                <c:ptCount val="6"/>
                <c:pt idx="0">
                  <c:v>1.1173964282476656</c:v>
                </c:pt>
                <c:pt idx="1">
                  <c:v>1.2282903051092255</c:v>
                </c:pt>
                <c:pt idx="2">
                  <c:v>1.1621134252997927</c:v>
                </c:pt>
                <c:pt idx="3">
                  <c:v>0.92491221752048258</c:v>
                </c:pt>
                <c:pt idx="4">
                  <c:v>1.2672786177105833</c:v>
                </c:pt>
                <c:pt idx="5">
                  <c:v>1.1281221922731357</c:v>
                </c:pt>
              </c:numCache>
            </c:numRef>
          </c:val>
          <c:smooth val="0"/>
        </c:ser>
        <c:dLbls>
          <c:showLegendKey val="0"/>
          <c:showVal val="0"/>
          <c:showCatName val="0"/>
          <c:showSerName val="0"/>
          <c:showPercent val="0"/>
          <c:showBubbleSize val="0"/>
        </c:dLbls>
        <c:smooth val="0"/>
        <c:axId val="340389808"/>
        <c:axId val="340390200"/>
      </c:lineChart>
      <c:catAx>
        <c:axId val="340389808"/>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40390200"/>
        <c:crosses val="autoZero"/>
        <c:auto val="1"/>
        <c:lblAlgn val="ctr"/>
        <c:lblOffset val="100"/>
        <c:tickLblSkip val="1"/>
        <c:tickMarkSkip val="1"/>
        <c:noMultiLvlLbl val="0"/>
      </c:catAx>
      <c:valAx>
        <c:axId val="340390200"/>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40389808"/>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RINCONADA</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2010</c:v>
                </c:pt>
                <c:pt idx="1">
                  <c:v>2011</c:v>
                </c:pt>
                <c:pt idx="2">
                  <c:v>2012</c:v>
                </c:pt>
                <c:pt idx="3">
                  <c:v>2013</c:v>
                </c:pt>
                <c:pt idx="4">
                  <c:v>2014</c:v>
                </c:pt>
                <c:pt idx="5">
                  <c:v>2015</c:v>
                </c:pt>
              </c:numCache>
            </c:numRef>
          </c:cat>
          <c:val>
            <c:numRef>
              <c:f>'61'!$N$23:$S$23</c:f>
              <c:numCache>
                <c:formatCode>0.00</c:formatCode>
                <c:ptCount val="6"/>
                <c:pt idx="0">
                  <c:v>0.94987179487179485</c:v>
                </c:pt>
                <c:pt idx="1">
                  <c:v>1.722909636295463</c:v>
                </c:pt>
                <c:pt idx="2">
                  <c:v>1.8114794656110835</c:v>
                </c:pt>
                <c:pt idx="3">
                  <c:v>2.0662672698373883</c:v>
                </c:pt>
                <c:pt idx="4">
                  <c:v>1.5533123791102514</c:v>
                </c:pt>
                <c:pt idx="5">
                  <c:v>1.6649533827396605</c:v>
                </c:pt>
              </c:numCache>
            </c:numRef>
          </c:val>
          <c:smooth val="0"/>
        </c:ser>
        <c:dLbls>
          <c:showLegendKey val="0"/>
          <c:showVal val="0"/>
          <c:showCatName val="0"/>
          <c:showSerName val="0"/>
          <c:showPercent val="0"/>
          <c:showBubbleSize val="0"/>
        </c:dLbls>
        <c:smooth val="0"/>
        <c:axId val="340390984"/>
        <c:axId val="340391376"/>
      </c:lineChart>
      <c:catAx>
        <c:axId val="34039098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40391376"/>
        <c:crosses val="autoZero"/>
        <c:auto val="1"/>
        <c:lblAlgn val="ctr"/>
        <c:lblOffset val="100"/>
        <c:tickLblSkip val="1"/>
        <c:tickMarkSkip val="1"/>
        <c:noMultiLvlLbl val="0"/>
      </c:catAx>
      <c:valAx>
        <c:axId val="340391376"/>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40390984"/>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  FELIPE</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2010</c:v>
                </c:pt>
                <c:pt idx="1">
                  <c:v>2011</c:v>
                </c:pt>
                <c:pt idx="2">
                  <c:v>2012</c:v>
                </c:pt>
                <c:pt idx="3">
                  <c:v>2013</c:v>
                </c:pt>
                <c:pt idx="4">
                  <c:v>2014</c:v>
                </c:pt>
                <c:pt idx="5">
                  <c:v>2015</c:v>
                </c:pt>
              </c:numCache>
            </c:numRef>
          </c:cat>
          <c:val>
            <c:numRef>
              <c:f>'61'!$N$25:$S$25</c:f>
              <c:numCache>
                <c:formatCode>0.00</c:formatCode>
                <c:ptCount val="6"/>
                <c:pt idx="0">
                  <c:v>0.87369525377812007</c:v>
                </c:pt>
                <c:pt idx="1">
                  <c:v>0.90576788898364213</c:v>
                </c:pt>
                <c:pt idx="2">
                  <c:v>0.91401030244300507</c:v>
                </c:pt>
                <c:pt idx="3">
                  <c:v>0.92659903843733482</c:v>
                </c:pt>
                <c:pt idx="4">
                  <c:v>0.91577927161122774</c:v>
                </c:pt>
                <c:pt idx="5">
                  <c:v>0.81716564417177917</c:v>
                </c:pt>
              </c:numCache>
            </c:numRef>
          </c:val>
          <c:smooth val="0"/>
        </c:ser>
        <c:dLbls>
          <c:showLegendKey val="0"/>
          <c:showVal val="0"/>
          <c:showCatName val="0"/>
          <c:showSerName val="0"/>
          <c:showPercent val="0"/>
          <c:showBubbleSize val="0"/>
        </c:dLbls>
        <c:smooth val="0"/>
        <c:axId val="340392552"/>
        <c:axId val="340594856"/>
      </c:lineChart>
      <c:catAx>
        <c:axId val="340392552"/>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40594856"/>
        <c:crosses val="autoZero"/>
        <c:auto val="1"/>
        <c:lblAlgn val="ctr"/>
        <c:lblOffset val="100"/>
        <c:tickLblSkip val="1"/>
        <c:tickMarkSkip val="1"/>
        <c:noMultiLvlLbl val="0"/>
      </c:catAx>
      <c:valAx>
        <c:axId val="340594856"/>
        <c:scaling>
          <c:orientation val="minMax"/>
          <c:min val="0.70000000000000062"/>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40392552"/>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PUTAENDO</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2010</c:v>
                </c:pt>
                <c:pt idx="1">
                  <c:v>2011</c:v>
                </c:pt>
                <c:pt idx="2">
                  <c:v>2012</c:v>
                </c:pt>
                <c:pt idx="3">
                  <c:v>2013</c:v>
                </c:pt>
                <c:pt idx="4">
                  <c:v>2014</c:v>
                </c:pt>
                <c:pt idx="5">
                  <c:v>2015</c:v>
                </c:pt>
              </c:numCache>
            </c:numRef>
          </c:cat>
          <c:val>
            <c:numRef>
              <c:f>'61'!$N$27:$S$27</c:f>
              <c:numCache>
                <c:formatCode>0.00</c:formatCode>
                <c:ptCount val="6"/>
                <c:pt idx="0">
                  <c:v>1.4816363093460734</c:v>
                </c:pt>
                <c:pt idx="1">
                  <c:v>1.3395929317081705</c:v>
                </c:pt>
                <c:pt idx="2">
                  <c:v>1.4558721735117675</c:v>
                </c:pt>
                <c:pt idx="3">
                  <c:v>1.1619400855920115</c:v>
                </c:pt>
                <c:pt idx="4">
                  <c:v>1.198690449311357</c:v>
                </c:pt>
                <c:pt idx="5">
                  <c:v>1.0013403328493242</c:v>
                </c:pt>
              </c:numCache>
            </c:numRef>
          </c:val>
          <c:smooth val="0"/>
        </c:ser>
        <c:dLbls>
          <c:showLegendKey val="0"/>
          <c:showVal val="0"/>
          <c:showCatName val="0"/>
          <c:showSerName val="0"/>
          <c:showPercent val="0"/>
          <c:showBubbleSize val="0"/>
        </c:dLbls>
        <c:smooth val="0"/>
        <c:axId val="340595248"/>
        <c:axId val="340595640"/>
      </c:lineChart>
      <c:catAx>
        <c:axId val="34059524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40595640"/>
        <c:crosses val="autoZero"/>
        <c:auto val="1"/>
        <c:lblAlgn val="ctr"/>
        <c:lblOffset val="100"/>
        <c:tickLblSkip val="1"/>
        <c:tickMarkSkip val="1"/>
        <c:noMultiLvlLbl val="0"/>
      </c:catAx>
      <c:valAx>
        <c:axId val="340595640"/>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40595248"/>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SANTA  MARIA</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2010</c:v>
                </c:pt>
                <c:pt idx="1">
                  <c:v>2011</c:v>
                </c:pt>
                <c:pt idx="2">
                  <c:v>2012</c:v>
                </c:pt>
                <c:pt idx="3">
                  <c:v>2013</c:v>
                </c:pt>
                <c:pt idx="4">
                  <c:v>2014</c:v>
                </c:pt>
                <c:pt idx="5">
                  <c:v>2015</c:v>
                </c:pt>
              </c:numCache>
            </c:numRef>
          </c:cat>
          <c:val>
            <c:numRef>
              <c:f>'61'!$N$28:$S$28</c:f>
              <c:numCache>
                <c:formatCode>0.00</c:formatCode>
                <c:ptCount val="6"/>
                <c:pt idx="0">
                  <c:v>1.2116176778607834</c:v>
                </c:pt>
                <c:pt idx="1">
                  <c:v>1.1034103410341034</c:v>
                </c:pt>
                <c:pt idx="2">
                  <c:v>1.0496177996177996</c:v>
                </c:pt>
                <c:pt idx="3">
                  <c:v>0.93967328678912765</c:v>
                </c:pt>
                <c:pt idx="4">
                  <c:v>1.1377825618945103</c:v>
                </c:pt>
                <c:pt idx="5">
                  <c:v>1.3644135720010686</c:v>
                </c:pt>
              </c:numCache>
            </c:numRef>
          </c:val>
          <c:smooth val="0"/>
        </c:ser>
        <c:dLbls>
          <c:showLegendKey val="0"/>
          <c:showVal val="0"/>
          <c:showCatName val="0"/>
          <c:showSerName val="0"/>
          <c:showPercent val="0"/>
          <c:showBubbleSize val="0"/>
        </c:dLbls>
        <c:smooth val="0"/>
        <c:axId val="340596424"/>
        <c:axId val="340596816"/>
      </c:lineChart>
      <c:catAx>
        <c:axId val="340596424"/>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40596816"/>
        <c:crosses val="autoZero"/>
        <c:auto val="1"/>
        <c:lblAlgn val="ctr"/>
        <c:lblOffset val="100"/>
        <c:tickLblSkip val="1"/>
        <c:tickMarkSkip val="1"/>
        <c:noMultiLvlLbl val="0"/>
      </c:catAx>
      <c:valAx>
        <c:axId val="340596816"/>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40596424"/>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333399"/>
                </a:solidFill>
                <a:latin typeface="Arial"/>
                <a:ea typeface="Arial"/>
                <a:cs typeface="Arial"/>
              </a:defRPr>
            </a:pPr>
            <a:r>
              <a:rPr lang="es-ES"/>
              <a:t>PERFIL  CRECIMIENTO VEGETATIVO 
SERVICIO DE SALUD ACONCAGUA</a:t>
            </a:r>
          </a:p>
        </c:rich>
      </c:tx>
      <c:layout>
        <c:manualLayout>
          <c:xMode val="edge"/>
          <c:yMode val="edge"/>
          <c:x val="0.31300160513643682"/>
          <c:y val="3.3519553072625698E-2"/>
        </c:manualLayout>
      </c:layout>
      <c:overlay val="0"/>
      <c:spPr>
        <a:noFill/>
        <a:ln w="25400">
          <a:noFill/>
        </a:ln>
      </c:spPr>
    </c:title>
    <c:autoTitleDeleted val="0"/>
    <c:plotArea>
      <c:layout>
        <c:manualLayout>
          <c:layoutTarget val="inner"/>
          <c:xMode val="edge"/>
          <c:yMode val="edge"/>
          <c:x val="0.10754414125201199"/>
          <c:y val="0.22625729183574239"/>
          <c:w val="0.8667736757624398"/>
          <c:h val="0.63407907711993672"/>
        </c:manualLayout>
      </c:layout>
      <c:lineChart>
        <c:grouping val="standard"/>
        <c:varyColors val="0"/>
        <c:ser>
          <c:idx val="0"/>
          <c:order val="0"/>
          <c:spPr>
            <a:ln w="38100">
              <a:solidFill>
                <a:srgbClr val="000080"/>
              </a:solidFill>
              <a:prstDash val="solid"/>
            </a:ln>
          </c:spPr>
          <c:marker>
            <c:symbol val="none"/>
          </c:marker>
          <c:cat>
            <c:numRef>
              <c:f>'11'!$B$7:$K$7</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'11'!$B$21:$K$21</c:f>
              <c:numCache>
                <c:formatCode>0.00</c:formatCode>
                <c:ptCount val="10"/>
                <c:pt idx="0">
                  <c:v>0.88093151169616501</c:v>
                </c:pt>
                <c:pt idx="1">
                  <c:v>0.85434473782370257</c:v>
                </c:pt>
                <c:pt idx="2">
                  <c:v>0.90871346541013531</c:v>
                </c:pt>
                <c:pt idx="3">
                  <c:v>0.88137585904174054</c:v>
                </c:pt>
                <c:pt idx="4">
                  <c:v>0.93819448156831597</c:v>
                </c:pt>
                <c:pt idx="5">
                  <c:v>0.84144325071158388</c:v>
                </c:pt>
                <c:pt idx="6">
                  <c:v>0.86520947176684881</c:v>
                </c:pt>
                <c:pt idx="7">
                  <c:v>0.8245154956504408</c:v>
                </c:pt>
                <c:pt idx="8">
                  <c:v>0.74716755241488053</c:v>
                </c:pt>
                <c:pt idx="9">
                  <c:v>0.73686300702204088</c:v>
                </c:pt>
              </c:numCache>
            </c:numRef>
          </c:val>
          <c:smooth val="0"/>
        </c:ser>
        <c:dLbls>
          <c:showLegendKey val="0"/>
          <c:showVal val="0"/>
          <c:showCatName val="0"/>
          <c:showSerName val="0"/>
          <c:showPercent val="0"/>
          <c:showBubbleSize val="0"/>
        </c:dLbls>
        <c:smooth val="0"/>
        <c:axId val="332831304"/>
        <c:axId val="332831696"/>
      </c:lineChart>
      <c:catAx>
        <c:axId val="332831304"/>
        <c:scaling>
          <c:orientation val="minMax"/>
        </c:scaling>
        <c:delete val="0"/>
        <c:axPos val="b"/>
        <c:numFmt formatCode="General" sourceLinked="1"/>
        <c:majorTickMark val="out"/>
        <c:minorTickMark val="none"/>
        <c:tickLblPos val="nextTo"/>
        <c:spPr>
          <a:ln w="3175">
            <a:solidFill>
              <a:srgbClr val="333399"/>
            </a:solidFill>
            <a:prstDash val="solid"/>
          </a:ln>
        </c:spPr>
        <c:txPr>
          <a:bodyPr rot="0" vert="horz"/>
          <a:lstStyle/>
          <a:p>
            <a:pPr>
              <a:defRPr sz="1100" b="1" i="1" u="none" strike="noStrike" baseline="0">
                <a:solidFill>
                  <a:srgbClr val="000000"/>
                </a:solidFill>
                <a:latin typeface="Arial"/>
                <a:ea typeface="Arial"/>
                <a:cs typeface="Arial"/>
              </a:defRPr>
            </a:pPr>
            <a:endParaRPr lang="es-CL"/>
          </a:p>
        </c:txPr>
        <c:crossAx val="332831696"/>
        <c:crosses val="autoZero"/>
        <c:auto val="0"/>
        <c:lblAlgn val="ctr"/>
        <c:lblOffset val="100"/>
        <c:tickLblSkip val="1"/>
        <c:tickMarkSkip val="1"/>
        <c:noMultiLvlLbl val="0"/>
      </c:catAx>
      <c:valAx>
        <c:axId val="332831696"/>
        <c:scaling>
          <c:orientation val="minMax"/>
          <c:min val="0.72000000000000064"/>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1200" b="1" i="1" u="none" strike="noStrike" baseline="0">
                <a:solidFill>
                  <a:srgbClr val="000000"/>
                </a:solidFill>
                <a:latin typeface="Arial"/>
                <a:ea typeface="Arial"/>
                <a:cs typeface="Arial"/>
              </a:defRPr>
            </a:pPr>
            <a:endParaRPr lang="es-CL"/>
          </a:p>
        </c:txPr>
        <c:crossAx val="332831304"/>
        <c:crosses val="autoZero"/>
        <c:crossBetween val="between"/>
        <c:majorUnit val="0.1"/>
      </c:valAx>
      <c:spPr>
        <a:noFill/>
        <a:ln w="25400">
          <a:noFill/>
        </a:ln>
      </c:spPr>
    </c:plotArea>
    <c:plotVisOnly val="1"/>
    <c:dispBlanksAs val="gap"/>
    <c:showDLblsOverMax val="0"/>
  </c:chart>
  <c:spPr>
    <a:gradFill rotWithShape="0">
      <a:gsLst>
        <a:gs pos="0">
          <a:srgbClr val="969696"/>
        </a:gs>
        <a:gs pos="100000">
          <a:srgbClr val="969696">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5" orientation="landscape" horizontalDpi="300" verticalDpi="300"/>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PANQUEHUE</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2010</c:v>
                </c:pt>
                <c:pt idx="1">
                  <c:v>2011</c:v>
                </c:pt>
                <c:pt idx="2">
                  <c:v>2012</c:v>
                </c:pt>
                <c:pt idx="3">
                  <c:v>2013</c:v>
                </c:pt>
                <c:pt idx="4">
                  <c:v>2014</c:v>
                </c:pt>
                <c:pt idx="5">
                  <c:v>2015</c:v>
                </c:pt>
              </c:numCache>
            </c:numRef>
          </c:cat>
          <c:val>
            <c:numRef>
              <c:f>'61'!$N$29:$S$29</c:f>
              <c:numCache>
                <c:formatCode>0.00</c:formatCode>
                <c:ptCount val="6"/>
                <c:pt idx="0">
                  <c:v>1.5559483344663494</c:v>
                </c:pt>
                <c:pt idx="1">
                  <c:v>1.5609235286267182</c:v>
                </c:pt>
                <c:pt idx="2">
                  <c:v>1.4866331392271044</c:v>
                </c:pt>
                <c:pt idx="3">
                  <c:v>1.4916633845345937</c:v>
                </c:pt>
                <c:pt idx="4">
                  <c:v>1.7190835719864619</c:v>
                </c:pt>
                <c:pt idx="5">
                  <c:v>1.3140901459382668</c:v>
                </c:pt>
              </c:numCache>
            </c:numRef>
          </c:val>
          <c:smooth val="0"/>
        </c:ser>
        <c:dLbls>
          <c:showLegendKey val="0"/>
          <c:showVal val="0"/>
          <c:showCatName val="0"/>
          <c:showSerName val="0"/>
          <c:showPercent val="0"/>
          <c:showBubbleSize val="0"/>
        </c:dLbls>
        <c:smooth val="0"/>
        <c:axId val="340597600"/>
        <c:axId val="340597992"/>
      </c:lineChart>
      <c:catAx>
        <c:axId val="34059760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40597992"/>
        <c:crosses val="autoZero"/>
        <c:auto val="1"/>
        <c:lblAlgn val="ctr"/>
        <c:lblOffset val="100"/>
        <c:tickLblSkip val="1"/>
        <c:tickMarkSkip val="1"/>
        <c:noMultiLvlLbl val="0"/>
      </c:catAx>
      <c:valAx>
        <c:axId val="340597992"/>
        <c:scaling>
          <c:orientation val="minMax"/>
          <c:min val="1.2"/>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40597600"/>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LLAY  LLAY</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2010</c:v>
                </c:pt>
                <c:pt idx="1">
                  <c:v>2011</c:v>
                </c:pt>
                <c:pt idx="2">
                  <c:v>2012</c:v>
                </c:pt>
                <c:pt idx="3">
                  <c:v>2013</c:v>
                </c:pt>
                <c:pt idx="4">
                  <c:v>2014</c:v>
                </c:pt>
                <c:pt idx="5">
                  <c:v>2015</c:v>
                </c:pt>
              </c:numCache>
            </c:numRef>
          </c:cat>
          <c:val>
            <c:numRef>
              <c:f>'61'!$N$30:$S$30</c:f>
              <c:numCache>
                <c:formatCode>0.00</c:formatCode>
                <c:ptCount val="6"/>
                <c:pt idx="0">
                  <c:v>1.0625803135440761</c:v>
                </c:pt>
                <c:pt idx="1">
                  <c:v>0.97572053143172466</c:v>
                </c:pt>
                <c:pt idx="2">
                  <c:v>1.1188763854810051</c:v>
                </c:pt>
                <c:pt idx="3">
                  <c:v>1.0500674308833446</c:v>
                </c:pt>
                <c:pt idx="4">
                  <c:v>1.0338933221335573</c:v>
                </c:pt>
                <c:pt idx="5">
                  <c:v>0.9737150510631174</c:v>
                </c:pt>
              </c:numCache>
            </c:numRef>
          </c:val>
          <c:smooth val="0"/>
        </c:ser>
        <c:dLbls>
          <c:showLegendKey val="0"/>
          <c:showVal val="0"/>
          <c:showCatName val="0"/>
          <c:showSerName val="0"/>
          <c:showPercent val="0"/>
          <c:showBubbleSize val="0"/>
        </c:dLbls>
        <c:smooth val="0"/>
        <c:axId val="340766912"/>
        <c:axId val="340767304"/>
      </c:lineChart>
      <c:catAx>
        <c:axId val="340766912"/>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40767304"/>
        <c:crosses val="autoZero"/>
        <c:auto val="1"/>
        <c:lblAlgn val="ctr"/>
        <c:lblOffset val="100"/>
        <c:tickLblSkip val="1"/>
        <c:tickMarkSkip val="1"/>
        <c:noMultiLvlLbl val="0"/>
      </c:catAx>
      <c:valAx>
        <c:axId val="340767304"/>
        <c:scaling>
          <c:orientation val="minMax"/>
          <c:min val="0.95000000000000062"/>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40766912"/>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CATEMU</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2010</c:v>
                </c:pt>
                <c:pt idx="1">
                  <c:v>2011</c:v>
                </c:pt>
                <c:pt idx="2">
                  <c:v>2012</c:v>
                </c:pt>
                <c:pt idx="3">
                  <c:v>2013</c:v>
                </c:pt>
                <c:pt idx="4">
                  <c:v>2014</c:v>
                </c:pt>
                <c:pt idx="5">
                  <c:v>2015</c:v>
                </c:pt>
              </c:numCache>
            </c:numRef>
          </c:cat>
          <c:val>
            <c:numRef>
              <c:f>'61'!$N$31:$S$31</c:f>
              <c:numCache>
                <c:formatCode>0.00</c:formatCode>
                <c:ptCount val="6"/>
                <c:pt idx="0">
                  <c:v>1.5490375104618428</c:v>
                </c:pt>
                <c:pt idx="1">
                  <c:v>1.5082831325301205</c:v>
                </c:pt>
                <c:pt idx="2">
                  <c:v>1.5563813813813814</c:v>
                </c:pt>
                <c:pt idx="3">
                  <c:v>1.3301929116195603</c:v>
                </c:pt>
                <c:pt idx="4">
                  <c:v>1.1745286534018928</c:v>
                </c:pt>
                <c:pt idx="5">
                  <c:v>1.2911101216978331</c:v>
                </c:pt>
              </c:numCache>
            </c:numRef>
          </c:val>
          <c:smooth val="0"/>
        </c:ser>
        <c:dLbls>
          <c:showLegendKey val="0"/>
          <c:showVal val="0"/>
          <c:showCatName val="0"/>
          <c:showSerName val="0"/>
          <c:showPercent val="0"/>
          <c:showBubbleSize val="0"/>
        </c:dLbls>
        <c:smooth val="0"/>
        <c:axId val="340768088"/>
        <c:axId val="340768480"/>
      </c:lineChart>
      <c:catAx>
        <c:axId val="34076808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40768480"/>
        <c:crosses val="autoZero"/>
        <c:auto val="1"/>
        <c:lblAlgn val="ctr"/>
        <c:lblOffset val="100"/>
        <c:tickLblSkip val="1"/>
        <c:tickMarkSkip val="1"/>
        <c:noMultiLvlLbl val="0"/>
      </c:catAx>
      <c:valAx>
        <c:axId val="340768480"/>
        <c:scaling>
          <c:orientation val="minMax"/>
          <c:min val="1"/>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40768088"/>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FF0000"/>
                </a:solidFill>
                <a:latin typeface="Arial"/>
                <a:ea typeface="Arial"/>
                <a:cs typeface="Arial"/>
              </a:defRPr>
            </a:pPr>
            <a:r>
              <a:rPr lang="es-ES"/>
              <a:t>DISTRIBUCION  LECHE  26 %  y  LECHE  CEREAL
</a:t>
            </a:r>
          </a:p>
        </c:rich>
      </c:tx>
      <c:layout>
        <c:manualLayout>
          <c:xMode val="edge"/>
          <c:yMode val="edge"/>
          <c:x val="0.22181837270341206"/>
          <c:y val="3.333333333333334E-2"/>
        </c:manualLayout>
      </c:layout>
      <c:overlay val="0"/>
      <c:spPr>
        <a:noFill/>
        <a:ln w="25400">
          <a:noFill/>
        </a:ln>
      </c:spPr>
    </c:title>
    <c:autoTitleDeleted val="0"/>
    <c:plotArea>
      <c:layout>
        <c:manualLayout>
          <c:layoutTarget val="inner"/>
          <c:xMode val="edge"/>
          <c:yMode val="edge"/>
          <c:x val="9.818190534615176E-2"/>
          <c:y val="0.24242495982765144"/>
          <c:w val="0.89454624870938249"/>
          <c:h val="0.57272896759282665"/>
        </c:manualLayout>
      </c:layout>
      <c:barChart>
        <c:barDir val="col"/>
        <c:grouping val="clustered"/>
        <c:varyColors val="0"/>
        <c:ser>
          <c:idx val="0"/>
          <c:order val="0"/>
          <c:tx>
            <c:v>leche 26%</c:v>
          </c:tx>
          <c:spPr>
            <a:solidFill>
              <a:srgbClr val="FFFF00"/>
            </a:solidFill>
            <a:ln w="12700">
              <a:solidFill>
                <a:srgbClr val="000000"/>
              </a:solidFill>
              <a:prstDash val="solid"/>
            </a:ln>
          </c:spPr>
          <c:invertIfNegative val="0"/>
          <c:cat>
            <c:numRef>
              <c:f>'62'!$C$6:$F$6</c:f>
              <c:numCache>
                <c:formatCode>General</c:formatCode>
                <c:ptCount val="4"/>
                <c:pt idx="0">
                  <c:v>2012</c:v>
                </c:pt>
                <c:pt idx="1">
                  <c:v>2013</c:v>
                </c:pt>
                <c:pt idx="2">
                  <c:v>2014</c:v>
                </c:pt>
                <c:pt idx="3">
                  <c:v>2015</c:v>
                </c:pt>
              </c:numCache>
            </c:numRef>
          </c:cat>
          <c:val>
            <c:numRef>
              <c:f>'62'!$C$20:$F$20</c:f>
              <c:numCache>
                <c:formatCode>#,##0</c:formatCode>
                <c:ptCount val="4"/>
                <c:pt idx="0">
                  <c:v>77989</c:v>
                </c:pt>
                <c:pt idx="1">
                  <c:v>70883</c:v>
                </c:pt>
                <c:pt idx="2">
                  <c:v>66352</c:v>
                </c:pt>
                <c:pt idx="3">
                  <c:v>68657</c:v>
                </c:pt>
              </c:numCache>
            </c:numRef>
          </c:val>
        </c:ser>
        <c:ser>
          <c:idx val="1"/>
          <c:order val="1"/>
          <c:tx>
            <c:v>leche  cereal</c:v>
          </c:tx>
          <c:spPr>
            <a:solidFill>
              <a:srgbClr val="FF0000"/>
            </a:solidFill>
            <a:ln w="12700">
              <a:solidFill>
                <a:srgbClr val="000000"/>
              </a:solidFill>
              <a:prstDash val="solid"/>
            </a:ln>
          </c:spPr>
          <c:invertIfNegative val="0"/>
          <c:val>
            <c:numRef>
              <c:f>'62'!$C$21:$F$21</c:f>
              <c:numCache>
                <c:formatCode>#,##0</c:formatCode>
                <c:ptCount val="4"/>
                <c:pt idx="0">
                  <c:v>148166</c:v>
                </c:pt>
                <c:pt idx="1">
                  <c:v>141011</c:v>
                </c:pt>
                <c:pt idx="2">
                  <c:v>140635</c:v>
                </c:pt>
                <c:pt idx="3">
                  <c:v>136813</c:v>
                </c:pt>
              </c:numCache>
            </c:numRef>
          </c:val>
        </c:ser>
        <c:dLbls>
          <c:showLegendKey val="0"/>
          <c:showVal val="0"/>
          <c:showCatName val="0"/>
          <c:showSerName val="0"/>
          <c:showPercent val="0"/>
          <c:showBubbleSize val="0"/>
        </c:dLbls>
        <c:gapWidth val="250"/>
        <c:axId val="340769264"/>
        <c:axId val="340769656"/>
      </c:barChart>
      <c:catAx>
        <c:axId val="340769264"/>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s-ES"/>
                  <a:t>Kilos</a:t>
                </a:r>
              </a:p>
            </c:rich>
          </c:tx>
          <c:layout>
            <c:manualLayout>
              <c:xMode val="edge"/>
              <c:yMode val="edge"/>
              <c:x val="9.0909090909091547E-3"/>
              <c:y val="0.1363639545056867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L"/>
          </a:p>
        </c:txPr>
        <c:crossAx val="340769656"/>
        <c:crosses val="autoZero"/>
        <c:auto val="1"/>
        <c:lblAlgn val="ctr"/>
        <c:lblOffset val="100"/>
        <c:tickLblSkip val="1"/>
        <c:tickMarkSkip val="1"/>
        <c:noMultiLvlLbl val="0"/>
      </c:catAx>
      <c:valAx>
        <c:axId val="340769656"/>
        <c:scaling>
          <c:orientation val="minMax"/>
          <c:min val="60000"/>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40769264"/>
        <c:crosses val="autoZero"/>
        <c:crossBetween val="between"/>
      </c:valAx>
      <c:spPr>
        <a:gradFill rotWithShape="0">
          <a:gsLst>
            <a:gs pos="0">
              <a:srgbClr val="C0C0C0"/>
            </a:gs>
            <a:gs pos="100000">
              <a:srgbClr val="C0C0C0">
                <a:gamma/>
                <a:tint val="0"/>
                <a:invGamma/>
              </a:srgbClr>
            </a:gs>
          </a:gsLst>
          <a:lin ang="5400000" scaled="1"/>
        </a:gradFill>
        <a:ln w="12700">
          <a:solidFill>
            <a:srgbClr val="808080"/>
          </a:solidFill>
          <a:prstDash val="solid"/>
        </a:ln>
      </c:spPr>
    </c:plotArea>
    <c:legend>
      <c:legendPos val="b"/>
      <c:layout>
        <c:manualLayout>
          <c:xMode val="edge"/>
          <c:yMode val="edge"/>
          <c:x val="0.38000038177048751"/>
          <c:y val="0.91818468146027199"/>
          <c:w val="0.31636382724888912"/>
          <c:h val="7.2727590869328965E-2"/>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TENDENCIA  DE PERSONAS EN  PSCV BAJO  CONTROL</a:t>
            </a:r>
          </a:p>
        </c:rich>
      </c:tx>
      <c:layout>
        <c:manualLayout>
          <c:xMode val="edge"/>
          <c:yMode val="edge"/>
          <c:x val="0.19942588487118723"/>
          <c:y val="1.8518518518518517E-2"/>
        </c:manualLayout>
      </c:layout>
      <c:overlay val="0"/>
      <c:spPr>
        <a:noFill/>
        <a:ln>
          <a:noFill/>
        </a:ln>
        <a:effectLst>
          <a:softEdge rad="12700"/>
        </a:effectLst>
      </c:spPr>
    </c:title>
    <c:autoTitleDeleted val="0"/>
    <c:plotArea>
      <c:layout>
        <c:manualLayout>
          <c:layoutTarget val="inner"/>
          <c:xMode val="edge"/>
          <c:yMode val="edge"/>
          <c:x val="9.8150481189851271E-2"/>
          <c:y val="0.20437554680664916"/>
          <c:w val="0.87129396325459318"/>
          <c:h val="0.65118802857976088"/>
        </c:manualLayout>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'65'!$B$5:$G$5</c:f>
              <c:numCache>
                <c:formatCode>General</c:formatCode>
                <c:ptCount val="6"/>
                <c:pt idx="0">
                  <c:v>2010</c:v>
                </c:pt>
                <c:pt idx="1">
                  <c:v>2011</c:v>
                </c:pt>
                <c:pt idx="2">
                  <c:v>2012</c:v>
                </c:pt>
                <c:pt idx="3">
                  <c:v>2013</c:v>
                </c:pt>
                <c:pt idx="4">
                  <c:v>2014</c:v>
                </c:pt>
                <c:pt idx="5">
                  <c:v>2015</c:v>
                </c:pt>
              </c:numCache>
            </c:numRef>
          </c:cat>
          <c:val>
            <c:numRef>
              <c:f>'65'!$B$19:$G$19</c:f>
              <c:numCache>
                <c:formatCode>0.00</c:formatCode>
                <c:ptCount val="6"/>
                <c:pt idx="0">
                  <c:v>13.483948034953977</c:v>
                </c:pt>
                <c:pt idx="1">
                  <c:v>13.897740970470107</c:v>
                </c:pt>
                <c:pt idx="2">
                  <c:v>14.790962787098758</c:v>
                </c:pt>
                <c:pt idx="3">
                  <c:v>15.157281829155719</c:v>
                </c:pt>
                <c:pt idx="4">
                  <c:v>15.618630985416267</c:v>
                </c:pt>
                <c:pt idx="5">
                  <c:v>15.758414185192503</c:v>
                </c:pt>
              </c:numCache>
            </c:numRef>
          </c:val>
          <c:smooth val="0"/>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340770832"/>
        <c:axId val="340771224"/>
      </c:lineChart>
      <c:catAx>
        <c:axId val="340770832"/>
        <c:scaling>
          <c:orientation val="minMax"/>
        </c:scaling>
        <c:delete val="0"/>
        <c:axPos val="b"/>
        <c:title>
          <c:tx>
            <c:rich>
              <a:bodyPr rot="0" spcFirstLastPara="1" vertOverflow="ellipsis" vert="horz" wrap="square" anchor="ctr" anchorCtr="1"/>
              <a:lstStyle/>
              <a:p>
                <a:pPr>
                  <a:defRPr sz="1070" b="0" i="0" u="none" strike="noStrike" kern="1200" baseline="0">
                    <a:solidFill>
                      <a:schemeClr val="tx1">
                        <a:lumMod val="65000"/>
                        <a:lumOff val="35000"/>
                      </a:schemeClr>
                    </a:solidFill>
                    <a:latin typeface="+mn-lt"/>
                    <a:ea typeface="+mn-ea"/>
                    <a:cs typeface="+mn-cs"/>
                  </a:defRPr>
                </a:pPr>
                <a:r>
                  <a:rPr lang="es-CL" sz="1200" baseline="0"/>
                  <a:t>%</a:t>
                </a:r>
              </a:p>
            </c:rich>
          </c:tx>
          <c:layout>
            <c:manualLayout>
              <c:xMode val="edge"/>
              <c:yMode val="edge"/>
              <c:x val="3.533273450042046E-2"/>
              <c:y val="4.9976669582968793E-2"/>
            </c:manualLayout>
          </c:layout>
          <c:overlay val="0"/>
          <c:spPr>
            <a:noFill/>
            <a:ln>
              <a:noFill/>
            </a:ln>
            <a:effectLst/>
          </c:sp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340771224"/>
        <c:crosses val="autoZero"/>
        <c:auto val="1"/>
        <c:lblAlgn val="ctr"/>
        <c:lblOffset val="100"/>
        <c:noMultiLvlLbl val="0"/>
      </c:catAx>
      <c:valAx>
        <c:axId val="3407712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340770832"/>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TENDENCIA  DE PERSONAS HIPERTENSAS</a:t>
            </a:r>
          </a:p>
        </c:rich>
      </c:tx>
      <c:layout>
        <c:manualLayout>
          <c:xMode val="edge"/>
          <c:yMode val="edge"/>
          <c:x val="0.20428025380322606"/>
          <c:y val="1.352349158924447E-2"/>
        </c:manualLayout>
      </c:layout>
      <c:overlay val="0"/>
      <c:spPr>
        <a:noFill/>
        <a:ln>
          <a:noFill/>
        </a:ln>
        <a:effectLst>
          <a:softEdge rad="12700"/>
        </a:effectLst>
      </c:spPr>
    </c:title>
    <c:autoTitleDeleted val="0"/>
    <c:plotArea>
      <c:layout>
        <c:manualLayout>
          <c:layoutTarget val="inner"/>
          <c:xMode val="edge"/>
          <c:yMode val="edge"/>
          <c:x val="9.8150481189851271E-2"/>
          <c:y val="0.20437554680664916"/>
          <c:w val="0.87129396325459318"/>
          <c:h val="0.65118802857976088"/>
        </c:manualLayout>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'65'!$B$5:$G$5</c:f>
              <c:numCache>
                <c:formatCode>General</c:formatCode>
                <c:ptCount val="6"/>
                <c:pt idx="0">
                  <c:v>2010</c:v>
                </c:pt>
                <c:pt idx="1">
                  <c:v>2011</c:v>
                </c:pt>
                <c:pt idx="2">
                  <c:v>2012</c:v>
                </c:pt>
                <c:pt idx="3">
                  <c:v>2013</c:v>
                </c:pt>
                <c:pt idx="4">
                  <c:v>2014</c:v>
                </c:pt>
                <c:pt idx="5">
                  <c:v>2015</c:v>
                </c:pt>
              </c:numCache>
            </c:numRef>
          </c:cat>
          <c:val>
            <c:numRef>
              <c:f>'65'!$B$20:$G$20</c:f>
              <c:numCache>
                <c:formatCode>0.00</c:formatCode>
                <c:ptCount val="6"/>
                <c:pt idx="0">
                  <c:v>10.855460443814405</c:v>
                </c:pt>
                <c:pt idx="1">
                  <c:v>11.762179678006548</c:v>
                </c:pt>
                <c:pt idx="2">
                  <c:v>12.412470623290863</c:v>
                </c:pt>
                <c:pt idx="3">
                  <c:v>12.539941773769794</c:v>
                </c:pt>
                <c:pt idx="4">
                  <c:v>13.009229678616901</c:v>
                </c:pt>
                <c:pt idx="5">
                  <c:v>13.115236304974283</c:v>
                </c:pt>
              </c:numCache>
            </c:numRef>
          </c:val>
          <c:smooth val="0"/>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340772008"/>
        <c:axId val="340772400"/>
      </c:lineChart>
      <c:catAx>
        <c:axId val="340772008"/>
        <c:scaling>
          <c:orientation val="minMax"/>
        </c:scaling>
        <c:delete val="0"/>
        <c:axPos val="b"/>
        <c:title>
          <c:tx>
            <c:rich>
              <a:bodyPr rot="0" spcFirstLastPara="1" vertOverflow="ellipsis" vert="horz" wrap="square" anchor="ctr" anchorCtr="1"/>
              <a:lstStyle/>
              <a:p>
                <a:pPr algn="ctr">
                  <a:defRPr sz="1000" b="0" i="0" u="none" strike="noStrike" kern="1200" baseline="0">
                    <a:solidFill>
                      <a:schemeClr val="tx1">
                        <a:lumMod val="65000"/>
                        <a:lumOff val="35000"/>
                      </a:schemeClr>
                    </a:solidFill>
                    <a:latin typeface="+mn-lt"/>
                    <a:ea typeface="+mn-ea"/>
                    <a:cs typeface="+mn-cs"/>
                  </a:defRPr>
                </a:pPr>
                <a:r>
                  <a:rPr lang="es-CL" sz="1400"/>
                  <a:t>%</a:t>
                </a:r>
              </a:p>
            </c:rich>
          </c:tx>
          <c:layout>
            <c:manualLayout>
              <c:xMode val="edge"/>
              <c:yMode val="edge"/>
              <c:x val="4.0649224065438423E-2"/>
              <c:y val="3.4084235487052202E-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340772400"/>
        <c:crosses val="autoZero"/>
        <c:auto val="1"/>
        <c:lblAlgn val="ctr"/>
        <c:lblOffset val="100"/>
        <c:noMultiLvlLbl val="0"/>
      </c:catAx>
      <c:valAx>
        <c:axId val="340772400"/>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340772008"/>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TENDENCIA  DE PERSONAS DIABETICAS</a:t>
            </a:r>
          </a:p>
        </c:rich>
      </c:tx>
      <c:layout>
        <c:manualLayout>
          <c:xMode val="edge"/>
          <c:yMode val="edge"/>
          <c:x val="0.31107637030808039"/>
          <c:y val="4.9947098048419986E-3"/>
        </c:manualLayout>
      </c:layout>
      <c:overlay val="0"/>
      <c:spPr>
        <a:noFill/>
        <a:ln>
          <a:noFill/>
        </a:ln>
        <a:effectLst/>
      </c:spPr>
    </c:title>
    <c:autoTitleDeleted val="0"/>
    <c:plotArea>
      <c:layout>
        <c:manualLayout>
          <c:layoutTarget val="inner"/>
          <c:xMode val="edge"/>
          <c:yMode val="edge"/>
          <c:x val="9.8150481189851271E-2"/>
          <c:y val="0.20437554680664916"/>
          <c:w val="0.87129396325459318"/>
          <c:h val="0.65118802857976088"/>
        </c:manualLayout>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'65'!$B$5:$G$5</c:f>
              <c:numCache>
                <c:formatCode>General</c:formatCode>
                <c:ptCount val="6"/>
                <c:pt idx="0">
                  <c:v>2010</c:v>
                </c:pt>
                <c:pt idx="1">
                  <c:v>2011</c:v>
                </c:pt>
                <c:pt idx="2">
                  <c:v>2012</c:v>
                </c:pt>
                <c:pt idx="3">
                  <c:v>2013</c:v>
                </c:pt>
                <c:pt idx="4">
                  <c:v>2014</c:v>
                </c:pt>
                <c:pt idx="5">
                  <c:v>2015</c:v>
                </c:pt>
              </c:numCache>
            </c:numRef>
          </c:cat>
          <c:val>
            <c:numRef>
              <c:f>'65'!$B$21:$G$21</c:f>
              <c:numCache>
                <c:formatCode>0.00</c:formatCode>
                <c:ptCount val="6"/>
                <c:pt idx="0">
                  <c:v>4.1209213337232526</c:v>
                </c:pt>
                <c:pt idx="1">
                  <c:v>4.4189916597937637</c:v>
                </c:pt>
                <c:pt idx="2">
                  <c:v>4.8055249840200309</c:v>
                </c:pt>
                <c:pt idx="3">
                  <c:v>5.1830812563610973</c:v>
                </c:pt>
                <c:pt idx="4">
                  <c:v>5.5933065008837923</c:v>
                </c:pt>
                <c:pt idx="5">
                  <c:v>6.0019579095409021</c:v>
                </c:pt>
              </c:numCache>
            </c:numRef>
          </c:val>
          <c:smooth val="0"/>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340773184"/>
        <c:axId val="340773576"/>
      </c:lineChart>
      <c:catAx>
        <c:axId val="3407731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sz="1400"/>
                  <a:t>%</a:t>
                </a:r>
              </a:p>
            </c:rich>
          </c:tx>
          <c:layout>
            <c:manualLayout>
              <c:xMode val="edge"/>
              <c:yMode val="edge"/>
              <c:x val="4.5503592997477249E-2"/>
              <c:y val="6.3934971732460863E-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340773576"/>
        <c:crosses val="autoZero"/>
        <c:auto val="1"/>
        <c:lblAlgn val="ctr"/>
        <c:lblOffset val="100"/>
        <c:noMultiLvlLbl val="0"/>
      </c:catAx>
      <c:valAx>
        <c:axId val="340773576"/>
        <c:scaling>
          <c:orientation val="minMax"/>
          <c:max val="6.5"/>
          <c:min val="4"/>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340773184"/>
        <c:crosses val="autoZero"/>
        <c:crossBetween val="between"/>
        <c:majorUnit val="0.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TENDENCIA  DE PERSONAS DISLIPIDEMICAS</a:t>
            </a:r>
          </a:p>
        </c:rich>
      </c:tx>
      <c:layout>
        <c:manualLayout>
          <c:xMode val="edge"/>
          <c:yMode val="edge"/>
          <c:x val="0.31107637030808039"/>
          <c:y val="4.9947098048419986E-3"/>
        </c:manualLayout>
      </c:layout>
      <c:overlay val="0"/>
      <c:spPr>
        <a:noFill/>
        <a:ln>
          <a:noFill/>
        </a:ln>
        <a:effectLst/>
      </c:spPr>
    </c:title>
    <c:autoTitleDeleted val="0"/>
    <c:plotArea>
      <c:layout>
        <c:manualLayout>
          <c:layoutTarget val="inner"/>
          <c:xMode val="edge"/>
          <c:yMode val="edge"/>
          <c:x val="9.8150481189851271E-2"/>
          <c:y val="0.20437554680664916"/>
          <c:w val="0.87129396325459318"/>
          <c:h val="0.65118802857976088"/>
        </c:manualLayout>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'65'!$B$5:$G$5</c:f>
              <c:numCache>
                <c:formatCode>General</c:formatCode>
                <c:ptCount val="6"/>
                <c:pt idx="0">
                  <c:v>2010</c:v>
                </c:pt>
                <c:pt idx="1">
                  <c:v>2011</c:v>
                </c:pt>
                <c:pt idx="2">
                  <c:v>2012</c:v>
                </c:pt>
                <c:pt idx="3">
                  <c:v>2013</c:v>
                </c:pt>
                <c:pt idx="4">
                  <c:v>2014</c:v>
                </c:pt>
                <c:pt idx="5">
                  <c:v>2015</c:v>
                </c:pt>
              </c:numCache>
            </c:numRef>
          </c:cat>
          <c:val>
            <c:numRef>
              <c:f>'65'!$B$22:$G$22</c:f>
              <c:numCache>
                <c:formatCode>0.00</c:formatCode>
                <c:ptCount val="6"/>
                <c:pt idx="0">
                  <c:v>2.929353510019777</c:v>
                </c:pt>
                <c:pt idx="1">
                  <c:v>3.1008584214610244</c:v>
                </c:pt>
                <c:pt idx="2">
                  <c:v>3.66409865768264</c:v>
                </c:pt>
                <c:pt idx="3">
                  <c:v>4.1156003692395089</c:v>
                </c:pt>
                <c:pt idx="4">
                  <c:v>4.587789214474598</c:v>
                </c:pt>
                <c:pt idx="5">
                  <c:v>4.6599166279833995</c:v>
                </c:pt>
              </c:numCache>
            </c:numRef>
          </c:val>
          <c:smooth val="0"/>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340774360"/>
        <c:axId val="340228648"/>
      </c:lineChart>
      <c:catAx>
        <c:axId val="3407743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sz="1400"/>
                  <a:t>%</a:t>
                </a:r>
              </a:p>
            </c:rich>
          </c:tx>
          <c:layout>
            <c:manualLayout>
              <c:xMode val="edge"/>
              <c:yMode val="edge"/>
              <c:x val="4.5503592997477249E-2"/>
              <c:y val="6.3934971732460863E-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340228648"/>
        <c:crosses val="autoZero"/>
        <c:auto val="1"/>
        <c:lblAlgn val="ctr"/>
        <c:lblOffset val="100"/>
        <c:noMultiLvlLbl val="0"/>
      </c:catAx>
      <c:valAx>
        <c:axId val="340228648"/>
        <c:scaling>
          <c:orientation val="minMax"/>
          <c:max val="5"/>
          <c:min val="2.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340774360"/>
        <c:crosses val="autoZero"/>
        <c:crossBetween val="between"/>
        <c:majorUnit val="0.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FF0000"/>
                </a:solidFill>
                <a:latin typeface="Arial"/>
                <a:ea typeface="Arial"/>
                <a:cs typeface="Arial"/>
              </a:defRPr>
            </a:pPr>
            <a:r>
              <a:rPr lang="es-ES"/>
              <a:t>Prevención odontológica en  menores  de  20 años
Servicio  Salud  Aconcagua 2008 - 2013</a:t>
            </a:r>
          </a:p>
        </c:rich>
      </c:tx>
      <c:layout>
        <c:manualLayout>
          <c:xMode val="edge"/>
          <c:yMode val="edge"/>
          <c:x val="0.13654639555598838"/>
          <c:y val="3.5830618892508152E-2"/>
        </c:manualLayout>
      </c:layout>
      <c:overlay val="0"/>
      <c:spPr>
        <a:noFill/>
        <a:ln w="25400">
          <a:noFill/>
        </a:ln>
      </c:spPr>
    </c:title>
    <c:autoTitleDeleted val="0"/>
    <c:plotArea>
      <c:layout>
        <c:manualLayout>
          <c:layoutTarget val="inner"/>
          <c:xMode val="edge"/>
          <c:yMode val="edge"/>
          <c:x val="0.10441787544293471"/>
          <c:y val="0.257329399508537"/>
          <c:w val="0.86747158060284224"/>
          <c:h val="0.64169483168591179"/>
        </c:manualLayout>
      </c:layout>
      <c:lineChart>
        <c:grouping val="standard"/>
        <c:varyColors val="0"/>
        <c:ser>
          <c:idx val="5"/>
          <c:order val="0"/>
          <c:tx>
            <c:v>Tasa</c:v>
          </c:tx>
          <c:spPr>
            <a:ln w="25400">
              <a:solidFill>
                <a:srgbClr val="0000FF"/>
              </a:solidFill>
              <a:prstDash val="solid"/>
            </a:ln>
          </c:spPr>
          <c:marker>
            <c:symbol val="dot"/>
            <c:size val="7"/>
            <c:spPr>
              <a:solidFill>
                <a:srgbClr val="800000"/>
              </a:solidFill>
              <a:ln>
                <a:solidFill>
                  <a:srgbClr val="800000"/>
                </a:solidFill>
                <a:prstDash val="solid"/>
              </a:ln>
            </c:spPr>
          </c:marker>
          <c:cat>
            <c:numRef>
              <c:f>'66'!$C$60:$H$60</c:f>
              <c:numCache>
                <c:formatCode>General</c:formatCode>
                <c:ptCount val="6"/>
                <c:pt idx="0">
                  <c:v>2010</c:v>
                </c:pt>
                <c:pt idx="1">
                  <c:v>2011</c:v>
                </c:pt>
                <c:pt idx="2">
                  <c:v>2012</c:v>
                </c:pt>
                <c:pt idx="3">
                  <c:v>2013</c:v>
                </c:pt>
                <c:pt idx="4">
                  <c:v>2014</c:v>
                </c:pt>
                <c:pt idx="5">
                  <c:v>2015</c:v>
                </c:pt>
              </c:numCache>
            </c:numRef>
          </c:cat>
          <c:val>
            <c:numRef>
              <c:f>'66'!$C$79:$H$79</c:f>
              <c:numCache>
                <c:formatCode>0.00</c:formatCode>
                <c:ptCount val="6"/>
                <c:pt idx="0">
                  <c:v>63.806930876030208</c:v>
                </c:pt>
                <c:pt idx="1">
                  <c:v>76.962799682979991</c:v>
                </c:pt>
                <c:pt idx="2">
                  <c:v>88.759752622475517</c:v>
                </c:pt>
                <c:pt idx="3">
                  <c:v>93.189125620847975</c:v>
                </c:pt>
                <c:pt idx="4">
                  <c:v>86.621047070366558</c:v>
                </c:pt>
                <c:pt idx="5">
                  <c:v>108.41355580574566</c:v>
                </c:pt>
              </c:numCache>
            </c:numRef>
          </c:val>
          <c:smooth val="0"/>
        </c:ser>
        <c:dLbls>
          <c:showLegendKey val="0"/>
          <c:showVal val="0"/>
          <c:showCatName val="0"/>
          <c:showSerName val="0"/>
          <c:showPercent val="0"/>
          <c:showBubbleSize val="0"/>
        </c:dLbls>
        <c:marker val="1"/>
        <c:smooth val="0"/>
        <c:axId val="340229432"/>
        <c:axId val="340229824"/>
      </c:lineChart>
      <c:catAx>
        <c:axId val="3402294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CL"/>
          </a:p>
        </c:txPr>
        <c:crossAx val="340229824"/>
        <c:crosses val="autoZero"/>
        <c:auto val="1"/>
        <c:lblAlgn val="ctr"/>
        <c:lblOffset val="100"/>
        <c:tickLblSkip val="1"/>
        <c:tickMarkSkip val="1"/>
        <c:noMultiLvlLbl val="0"/>
      </c:catAx>
      <c:valAx>
        <c:axId val="340229824"/>
        <c:scaling>
          <c:orientation val="minMax"/>
          <c:min val="58"/>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CL"/>
          </a:p>
        </c:txPr>
        <c:crossAx val="340229432"/>
        <c:crosses val="autoZero"/>
        <c:crossBetween val="between"/>
      </c:valAx>
      <c:spPr>
        <a:gradFill rotWithShape="0">
          <a:gsLst>
            <a:gs pos="0">
              <a:srgbClr val="C0C0C0"/>
            </a:gs>
            <a:gs pos="100000">
              <a:srgbClr val="C0C0C0">
                <a:gamma/>
                <a:tint val="6275"/>
                <a:invGamma/>
              </a:srgbClr>
            </a:gs>
          </a:gsLst>
          <a:lin ang="5400000" scaled="1"/>
        </a:grad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2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5" orientation="landscape" horizontalDpi="300" verticalDpi="300"/>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FF0000"/>
                </a:solidFill>
                <a:latin typeface="Arial"/>
                <a:ea typeface="Arial"/>
                <a:cs typeface="Arial"/>
              </a:defRPr>
            </a:pPr>
            <a:r>
              <a:rPr lang="es-ES"/>
              <a:t>Prevención odontológica en  menores  de  20 años
Servicio  Salud  Aconcagua 2010 - 2015</a:t>
            </a:r>
          </a:p>
        </c:rich>
      </c:tx>
      <c:overlay val="0"/>
      <c:spPr>
        <a:noFill/>
        <a:ln w="25400">
          <a:noFill/>
        </a:ln>
      </c:spPr>
    </c:title>
    <c:autoTitleDeleted val="0"/>
    <c:plotArea>
      <c:layout/>
      <c:lineChart>
        <c:grouping val="standard"/>
        <c:varyColors val="0"/>
        <c:ser>
          <c:idx val="5"/>
          <c:order val="0"/>
          <c:tx>
            <c:v>Tasa</c:v>
          </c:tx>
          <c:spPr>
            <a:ln w="25400" cap="flat">
              <a:solidFill>
                <a:srgbClr val="0000FF"/>
              </a:solidFill>
              <a:prstDash val="solid"/>
            </a:ln>
          </c:spPr>
          <c:marker>
            <c:symbol val="none"/>
          </c:marker>
          <c:cat>
            <c:numRef>
              <c:f>'66'!$C$60:$H$60</c:f>
              <c:numCache>
                <c:formatCode>General</c:formatCode>
                <c:ptCount val="6"/>
                <c:pt idx="0">
                  <c:v>2010</c:v>
                </c:pt>
                <c:pt idx="1">
                  <c:v>2011</c:v>
                </c:pt>
                <c:pt idx="2">
                  <c:v>2012</c:v>
                </c:pt>
                <c:pt idx="3">
                  <c:v>2013</c:v>
                </c:pt>
                <c:pt idx="4">
                  <c:v>2014</c:v>
                </c:pt>
                <c:pt idx="5">
                  <c:v>2015</c:v>
                </c:pt>
              </c:numCache>
            </c:numRef>
          </c:cat>
          <c:val>
            <c:numRef>
              <c:f>'66'!$C$79:$H$79</c:f>
              <c:numCache>
                <c:formatCode>0.00</c:formatCode>
                <c:ptCount val="6"/>
                <c:pt idx="0">
                  <c:v>63.806930876030208</c:v>
                </c:pt>
                <c:pt idx="1">
                  <c:v>76.962799682979991</c:v>
                </c:pt>
                <c:pt idx="2">
                  <c:v>88.759752622475517</c:v>
                </c:pt>
                <c:pt idx="3">
                  <c:v>93.189125620847975</c:v>
                </c:pt>
                <c:pt idx="4">
                  <c:v>86.621047070366558</c:v>
                </c:pt>
                <c:pt idx="5">
                  <c:v>108.41355580574566</c:v>
                </c:pt>
              </c:numCache>
            </c:numRef>
          </c:val>
          <c:smooth val="0"/>
        </c:ser>
        <c:dLbls>
          <c:showLegendKey val="0"/>
          <c:showVal val="0"/>
          <c:showCatName val="0"/>
          <c:showSerName val="0"/>
          <c:showPercent val="0"/>
          <c:showBubbleSize val="0"/>
        </c:dLbls>
        <c:smooth val="0"/>
        <c:axId val="340230608"/>
        <c:axId val="340231000"/>
      </c:lineChart>
      <c:catAx>
        <c:axId val="34023060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CL"/>
          </a:p>
        </c:txPr>
        <c:crossAx val="340231000"/>
        <c:crosses val="autoZero"/>
        <c:auto val="1"/>
        <c:lblAlgn val="ctr"/>
        <c:lblOffset val="100"/>
        <c:tickLblSkip val="1"/>
        <c:tickMarkSkip val="1"/>
        <c:noMultiLvlLbl val="0"/>
      </c:catAx>
      <c:valAx>
        <c:axId val="340231000"/>
        <c:scaling>
          <c:orientation val="minMax"/>
          <c:max val="120"/>
          <c:min val="58"/>
        </c:scaling>
        <c:delete val="0"/>
        <c:axPos val="l"/>
        <c:majorGridlines>
          <c:spPr>
            <a:ln w="3175">
              <a:solidFill>
                <a:srgbClr val="000000"/>
              </a:solidFill>
              <a:prstDash val="solid"/>
            </a:ln>
          </c:spPr>
        </c:majorGridlines>
        <c:numFmt formatCode="0.00" sourceLinked="1"/>
        <c:majorTickMark val="none"/>
        <c:minorTickMark val="none"/>
        <c:tickLblPos val="nextTo"/>
        <c:spPr>
          <a:ln w="25400">
            <a:noFill/>
          </a:ln>
        </c:spPr>
        <c:txPr>
          <a:bodyPr rot="0" vert="horz"/>
          <a:lstStyle/>
          <a:p>
            <a:pPr>
              <a:defRPr sz="825" b="0" i="0" u="none" strike="noStrike" baseline="0">
                <a:solidFill>
                  <a:srgbClr val="000000"/>
                </a:solidFill>
                <a:latin typeface="Arial"/>
                <a:ea typeface="Arial"/>
                <a:cs typeface="Arial"/>
              </a:defRPr>
            </a:pPr>
            <a:endParaRPr lang="es-CL"/>
          </a:p>
        </c:txPr>
        <c:crossAx val="340230608"/>
        <c:crosses val="autoZero"/>
        <c:crossBetween val="between"/>
      </c:valAx>
      <c:spPr>
        <a:gradFill rotWithShape="0">
          <a:gsLst>
            <a:gs pos="0">
              <a:srgbClr val="C0C0C0"/>
            </a:gs>
            <a:gs pos="100000">
              <a:srgbClr val="C0C0C0">
                <a:gamma/>
                <a:tint val="6275"/>
                <a:invGamma/>
              </a:srgbClr>
            </a:gs>
          </a:gsLst>
          <a:lin ang="5400000" scaled="1"/>
        </a:gradFill>
        <a:ln w="12700">
          <a:solidFill>
            <a:srgbClr val="C0C0C0"/>
          </a:solidFill>
          <a:prstDash val="solid"/>
        </a:ln>
      </c:spPr>
    </c:plotArea>
    <c:legend>
      <c:legendPos val="b"/>
      <c:overlay val="0"/>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2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5"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ÍNDICE DE VEJEZ SEGÚN COMUNAS  AÑO 2013
SERVICIO DE SALUD ACONCAGUA</a:t>
            </a:r>
          </a:p>
        </c:rich>
      </c:tx>
      <c:layout>
        <c:manualLayout>
          <c:xMode val="edge"/>
          <c:yMode val="edge"/>
          <c:x val="0.19203771659690091"/>
          <c:y val="4.0723981900452524E-2"/>
        </c:manualLayout>
      </c:layout>
      <c:overlay val="0"/>
      <c:spPr>
        <a:noFill/>
        <a:ln w="25400">
          <a:noFill/>
        </a:ln>
      </c:spPr>
    </c:title>
    <c:autoTitleDeleted val="0"/>
    <c:plotArea>
      <c:layout>
        <c:manualLayout>
          <c:layoutTarget val="inner"/>
          <c:xMode val="edge"/>
          <c:yMode val="edge"/>
          <c:x val="8.6651152951131794E-2"/>
          <c:y val="0.23076923076924241"/>
          <c:w val="0.90398229835505051"/>
          <c:h val="0.6515837104072395"/>
        </c:manualLayout>
      </c:layout>
      <c:barChart>
        <c:barDir val="col"/>
        <c:grouping val="clustered"/>
        <c:varyColors val="0"/>
        <c:ser>
          <c:idx val="0"/>
          <c:order val="0"/>
          <c:spPr>
            <a:gradFill rotWithShape="0">
              <a:gsLst>
                <a:gs pos="0">
                  <a:srgbClr val="8080FF"/>
                </a:gs>
                <a:gs pos="100000">
                  <a:srgbClr val="8080FF">
                    <a:gamma/>
                    <a:tint val="0"/>
                    <a:invGamma/>
                  </a:srgbClr>
                </a:gs>
              </a:gsLst>
              <a:lin ang="5400000" scaled="1"/>
            </a:gradFill>
            <a:ln w="12700">
              <a:solidFill>
                <a:srgbClr val="000000"/>
              </a:solidFill>
              <a:prstDash val="solid"/>
            </a:ln>
          </c:spPr>
          <c:invertIfNegative val="0"/>
          <c:cat>
            <c:strRef>
              <c:f>'12'!$J$7:$J$16</c:f>
              <c:strCache>
                <c:ptCount val="10"/>
                <c:pt idx="0">
                  <c:v>L.A.</c:v>
                </c:pt>
                <c:pt idx="1">
                  <c:v>S.E.</c:v>
                </c:pt>
                <c:pt idx="2">
                  <c:v>C.L.</c:v>
                </c:pt>
                <c:pt idx="3">
                  <c:v>RIN.</c:v>
                </c:pt>
                <c:pt idx="4">
                  <c:v>S.F.</c:v>
                </c:pt>
                <c:pt idx="5">
                  <c:v>PUT.</c:v>
                </c:pt>
                <c:pt idx="6">
                  <c:v>S.M.</c:v>
                </c:pt>
                <c:pt idx="7">
                  <c:v>PANQ.</c:v>
                </c:pt>
                <c:pt idx="8">
                  <c:v>LL.</c:v>
                </c:pt>
                <c:pt idx="9">
                  <c:v>CAT.</c:v>
                </c:pt>
              </c:strCache>
            </c:strRef>
          </c:cat>
          <c:val>
            <c:numRef>
              <c:f>'12'!$K$7:$K$16</c:f>
              <c:numCache>
                <c:formatCode>#,##0.00</c:formatCode>
                <c:ptCount val="10"/>
                <c:pt idx="0">
                  <c:v>49.988131972466178</c:v>
                </c:pt>
                <c:pt idx="1">
                  <c:v>53.816897582178754</c:v>
                </c:pt>
                <c:pt idx="2">
                  <c:v>58.651286601597164</c:v>
                </c:pt>
                <c:pt idx="3">
                  <c:v>60.791366906474821</c:v>
                </c:pt>
                <c:pt idx="4">
                  <c:v>50.329439122972154</c:v>
                </c:pt>
                <c:pt idx="5">
                  <c:v>59.184203689269943</c:v>
                </c:pt>
                <c:pt idx="6">
                  <c:v>51.413108839446785</c:v>
                </c:pt>
                <c:pt idx="7">
                  <c:v>48.757943385326399</c:v>
                </c:pt>
                <c:pt idx="8">
                  <c:v>51.338675004885673</c:v>
                </c:pt>
                <c:pt idx="9">
                  <c:v>58.313169720013825</c:v>
                </c:pt>
              </c:numCache>
            </c:numRef>
          </c:val>
        </c:ser>
        <c:dLbls>
          <c:showLegendKey val="0"/>
          <c:showVal val="0"/>
          <c:showCatName val="0"/>
          <c:showSerName val="0"/>
          <c:showPercent val="0"/>
          <c:showBubbleSize val="0"/>
        </c:dLbls>
        <c:gapWidth val="150"/>
        <c:axId val="294778184"/>
        <c:axId val="294777792"/>
      </c:barChart>
      <c:catAx>
        <c:axId val="29477818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94777792"/>
        <c:crosses val="autoZero"/>
        <c:auto val="0"/>
        <c:lblAlgn val="ctr"/>
        <c:lblOffset val="100"/>
        <c:tickLblSkip val="1"/>
        <c:tickMarkSkip val="1"/>
        <c:noMultiLvlLbl val="0"/>
      </c:catAx>
      <c:valAx>
        <c:axId val="294777792"/>
        <c:scaling>
          <c:orientation val="minMax"/>
          <c:min val="25"/>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94778184"/>
        <c:crosses val="autoZero"/>
        <c:crossBetween val="between"/>
      </c:valAx>
      <c:spPr>
        <a:solidFill>
          <a:srgbClr val="E3E3E3"/>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oddHeader>&amp;A</c:oddHeader>
      <c:oddFooter>Página &amp;P</c:oddFooter>
    </c:headerFooter>
    <c:pageMargins b="1" l="0.75000000000001465" r="0.75000000000001465" t="1" header="0.511811024" footer="0.511811024"/>
    <c:pageSetup orientation="landscape" horizontalDpi="300" verticalDpi="300"/>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75" b="1" i="0" u="none" strike="noStrike" baseline="0">
                <a:solidFill>
                  <a:srgbClr val="000000"/>
                </a:solidFill>
                <a:latin typeface="Arial"/>
                <a:ea typeface="Arial"/>
                <a:cs typeface="Arial"/>
              </a:defRPr>
            </a:pPr>
            <a:r>
              <a:rPr lang="es-ES"/>
              <a:t>PORCENTAJE DE CONS. MEDICAS DE URGENCIA
 SEGUN PROGRAMA  AÑO 2015</a:t>
            </a:r>
          </a:p>
        </c:rich>
      </c:tx>
      <c:layout>
        <c:manualLayout>
          <c:xMode val="edge"/>
          <c:yMode val="edge"/>
          <c:x val="0.17309213271418294"/>
          <c:y val="3.3426041043115223E-2"/>
        </c:manualLayout>
      </c:layout>
      <c:overlay val="0"/>
      <c:spPr>
        <a:gradFill rotWithShape="0">
          <a:gsLst>
            <a:gs pos="0">
              <a:srgbClr val="C0C0C0"/>
            </a:gs>
            <a:gs pos="100000">
              <a:srgbClr val="C0C0C0">
                <a:gamma/>
                <a:tint val="0"/>
                <a:invGamma/>
              </a:srgbClr>
            </a:gs>
          </a:gsLst>
          <a:lin ang="5400000" scaled="1"/>
        </a:grad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909212283045651"/>
          <c:y val="0.42618384401114207"/>
          <c:w val="0.36181575433912438"/>
          <c:h val="0.36768802228413511"/>
        </c:manualLayout>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600080"/>
              </a:solidFill>
              <a:ln w="12700">
                <a:solidFill>
                  <a:srgbClr val="000000"/>
                </a:solidFill>
                <a:prstDash val="solid"/>
              </a:ln>
            </c:spPr>
          </c:dPt>
          <c:dLbls>
            <c:numFmt formatCode="0%" sourceLinked="0"/>
            <c:spPr>
              <a:solidFill>
                <a:srgbClr val="FF0000"/>
              </a:solidFill>
              <a:ln w="25400">
                <a:noFill/>
              </a:ln>
            </c:spPr>
            <c:txPr>
              <a:bodyPr/>
              <a:lstStyle/>
              <a:p>
                <a:pPr algn="ctr" rtl="1">
                  <a:defRPr sz="950" b="1" i="0" u="none" strike="noStrike" baseline="0">
                    <a:solidFill>
                      <a:srgbClr val="FFFFFF"/>
                    </a:solidFill>
                    <a:latin typeface="Arial"/>
                    <a:ea typeface="Arial"/>
                    <a:cs typeface="Arial"/>
                  </a:defRPr>
                </a:pPr>
                <a:endParaRPr lang="es-CL"/>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'67'!$B$38:$B$42</c:f>
              <c:strCache>
                <c:ptCount val="5"/>
                <c:pt idx="0">
                  <c:v> INFANTIL</c:v>
                </c:pt>
                <c:pt idx="1">
                  <c:v> ADOLESCENTE</c:v>
                </c:pt>
                <c:pt idx="2">
                  <c:v> MUJER</c:v>
                </c:pt>
                <c:pt idx="3">
                  <c:v> ADULTO</c:v>
                </c:pt>
                <c:pt idx="4">
                  <c:v> ADULTO MAYOR</c:v>
                </c:pt>
              </c:strCache>
            </c:strRef>
          </c:cat>
          <c:val>
            <c:numRef>
              <c:f>'67'!$K$38:$K$42</c:f>
              <c:numCache>
                <c:formatCode>#,##0</c:formatCode>
                <c:ptCount val="5"/>
                <c:pt idx="0">
                  <c:v>80147</c:v>
                </c:pt>
                <c:pt idx="1">
                  <c:v>48995</c:v>
                </c:pt>
                <c:pt idx="2">
                  <c:v>19416</c:v>
                </c:pt>
                <c:pt idx="3">
                  <c:v>152044</c:v>
                </c:pt>
                <c:pt idx="4">
                  <c:v>42143</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4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1" u="none" strike="noStrike" baseline="0">
                <a:solidFill>
                  <a:srgbClr val="FF0000"/>
                </a:solidFill>
                <a:latin typeface="Arial"/>
                <a:ea typeface="Arial"/>
                <a:cs typeface="Arial"/>
              </a:defRPr>
            </a:pPr>
            <a:r>
              <a:rPr lang="es-ES"/>
              <a:t>INDICE DE CONS. MEDICA  URGENCIA SEGUN PROGRAMA</a:t>
            </a:r>
          </a:p>
        </c:rich>
      </c:tx>
      <c:layout>
        <c:manualLayout>
          <c:xMode val="edge"/>
          <c:yMode val="edge"/>
          <c:x val="0.16759776536312848"/>
          <c:y val="3.0373831775701052E-2"/>
        </c:manualLayout>
      </c:layout>
      <c:overlay val="0"/>
      <c:spPr>
        <a:noFill/>
        <a:ln w="25400">
          <a:noFill/>
        </a:ln>
      </c:spPr>
    </c:title>
    <c:autoTitleDeleted val="0"/>
    <c:plotArea>
      <c:layout>
        <c:manualLayout>
          <c:layoutTarget val="inner"/>
          <c:xMode val="edge"/>
          <c:yMode val="edge"/>
          <c:x val="7.4022346368715089E-2"/>
          <c:y val="0.16588785046728971"/>
          <c:w val="0.90502793296090001"/>
          <c:h val="0.66588785046732013"/>
        </c:manualLayout>
      </c:layout>
      <c:lineChart>
        <c:grouping val="standard"/>
        <c:varyColors val="0"/>
        <c:ser>
          <c:idx val="0"/>
          <c:order val="0"/>
          <c:tx>
            <c:v>INFANTIL</c:v>
          </c:tx>
          <c:spPr>
            <a:ln w="38100">
              <a:solidFill>
                <a:srgbClr val="000080"/>
              </a:solidFill>
              <a:prstDash val="solid"/>
            </a:ln>
          </c:spPr>
          <c:marker>
            <c:symbol val="none"/>
          </c:marker>
          <c:cat>
            <c:numRef>
              <c:f>'68'!$L$7:$P$7</c:f>
              <c:numCache>
                <c:formatCode>General</c:formatCode>
                <c:ptCount val="5"/>
                <c:pt idx="0">
                  <c:v>2011</c:v>
                </c:pt>
                <c:pt idx="1">
                  <c:v>2012</c:v>
                </c:pt>
                <c:pt idx="2">
                  <c:v>2013</c:v>
                </c:pt>
                <c:pt idx="3">
                  <c:v>2014</c:v>
                </c:pt>
                <c:pt idx="4">
                  <c:v>2015</c:v>
                </c:pt>
              </c:numCache>
            </c:numRef>
          </c:cat>
          <c:val>
            <c:numRef>
              <c:f>'68'!$L$8:$P$8</c:f>
              <c:numCache>
                <c:formatCode>#,##0.00</c:formatCode>
                <c:ptCount val="5"/>
                <c:pt idx="0">
                  <c:v>2.0548128342245988</c:v>
                </c:pt>
                <c:pt idx="1">
                  <c:v>2.1483122470931724</c:v>
                </c:pt>
                <c:pt idx="2">
                  <c:v>2.1299423498801082</c:v>
                </c:pt>
                <c:pt idx="3">
                  <c:v>1.9958584241685087</c:v>
                </c:pt>
                <c:pt idx="4">
                  <c:v>1.9542589545627136</c:v>
                </c:pt>
              </c:numCache>
            </c:numRef>
          </c:val>
          <c:smooth val="0"/>
        </c:ser>
        <c:ser>
          <c:idx val="1"/>
          <c:order val="1"/>
          <c:tx>
            <c:v>ADOLESCENTE</c:v>
          </c:tx>
          <c:spPr>
            <a:ln w="38100">
              <a:solidFill>
                <a:srgbClr val="FF0000"/>
              </a:solidFill>
              <a:prstDash val="solid"/>
            </a:ln>
          </c:spPr>
          <c:marker>
            <c:symbol val="none"/>
          </c:marker>
          <c:cat>
            <c:numRef>
              <c:f>'68'!$L$7:$P$7</c:f>
              <c:numCache>
                <c:formatCode>General</c:formatCode>
                <c:ptCount val="5"/>
                <c:pt idx="0">
                  <c:v>2011</c:v>
                </c:pt>
                <c:pt idx="1">
                  <c:v>2012</c:v>
                </c:pt>
                <c:pt idx="2">
                  <c:v>2013</c:v>
                </c:pt>
                <c:pt idx="3">
                  <c:v>2014</c:v>
                </c:pt>
                <c:pt idx="4">
                  <c:v>2015</c:v>
                </c:pt>
              </c:numCache>
            </c:numRef>
          </c:cat>
          <c:val>
            <c:numRef>
              <c:f>'68'!$L$9:$P$9</c:f>
              <c:numCache>
                <c:formatCode>#,##0.00</c:formatCode>
                <c:ptCount val="5"/>
                <c:pt idx="0">
                  <c:v>1.2325720188224492</c:v>
                </c:pt>
                <c:pt idx="1">
                  <c:v>1.3320377955687954</c:v>
                </c:pt>
                <c:pt idx="2">
                  <c:v>1.2680164236160272</c:v>
                </c:pt>
                <c:pt idx="3">
                  <c:v>1.2019242275566617</c:v>
                </c:pt>
                <c:pt idx="4">
                  <c:v>1.1630408391200893</c:v>
                </c:pt>
              </c:numCache>
            </c:numRef>
          </c:val>
          <c:smooth val="0"/>
        </c:ser>
        <c:ser>
          <c:idx val="3"/>
          <c:order val="2"/>
          <c:tx>
            <c:v>ADULTO</c:v>
          </c:tx>
          <c:spPr>
            <a:ln w="25400">
              <a:solidFill>
                <a:srgbClr val="3366FF"/>
              </a:solidFill>
              <a:prstDash val="solid"/>
            </a:ln>
          </c:spPr>
          <c:marker>
            <c:symbol val="none"/>
          </c:marker>
          <c:cat>
            <c:numRef>
              <c:f>'68'!$L$7:$P$7</c:f>
              <c:numCache>
                <c:formatCode>General</c:formatCode>
                <c:ptCount val="5"/>
                <c:pt idx="0">
                  <c:v>2011</c:v>
                </c:pt>
                <c:pt idx="1">
                  <c:v>2012</c:v>
                </c:pt>
                <c:pt idx="2">
                  <c:v>2013</c:v>
                </c:pt>
                <c:pt idx="3">
                  <c:v>2014</c:v>
                </c:pt>
                <c:pt idx="4">
                  <c:v>2015</c:v>
                </c:pt>
              </c:numCache>
            </c:numRef>
          </c:cat>
          <c:val>
            <c:numRef>
              <c:f>'68'!$L$11:$P$11</c:f>
              <c:numCache>
                <c:formatCode>#,##0.00</c:formatCode>
                <c:ptCount val="5"/>
                <c:pt idx="0">
                  <c:v>0.98244298296219379</c:v>
                </c:pt>
                <c:pt idx="1">
                  <c:v>1.0464599254721152</c:v>
                </c:pt>
                <c:pt idx="2">
                  <c:v>0.98000112038541254</c:v>
                </c:pt>
                <c:pt idx="3">
                  <c:v>0.92511626765489063</c:v>
                </c:pt>
                <c:pt idx="4">
                  <c:v>0.88502694822674011</c:v>
                </c:pt>
              </c:numCache>
            </c:numRef>
          </c:val>
          <c:smooth val="0"/>
        </c:ser>
        <c:ser>
          <c:idx val="4"/>
          <c:order val="3"/>
          <c:tx>
            <c:v>TOTAL</c:v>
          </c:tx>
          <c:spPr>
            <a:ln w="25400">
              <a:solidFill>
                <a:srgbClr val="333300"/>
              </a:solidFill>
              <a:prstDash val="solid"/>
            </a:ln>
          </c:spPr>
          <c:marker>
            <c:symbol val="none"/>
          </c:marker>
          <c:cat>
            <c:numRef>
              <c:f>'68'!$L$7:$P$7</c:f>
              <c:numCache>
                <c:formatCode>General</c:formatCode>
                <c:ptCount val="5"/>
                <c:pt idx="0">
                  <c:v>2011</c:v>
                </c:pt>
                <c:pt idx="1">
                  <c:v>2012</c:v>
                </c:pt>
                <c:pt idx="2">
                  <c:v>2013</c:v>
                </c:pt>
                <c:pt idx="3">
                  <c:v>2014</c:v>
                </c:pt>
                <c:pt idx="4">
                  <c:v>2015</c:v>
                </c:pt>
              </c:numCache>
            </c:numRef>
          </c:cat>
          <c:val>
            <c:numRef>
              <c:f>'68'!$L$13:$P$13</c:f>
              <c:numCache>
                <c:formatCode>#,##0.00</c:formatCode>
                <c:ptCount val="5"/>
                <c:pt idx="0">
                  <c:v>1.2766608028629456</c:v>
                </c:pt>
                <c:pt idx="1">
                  <c:v>1.3485024933560275</c:v>
                </c:pt>
                <c:pt idx="2">
                  <c:v>1.2934411526977601</c:v>
                </c:pt>
                <c:pt idx="3">
                  <c:v>1.2311145827249899</c:v>
                </c:pt>
                <c:pt idx="4">
                  <c:v>1.1907323501272633</c:v>
                </c:pt>
              </c:numCache>
            </c:numRef>
          </c:val>
          <c:smooth val="0"/>
        </c:ser>
        <c:ser>
          <c:idx val="2"/>
          <c:order val="4"/>
          <c:tx>
            <c:v>ADULTO  M.</c:v>
          </c:tx>
          <c:spPr>
            <a:ln w="25400">
              <a:solidFill>
                <a:srgbClr val="336666"/>
              </a:solidFill>
              <a:prstDash val="solid"/>
            </a:ln>
          </c:spPr>
          <c:marker>
            <c:symbol val="none"/>
          </c:marker>
          <c:val>
            <c:numRef>
              <c:f>'68'!$L$12:$P$12</c:f>
              <c:numCache>
                <c:formatCode>#,##0.00</c:formatCode>
                <c:ptCount val="5"/>
                <c:pt idx="0">
                  <c:v>1.2652543975789672</c:v>
                </c:pt>
                <c:pt idx="1">
                  <c:v>1.3305281485780616</c:v>
                </c:pt>
                <c:pt idx="2">
                  <c:v>1.2789466350842971</c:v>
                </c:pt>
                <c:pt idx="3">
                  <c:v>1.2727364117686482</c:v>
                </c:pt>
                <c:pt idx="4">
                  <c:v>1.2585143816379896</c:v>
                </c:pt>
              </c:numCache>
            </c:numRef>
          </c:val>
          <c:smooth val="0"/>
        </c:ser>
        <c:dLbls>
          <c:showLegendKey val="0"/>
          <c:showVal val="0"/>
          <c:showCatName val="0"/>
          <c:showSerName val="0"/>
          <c:showPercent val="0"/>
          <c:showBubbleSize val="0"/>
        </c:dLbls>
        <c:smooth val="0"/>
        <c:axId val="340232176"/>
        <c:axId val="340232568"/>
      </c:lineChart>
      <c:catAx>
        <c:axId val="340232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1" i="1" u="none" strike="noStrike" baseline="0">
                <a:solidFill>
                  <a:srgbClr val="000000"/>
                </a:solidFill>
                <a:latin typeface="Arial"/>
                <a:ea typeface="Arial"/>
                <a:cs typeface="Arial"/>
              </a:defRPr>
            </a:pPr>
            <a:endParaRPr lang="es-CL"/>
          </a:p>
        </c:txPr>
        <c:crossAx val="340232568"/>
        <c:crosses val="autoZero"/>
        <c:auto val="1"/>
        <c:lblAlgn val="ctr"/>
        <c:lblOffset val="100"/>
        <c:tickLblSkip val="1"/>
        <c:tickMarkSkip val="1"/>
        <c:noMultiLvlLbl val="0"/>
      </c:catAx>
      <c:valAx>
        <c:axId val="340232568"/>
        <c:scaling>
          <c:orientation val="minMax"/>
          <c:max val="2.25"/>
          <c:min val="0.75000000000001465"/>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900" b="1" i="1" u="none" strike="noStrike" baseline="0">
                <a:solidFill>
                  <a:srgbClr val="000000"/>
                </a:solidFill>
                <a:latin typeface="Arial"/>
                <a:ea typeface="Arial"/>
                <a:cs typeface="Arial"/>
              </a:defRPr>
            </a:pPr>
            <a:endParaRPr lang="es-CL"/>
          </a:p>
        </c:txPr>
        <c:crossAx val="340232176"/>
        <c:crosses val="autoZero"/>
        <c:crossBetween val="between"/>
        <c:majorUnit val="0.25"/>
      </c:valAx>
      <c:spPr>
        <a:gradFill rotWithShape="0">
          <a:gsLst>
            <a:gs pos="0">
              <a:srgbClr val="C0C0C0"/>
            </a:gs>
            <a:gs pos="100000">
              <a:srgbClr val="C0C0C0">
                <a:gamma/>
                <a:tint val="0"/>
                <a:invGamma/>
              </a:srgbClr>
            </a:gs>
          </a:gsLst>
          <a:lin ang="5400000" scaled="1"/>
        </a:gradFill>
        <a:ln w="25400">
          <a:noFill/>
        </a:ln>
      </c:spPr>
    </c:plotArea>
    <c:legend>
      <c:legendPos val="b"/>
      <c:layout>
        <c:manualLayout>
          <c:xMode val="edge"/>
          <c:yMode val="edge"/>
          <c:x val="0.16061452513966482"/>
          <c:y val="0.92990654205607481"/>
          <c:w val="0.7192737430167595"/>
          <c:h val="5.6074766355139763E-2"/>
        </c:manualLayout>
      </c:layout>
      <c:overlay val="0"/>
      <c:spPr>
        <a:noFill/>
        <a:ln w="3175">
          <a:solidFill>
            <a:srgbClr val="000000"/>
          </a:solidFill>
          <a:prstDash val="solid"/>
        </a:ln>
      </c:spPr>
      <c:txPr>
        <a:bodyPr/>
        <a:lstStyle/>
        <a:p>
          <a:pPr>
            <a:defRPr sz="690" b="1" i="1"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1" u="none" strike="noStrike" baseline="0">
                <a:solidFill>
                  <a:srgbClr val="FF0000"/>
                </a:solidFill>
                <a:latin typeface="Arial"/>
                <a:ea typeface="Arial"/>
                <a:cs typeface="Arial"/>
              </a:defRPr>
            </a:pPr>
            <a:r>
              <a:rPr lang="es-ES"/>
              <a:t>INDICE DE CONS. MEDICA  URGENCIA SEGUN PROGRAMA</a:t>
            </a:r>
          </a:p>
        </c:rich>
      </c:tx>
      <c:layout>
        <c:manualLayout>
          <c:xMode val="edge"/>
          <c:yMode val="edge"/>
          <c:x val="0.16759776536312848"/>
          <c:y val="3.0373831775701052E-2"/>
        </c:manualLayout>
      </c:layout>
      <c:overlay val="0"/>
      <c:spPr>
        <a:noFill/>
        <a:ln w="25400">
          <a:noFill/>
        </a:ln>
      </c:spPr>
    </c:title>
    <c:autoTitleDeleted val="0"/>
    <c:plotArea>
      <c:layout>
        <c:manualLayout>
          <c:layoutTarget val="inner"/>
          <c:xMode val="edge"/>
          <c:yMode val="edge"/>
          <c:x val="7.4022346368715089E-2"/>
          <c:y val="0.16588785046728971"/>
          <c:w val="0.90502793296090001"/>
          <c:h val="0.66588785046732013"/>
        </c:manualLayout>
      </c:layout>
      <c:lineChart>
        <c:grouping val="standard"/>
        <c:varyColors val="0"/>
        <c:ser>
          <c:idx val="0"/>
          <c:order val="0"/>
          <c:tx>
            <c:v>INFANTIL</c:v>
          </c:tx>
          <c:spPr>
            <a:ln w="38100">
              <a:solidFill>
                <a:srgbClr val="000080"/>
              </a:solidFill>
              <a:prstDash val="solid"/>
            </a:ln>
          </c:spPr>
          <c:marker>
            <c:symbol val="none"/>
          </c:marker>
          <c:cat>
            <c:numRef>
              <c:f>'68'!$L$7:$P$7</c:f>
              <c:numCache>
                <c:formatCode>General</c:formatCode>
                <c:ptCount val="5"/>
                <c:pt idx="0">
                  <c:v>2011</c:v>
                </c:pt>
                <c:pt idx="1">
                  <c:v>2012</c:v>
                </c:pt>
                <c:pt idx="2">
                  <c:v>2013</c:v>
                </c:pt>
                <c:pt idx="3">
                  <c:v>2014</c:v>
                </c:pt>
                <c:pt idx="4">
                  <c:v>2015</c:v>
                </c:pt>
              </c:numCache>
            </c:numRef>
          </c:cat>
          <c:val>
            <c:numRef>
              <c:f>'68'!$L$8:$P$8</c:f>
              <c:numCache>
                <c:formatCode>#,##0.00</c:formatCode>
                <c:ptCount val="5"/>
                <c:pt idx="0">
                  <c:v>2.0548128342245988</c:v>
                </c:pt>
                <c:pt idx="1">
                  <c:v>2.1483122470931724</c:v>
                </c:pt>
                <c:pt idx="2">
                  <c:v>2.1299423498801082</c:v>
                </c:pt>
                <c:pt idx="3">
                  <c:v>1.9958584241685087</c:v>
                </c:pt>
                <c:pt idx="4">
                  <c:v>1.9542589545627136</c:v>
                </c:pt>
              </c:numCache>
            </c:numRef>
          </c:val>
          <c:smooth val="0"/>
        </c:ser>
        <c:ser>
          <c:idx val="1"/>
          <c:order val="1"/>
          <c:tx>
            <c:v>ADOLESCENTE</c:v>
          </c:tx>
          <c:spPr>
            <a:ln w="38100">
              <a:solidFill>
                <a:srgbClr val="FF0000"/>
              </a:solidFill>
              <a:prstDash val="solid"/>
            </a:ln>
          </c:spPr>
          <c:marker>
            <c:symbol val="none"/>
          </c:marker>
          <c:cat>
            <c:numRef>
              <c:f>'68'!$L$7:$P$7</c:f>
              <c:numCache>
                <c:formatCode>General</c:formatCode>
                <c:ptCount val="5"/>
                <c:pt idx="0">
                  <c:v>2011</c:v>
                </c:pt>
                <c:pt idx="1">
                  <c:v>2012</c:v>
                </c:pt>
                <c:pt idx="2">
                  <c:v>2013</c:v>
                </c:pt>
                <c:pt idx="3">
                  <c:v>2014</c:v>
                </c:pt>
                <c:pt idx="4">
                  <c:v>2015</c:v>
                </c:pt>
              </c:numCache>
            </c:numRef>
          </c:cat>
          <c:val>
            <c:numRef>
              <c:f>'68'!$L$9:$P$9</c:f>
              <c:numCache>
                <c:formatCode>#,##0.00</c:formatCode>
                <c:ptCount val="5"/>
                <c:pt idx="0">
                  <c:v>1.2325720188224492</c:v>
                </c:pt>
                <c:pt idx="1">
                  <c:v>1.3320377955687954</c:v>
                </c:pt>
                <c:pt idx="2">
                  <c:v>1.2680164236160272</c:v>
                </c:pt>
                <c:pt idx="3">
                  <c:v>1.2019242275566617</c:v>
                </c:pt>
                <c:pt idx="4">
                  <c:v>1.1630408391200893</c:v>
                </c:pt>
              </c:numCache>
            </c:numRef>
          </c:val>
          <c:smooth val="0"/>
        </c:ser>
        <c:ser>
          <c:idx val="3"/>
          <c:order val="2"/>
          <c:tx>
            <c:v>ADULTO</c:v>
          </c:tx>
          <c:spPr>
            <a:ln w="25400">
              <a:solidFill>
                <a:srgbClr val="3366FF"/>
              </a:solidFill>
              <a:prstDash val="solid"/>
            </a:ln>
          </c:spPr>
          <c:marker>
            <c:symbol val="none"/>
          </c:marker>
          <c:cat>
            <c:numRef>
              <c:f>'68'!$L$7:$P$7</c:f>
              <c:numCache>
                <c:formatCode>General</c:formatCode>
                <c:ptCount val="5"/>
                <c:pt idx="0">
                  <c:v>2011</c:v>
                </c:pt>
                <c:pt idx="1">
                  <c:v>2012</c:v>
                </c:pt>
                <c:pt idx="2">
                  <c:v>2013</c:v>
                </c:pt>
                <c:pt idx="3">
                  <c:v>2014</c:v>
                </c:pt>
                <c:pt idx="4">
                  <c:v>2015</c:v>
                </c:pt>
              </c:numCache>
            </c:numRef>
          </c:cat>
          <c:val>
            <c:numRef>
              <c:f>'68'!$L$11:$P$11</c:f>
              <c:numCache>
                <c:formatCode>#,##0.00</c:formatCode>
                <c:ptCount val="5"/>
                <c:pt idx="0">
                  <c:v>0.98244298296219379</c:v>
                </c:pt>
                <c:pt idx="1">
                  <c:v>1.0464599254721152</c:v>
                </c:pt>
                <c:pt idx="2">
                  <c:v>0.98000112038541254</c:v>
                </c:pt>
                <c:pt idx="3">
                  <c:v>0.92511626765489063</c:v>
                </c:pt>
                <c:pt idx="4">
                  <c:v>0.88502694822674011</c:v>
                </c:pt>
              </c:numCache>
            </c:numRef>
          </c:val>
          <c:smooth val="0"/>
        </c:ser>
        <c:ser>
          <c:idx val="4"/>
          <c:order val="3"/>
          <c:tx>
            <c:v>TOTAL</c:v>
          </c:tx>
          <c:spPr>
            <a:ln w="25400">
              <a:solidFill>
                <a:srgbClr val="333300"/>
              </a:solidFill>
              <a:prstDash val="solid"/>
            </a:ln>
          </c:spPr>
          <c:marker>
            <c:symbol val="none"/>
          </c:marker>
          <c:cat>
            <c:numRef>
              <c:f>'68'!$L$7:$P$7</c:f>
              <c:numCache>
                <c:formatCode>General</c:formatCode>
                <c:ptCount val="5"/>
                <c:pt idx="0">
                  <c:v>2011</c:v>
                </c:pt>
                <c:pt idx="1">
                  <c:v>2012</c:v>
                </c:pt>
                <c:pt idx="2">
                  <c:v>2013</c:v>
                </c:pt>
                <c:pt idx="3">
                  <c:v>2014</c:v>
                </c:pt>
                <c:pt idx="4">
                  <c:v>2015</c:v>
                </c:pt>
              </c:numCache>
            </c:numRef>
          </c:cat>
          <c:val>
            <c:numRef>
              <c:f>'68'!$L$13:$P$13</c:f>
              <c:numCache>
                <c:formatCode>#,##0.00</c:formatCode>
                <c:ptCount val="5"/>
                <c:pt idx="0">
                  <c:v>1.2766608028629456</c:v>
                </c:pt>
                <c:pt idx="1">
                  <c:v>1.3485024933560275</c:v>
                </c:pt>
                <c:pt idx="2">
                  <c:v>1.2934411526977601</c:v>
                </c:pt>
                <c:pt idx="3">
                  <c:v>1.2311145827249899</c:v>
                </c:pt>
                <c:pt idx="4">
                  <c:v>1.1907323501272633</c:v>
                </c:pt>
              </c:numCache>
            </c:numRef>
          </c:val>
          <c:smooth val="0"/>
        </c:ser>
        <c:ser>
          <c:idx val="2"/>
          <c:order val="4"/>
          <c:tx>
            <c:v>ADULTO  M.</c:v>
          </c:tx>
          <c:spPr>
            <a:ln w="25400">
              <a:solidFill>
                <a:srgbClr val="336666"/>
              </a:solidFill>
              <a:prstDash val="solid"/>
            </a:ln>
          </c:spPr>
          <c:marker>
            <c:symbol val="none"/>
          </c:marker>
          <c:val>
            <c:numRef>
              <c:f>'68'!$L$12:$P$12</c:f>
              <c:numCache>
                <c:formatCode>#,##0.00</c:formatCode>
                <c:ptCount val="5"/>
                <c:pt idx="0">
                  <c:v>1.2652543975789672</c:v>
                </c:pt>
                <c:pt idx="1">
                  <c:v>1.3305281485780616</c:v>
                </c:pt>
                <c:pt idx="2">
                  <c:v>1.2789466350842971</c:v>
                </c:pt>
                <c:pt idx="3">
                  <c:v>1.2727364117686482</c:v>
                </c:pt>
                <c:pt idx="4">
                  <c:v>1.2585143816379896</c:v>
                </c:pt>
              </c:numCache>
            </c:numRef>
          </c:val>
          <c:smooth val="0"/>
        </c:ser>
        <c:dLbls>
          <c:showLegendKey val="0"/>
          <c:showVal val="0"/>
          <c:showCatName val="0"/>
          <c:showSerName val="0"/>
          <c:showPercent val="0"/>
          <c:showBubbleSize val="0"/>
        </c:dLbls>
        <c:smooth val="0"/>
        <c:axId val="340233352"/>
        <c:axId val="340233744"/>
      </c:lineChart>
      <c:catAx>
        <c:axId val="3402333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1" i="1" u="none" strike="noStrike" baseline="0">
                <a:solidFill>
                  <a:srgbClr val="000000"/>
                </a:solidFill>
                <a:latin typeface="Arial"/>
                <a:ea typeface="Arial"/>
                <a:cs typeface="Arial"/>
              </a:defRPr>
            </a:pPr>
            <a:endParaRPr lang="es-CL"/>
          </a:p>
        </c:txPr>
        <c:crossAx val="340233744"/>
        <c:crosses val="autoZero"/>
        <c:auto val="1"/>
        <c:lblAlgn val="ctr"/>
        <c:lblOffset val="100"/>
        <c:tickLblSkip val="1"/>
        <c:tickMarkSkip val="1"/>
        <c:noMultiLvlLbl val="0"/>
      </c:catAx>
      <c:valAx>
        <c:axId val="340233744"/>
        <c:scaling>
          <c:orientation val="minMax"/>
          <c:max val="2.25"/>
          <c:min val="0.8"/>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900" b="1" i="1" u="none" strike="noStrike" baseline="0">
                <a:solidFill>
                  <a:srgbClr val="000000"/>
                </a:solidFill>
                <a:latin typeface="Arial"/>
                <a:ea typeface="Arial"/>
                <a:cs typeface="Arial"/>
              </a:defRPr>
            </a:pPr>
            <a:endParaRPr lang="es-CL"/>
          </a:p>
        </c:txPr>
        <c:crossAx val="340233352"/>
        <c:crosses val="autoZero"/>
        <c:crossBetween val="between"/>
        <c:majorUnit val="0.25"/>
      </c:valAx>
      <c:spPr>
        <a:gradFill rotWithShape="0">
          <a:gsLst>
            <a:gs pos="0">
              <a:srgbClr val="C0C0C0"/>
            </a:gs>
            <a:gs pos="100000">
              <a:srgbClr val="C0C0C0">
                <a:gamma/>
                <a:tint val="0"/>
                <a:invGamma/>
              </a:srgbClr>
            </a:gs>
          </a:gsLst>
          <a:lin ang="5400000" scaled="1"/>
        </a:gradFill>
        <a:ln w="25400">
          <a:noFill/>
        </a:ln>
      </c:spPr>
    </c:plotArea>
    <c:legend>
      <c:legendPos val="b"/>
      <c:layout>
        <c:manualLayout>
          <c:xMode val="edge"/>
          <c:yMode val="edge"/>
          <c:x val="0.16061452513966482"/>
          <c:y val="0.92990654205607481"/>
          <c:w val="0.7192737430167595"/>
          <c:h val="5.6074766355139763E-2"/>
        </c:manualLayout>
      </c:layout>
      <c:overlay val="0"/>
      <c:spPr>
        <a:noFill/>
        <a:ln w="3175">
          <a:solidFill>
            <a:srgbClr val="000000"/>
          </a:solidFill>
          <a:prstDash val="solid"/>
        </a:ln>
      </c:spPr>
      <c:txPr>
        <a:bodyPr/>
        <a:lstStyle/>
        <a:p>
          <a:pPr>
            <a:defRPr sz="690" b="1" i="1"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TENDENCIA CONS. MEDICAS DE URGENCIA HOSP. TIPO 2
 SERVICIO DE SALUD ACONCAGUA</a:t>
            </a:r>
          </a:p>
        </c:rich>
      </c:tx>
      <c:layout>
        <c:manualLayout>
          <c:xMode val="edge"/>
          <c:yMode val="edge"/>
          <c:x val="0.16666710411198601"/>
          <c:y val="3.968253968253968E-2"/>
        </c:manualLayout>
      </c:layout>
      <c:overlay val="0"/>
      <c:spPr>
        <a:noFill/>
        <a:ln w="25400">
          <a:noFill/>
        </a:ln>
      </c:spPr>
    </c:title>
    <c:autoTitleDeleted val="0"/>
    <c:plotArea>
      <c:layout>
        <c:manualLayout>
          <c:layoutTarget val="inner"/>
          <c:xMode val="edge"/>
          <c:yMode val="edge"/>
          <c:x val="0.14375029246071871"/>
          <c:y val="0.20238173666037584"/>
          <c:w val="0.83541836632968414"/>
          <c:h val="0.59127213259599998"/>
        </c:manualLayout>
      </c:layout>
      <c:lineChart>
        <c:grouping val="standard"/>
        <c:varyColors val="0"/>
        <c:ser>
          <c:idx val="1"/>
          <c:order val="0"/>
          <c:tx>
            <c:v>H.SAN CAMILO</c:v>
          </c:tx>
          <c:spPr>
            <a:ln w="38100">
              <a:solidFill>
                <a:srgbClr val="FF0000"/>
              </a:solidFill>
              <a:prstDash val="solid"/>
            </a:ln>
          </c:spPr>
          <c:marker>
            <c:symbol val="none"/>
          </c:marker>
          <c:cat>
            <c:numRef>
              <c:f>'69'!$B$7:$G$7</c:f>
              <c:numCache>
                <c:formatCode>General</c:formatCode>
                <c:ptCount val="6"/>
                <c:pt idx="0">
                  <c:v>2010</c:v>
                </c:pt>
                <c:pt idx="1">
                  <c:v>2011</c:v>
                </c:pt>
                <c:pt idx="2">
                  <c:v>2012</c:v>
                </c:pt>
                <c:pt idx="3">
                  <c:v>2013</c:v>
                </c:pt>
                <c:pt idx="4">
                  <c:v>2014</c:v>
                </c:pt>
                <c:pt idx="5">
                  <c:v>2015</c:v>
                </c:pt>
              </c:numCache>
            </c:numRef>
          </c:cat>
          <c:val>
            <c:numRef>
              <c:f>'69'!$B$8:$G$8</c:f>
              <c:numCache>
                <c:formatCode>#,##0</c:formatCode>
                <c:ptCount val="6"/>
                <c:pt idx="0">
                  <c:v>73927</c:v>
                </c:pt>
                <c:pt idx="1">
                  <c:v>73993</c:v>
                </c:pt>
                <c:pt idx="2">
                  <c:v>81333</c:v>
                </c:pt>
                <c:pt idx="3">
                  <c:v>78294</c:v>
                </c:pt>
                <c:pt idx="4">
                  <c:v>80758</c:v>
                </c:pt>
                <c:pt idx="5">
                  <c:v>76526</c:v>
                </c:pt>
              </c:numCache>
            </c:numRef>
          </c:val>
          <c:smooth val="0"/>
        </c:ser>
        <c:ser>
          <c:idx val="2"/>
          <c:order val="1"/>
          <c:tx>
            <c:v>H. LOS ANDES</c:v>
          </c:tx>
          <c:spPr>
            <a:ln w="38100">
              <a:solidFill>
                <a:srgbClr val="333399"/>
              </a:solidFill>
              <a:prstDash val="solid"/>
            </a:ln>
          </c:spPr>
          <c:marker>
            <c:symbol val="none"/>
          </c:marker>
          <c:cat>
            <c:numRef>
              <c:f>'69'!$B$7:$G$7</c:f>
              <c:numCache>
                <c:formatCode>General</c:formatCode>
                <c:ptCount val="6"/>
                <c:pt idx="0">
                  <c:v>2010</c:v>
                </c:pt>
                <c:pt idx="1">
                  <c:v>2011</c:v>
                </c:pt>
                <c:pt idx="2">
                  <c:v>2012</c:v>
                </c:pt>
                <c:pt idx="3">
                  <c:v>2013</c:v>
                </c:pt>
                <c:pt idx="4">
                  <c:v>2014</c:v>
                </c:pt>
                <c:pt idx="5">
                  <c:v>2015</c:v>
                </c:pt>
              </c:numCache>
            </c:numRef>
          </c:cat>
          <c:val>
            <c:numRef>
              <c:f>'69'!$B$9:$G$9</c:f>
              <c:numCache>
                <c:formatCode>#,##0</c:formatCode>
                <c:ptCount val="6"/>
                <c:pt idx="0">
                  <c:v>103552</c:v>
                </c:pt>
                <c:pt idx="1">
                  <c:v>100835</c:v>
                </c:pt>
                <c:pt idx="2">
                  <c:v>97908</c:v>
                </c:pt>
                <c:pt idx="3">
                  <c:v>96920</c:v>
                </c:pt>
                <c:pt idx="4">
                  <c:v>88207</c:v>
                </c:pt>
                <c:pt idx="5">
                  <c:v>86259</c:v>
                </c:pt>
              </c:numCache>
            </c:numRef>
          </c:val>
          <c:smooth val="0"/>
        </c:ser>
        <c:dLbls>
          <c:showLegendKey val="0"/>
          <c:showVal val="0"/>
          <c:showCatName val="0"/>
          <c:showSerName val="0"/>
          <c:showPercent val="0"/>
          <c:showBubbleSize val="0"/>
        </c:dLbls>
        <c:smooth val="0"/>
        <c:axId val="340234528"/>
        <c:axId val="340234920"/>
      </c:lineChart>
      <c:catAx>
        <c:axId val="3402345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CL"/>
          </a:p>
        </c:txPr>
        <c:crossAx val="340234920"/>
        <c:crosses val="autoZero"/>
        <c:auto val="0"/>
        <c:lblAlgn val="ctr"/>
        <c:lblOffset val="100"/>
        <c:tickLblSkip val="1"/>
        <c:tickMarkSkip val="1"/>
        <c:noMultiLvlLbl val="0"/>
      </c:catAx>
      <c:valAx>
        <c:axId val="340234920"/>
        <c:scaling>
          <c:orientation val="minMax"/>
          <c:max val="130000"/>
          <c:min val="70000"/>
        </c:scaling>
        <c:delete val="0"/>
        <c:axPos val="l"/>
        <c:majorGridlines>
          <c:spPr>
            <a:ln w="12700">
              <a:solidFill>
                <a:srgbClr val="FF0000"/>
              </a:solidFill>
              <a:prstDash val="solid"/>
            </a:ln>
          </c:spPr>
        </c:majorGridlines>
        <c:numFmt formatCode="#,##0" sourceLinked="1"/>
        <c:majorTickMark val="out"/>
        <c:minorTickMark val="none"/>
        <c:tickLblPos val="nextTo"/>
        <c:spPr>
          <a:ln w="9525">
            <a:noFill/>
          </a:ln>
        </c:spPr>
        <c:txPr>
          <a:bodyPr rot="0" vert="horz"/>
          <a:lstStyle/>
          <a:p>
            <a:pPr>
              <a:defRPr sz="900" b="0" i="0" u="none" strike="noStrike" baseline="0">
                <a:solidFill>
                  <a:srgbClr val="000000"/>
                </a:solidFill>
                <a:latin typeface="Arial"/>
                <a:ea typeface="Arial"/>
                <a:cs typeface="Arial"/>
              </a:defRPr>
            </a:pPr>
            <a:endParaRPr lang="es-CL"/>
          </a:p>
        </c:txPr>
        <c:crossAx val="340234528"/>
        <c:crosses val="autoZero"/>
        <c:crossBetween val="between"/>
        <c:majorUnit val="10000"/>
      </c:valAx>
      <c:spPr>
        <a:noFill/>
        <a:ln w="25400">
          <a:noFill/>
        </a:ln>
      </c:spPr>
    </c:plotArea>
    <c:legend>
      <c:legendPos val="b"/>
      <c:layout>
        <c:manualLayout>
          <c:xMode val="edge"/>
          <c:yMode val="edge"/>
          <c:x val="0.25416710411198579"/>
          <c:y val="0.92063867016622924"/>
          <c:w val="0.50208442694663158"/>
          <c:h val="6.7460734074907533E-2"/>
        </c:manualLayout>
      </c:layout>
      <c:overlay val="0"/>
      <c:spPr>
        <a:no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E3E3E3"/>
        </a:gs>
        <a:gs pos="100000">
          <a:srgbClr val="E3E3E3">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9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opies="0"/>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1" i="0" u="none" strike="noStrike" baseline="0">
                <a:solidFill>
                  <a:srgbClr val="000000"/>
                </a:solidFill>
                <a:latin typeface="Arial"/>
                <a:ea typeface="Arial"/>
                <a:cs typeface="Arial"/>
              </a:defRPr>
            </a:pPr>
            <a:r>
              <a:rPr lang="es-ES"/>
              <a:t>PORCENTAJE DE CONS. SEGUN ESTABLECIMIENTOS
SERVICIO DE SALUD ACONCAGUA
AÑO 2013</a:t>
            </a:r>
          </a:p>
        </c:rich>
      </c:tx>
      <c:layout>
        <c:manualLayout>
          <c:xMode val="edge"/>
          <c:yMode val="edge"/>
          <c:x val="0.11464990443073596"/>
          <c:y val="3.3426183844011144E-2"/>
        </c:manualLayout>
      </c:layout>
      <c:overlay val="0"/>
      <c:spPr>
        <a:gradFill rotWithShape="0">
          <a:gsLst>
            <a:gs pos="0">
              <a:srgbClr val="C0C0C0"/>
            </a:gs>
            <a:gs pos="100000">
              <a:srgbClr val="C0C0C0">
                <a:gamma/>
                <a:tint val="0"/>
                <a:invGamma/>
              </a:srgbClr>
            </a:gs>
          </a:gsLst>
          <a:lin ang="5400000" scaled="1"/>
        </a:gradFill>
        <a:ln w="25400">
          <a:noFill/>
        </a:ln>
      </c:spPr>
    </c:title>
    <c:autoTitleDeleted val="0"/>
    <c:plotArea>
      <c:layout>
        <c:manualLayout>
          <c:layoutTarget val="inner"/>
          <c:xMode val="edge"/>
          <c:yMode val="edge"/>
          <c:x val="0.25477759831475238"/>
          <c:y val="0.28969359331477784"/>
          <c:w val="0.49044687675591764"/>
          <c:h val="0.64345403899721454"/>
        </c:manualLayout>
      </c:layout>
      <c:pieChart>
        <c:varyColors val="1"/>
        <c:ser>
          <c:idx val="0"/>
          <c:order val="0"/>
          <c:spPr>
            <a:solidFill>
              <a:srgbClr val="69FFFF"/>
            </a:solidFill>
            <a:ln w="12700">
              <a:solidFill>
                <a:srgbClr val="000000"/>
              </a:solidFill>
              <a:prstDash val="solid"/>
            </a:ln>
          </c:spPr>
          <c:explosion val="25"/>
          <c:dLbls>
            <c:dLbl>
              <c:idx val="0"/>
              <c:layout>
                <c:manualLayout>
                  <c:x val="5.2837199979336837E-3"/>
                  <c:y val="3.0545624693849079E-3"/>
                </c:manualLayout>
              </c:layout>
              <c:tx>
                <c:rich>
                  <a:bodyPr/>
                  <a:lstStyle/>
                  <a:p>
                    <a:pPr>
                      <a:defRPr sz="700" b="1" i="0" u="none" strike="noStrike" baseline="0">
                        <a:solidFill>
                          <a:srgbClr val="FFFFFF"/>
                        </a:solidFill>
                        <a:latin typeface="Arial"/>
                        <a:ea typeface="Arial"/>
                        <a:cs typeface="Arial"/>
                      </a:defRPr>
                    </a:pPr>
                    <a:r>
                      <a:rPr lang="en-US"/>
                      <a:t>H.SAN  FELIPE
25%</a:t>
                    </a:r>
                  </a:p>
                </c:rich>
              </c:tx>
              <c:spPr>
                <a:solidFill>
                  <a:srgbClr val="FF0000"/>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4.6862007545592034E-2"/>
                  <c:y val="-9.9814152757367727E-2"/>
                </c:manualLayout>
              </c:layout>
              <c:tx>
                <c:rich>
                  <a:bodyPr/>
                  <a:lstStyle/>
                  <a:p>
                    <a:pPr>
                      <a:defRPr sz="700" b="1" i="0" u="none" strike="noStrike" baseline="0">
                        <a:solidFill>
                          <a:srgbClr val="FFFFFF"/>
                        </a:solidFill>
                        <a:latin typeface="Arial"/>
                        <a:ea typeface="Arial"/>
                        <a:cs typeface="Arial"/>
                      </a:defRPr>
                    </a:pPr>
                    <a:r>
                      <a:rPr lang="en-US"/>
                      <a:t>H.LOS ANDES
29%</a:t>
                    </a:r>
                  </a:p>
                </c:rich>
              </c:tx>
              <c:spPr>
                <a:solidFill>
                  <a:srgbClr val="FF0000"/>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3"/>
              <c:layout>
                <c:manualLayout>
                  <c:x val="1.773161384525301E-2"/>
                  <c:y val="9.860285570153526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1.2663996420676196E-2"/>
                  <c:y val="-3.46155477083470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1.0998165585312141E-2"/>
                  <c:y val="6.445433875083412E-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 sourceLinked="0"/>
            <c:spPr>
              <a:solidFill>
                <a:srgbClr val="FF0000"/>
              </a:solidFill>
              <a:ln w="25400">
                <a:noFill/>
              </a:ln>
            </c:spPr>
            <c:txPr>
              <a:bodyPr/>
              <a:lstStyle/>
              <a:p>
                <a:pPr algn="ctr" rtl="0">
                  <a:defRPr sz="700" b="1" i="0" u="none" strike="noStrike" baseline="0">
                    <a:solidFill>
                      <a:srgbClr val="FFFFFF"/>
                    </a:solidFill>
                    <a:latin typeface="Arial"/>
                    <a:ea typeface="Arial"/>
                    <a:cs typeface="Arial"/>
                  </a:defRPr>
                </a:pPr>
                <a:endParaRPr lang="es-CL"/>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'69'!$J$8:$J$15</c:f>
              <c:strCache>
                <c:ptCount val="8"/>
                <c:pt idx="0">
                  <c:v>H.SAN CAMILO</c:v>
                </c:pt>
                <c:pt idx="1">
                  <c:v>H.LOS ANDES</c:v>
                </c:pt>
                <c:pt idx="2">
                  <c:v>H.LLAY-LLAY</c:v>
                </c:pt>
                <c:pt idx="3">
                  <c:v>H.PSIQ.</c:v>
                </c:pt>
                <c:pt idx="4">
                  <c:v>H.PUTAENDO</c:v>
                </c:pt>
                <c:pt idx="5">
                  <c:v>SAPU S.F.</c:v>
                </c:pt>
                <c:pt idx="6">
                  <c:v>SAPU L.A.</c:v>
                </c:pt>
                <c:pt idx="7">
                  <c:v>MUNIC.</c:v>
                </c:pt>
              </c:strCache>
            </c:strRef>
          </c:cat>
          <c:val>
            <c:numRef>
              <c:f>'69'!$G$8:$G$15</c:f>
              <c:numCache>
                <c:formatCode>#,##0</c:formatCode>
                <c:ptCount val="8"/>
                <c:pt idx="0">
                  <c:v>76526</c:v>
                </c:pt>
                <c:pt idx="1">
                  <c:v>86259</c:v>
                </c:pt>
                <c:pt idx="2">
                  <c:v>45981</c:v>
                </c:pt>
                <c:pt idx="3">
                  <c:v>4560</c:v>
                </c:pt>
                <c:pt idx="4">
                  <c:v>25904</c:v>
                </c:pt>
                <c:pt idx="5">
                  <c:v>29385</c:v>
                </c:pt>
                <c:pt idx="6">
                  <c:v>30021</c:v>
                </c:pt>
                <c:pt idx="7">
                  <c:v>31179</c:v>
                </c:pt>
              </c:numCache>
            </c:numRef>
          </c:val>
        </c:ser>
        <c:dLbls>
          <c:showLegendKey val="0"/>
          <c:showVal val="0"/>
          <c:showCatName val="1"/>
          <c:showSerName val="0"/>
          <c:showPercent val="1"/>
          <c:showBubbleSize val="0"/>
          <c:showLeaderLines val="0"/>
        </c:dLbls>
        <c:firstSliceAng val="0"/>
      </c:pieChart>
      <c:spPr>
        <a:noFill/>
        <a:ln w="25400">
          <a:noFill/>
        </a:ln>
      </c:spPr>
    </c:plotArea>
    <c:plotVisOnly val="1"/>
    <c:dispBlanksAs val="zero"/>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TENDENCIA CONS. MEDICAS DE URGENCIA HOSP. TIPO 2
 SERVICIO DE SALUD ACONCAGUA</a:t>
            </a:r>
          </a:p>
        </c:rich>
      </c:tx>
      <c:layout>
        <c:manualLayout>
          <c:xMode val="edge"/>
          <c:yMode val="edge"/>
          <c:x val="0.16666710411198601"/>
          <c:y val="3.968253968253968E-2"/>
        </c:manualLayout>
      </c:layout>
      <c:overlay val="0"/>
      <c:spPr>
        <a:noFill/>
        <a:ln w="25400">
          <a:noFill/>
        </a:ln>
      </c:spPr>
    </c:title>
    <c:autoTitleDeleted val="0"/>
    <c:plotArea>
      <c:layout>
        <c:manualLayout>
          <c:layoutTarget val="inner"/>
          <c:xMode val="edge"/>
          <c:yMode val="edge"/>
          <c:x val="0.14375029246071871"/>
          <c:y val="0.20238173666037584"/>
          <c:w val="0.83541836632968414"/>
          <c:h val="0.59127213259599998"/>
        </c:manualLayout>
      </c:layout>
      <c:lineChart>
        <c:grouping val="standard"/>
        <c:varyColors val="0"/>
        <c:ser>
          <c:idx val="1"/>
          <c:order val="0"/>
          <c:tx>
            <c:v>H.SAN CAMILO</c:v>
          </c:tx>
          <c:spPr>
            <a:ln w="38100">
              <a:solidFill>
                <a:srgbClr val="FF0000"/>
              </a:solidFill>
              <a:prstDash val="solid"/>
            </a:ln>
          </c:spPr>
          <c:marker>
            <c:symbol val="none"/>
          </c:marker>
          <c:cat>
            <c:numRef>
              <c:f>'69'!$B$7:$G$7</c:f>
              <c:numCache>
                <c:formatCode>General</c:formatCode>
                <c:ptCount val="6"/>
                <c:pt idx="0">
                  <c:v>2010</c:v>
                </c:pt>
                <c:pt idx="1">
                  <c:v>2011</c:v>
                </c:pt>
                <c:pt idx="2">
                  <c:v>2012</c:v>
                </c:pt>
                <c:pt idx="3">
                  <c:v>2013</c:v>
                </c:pt>
                <c:pt idx="4">
                  <c:v>2014</c:v>
                </c:pt>
                <c:pt idx="5">
                  <c:v>2015</c:v>
                </c:pt>
              </c:numCache>
            </c:numRef>
          </c:cat>
          <c:val>
            <c:numRef>
              <c:f>'69'!$B$8:$G$8</c:f>
              <c:numCache>
                <c:formatCode>#,##0</c:formatCode>
                <c:ptCount val="6"/>
                <c:pt idx="0">
                  <c:v>73927</c:v>
                </c:pt>
                <c:pt idx="1">
                  <c:v>73993</c:v>
                </c:pt>
                <c:pt idx="2">
                  <c:v>81333</c:v>
                </c:pt>
                <c:pt idx="3">
                  <c:v>78294</c:v>
                </c:pt>
                <c:pt idx="4">
                  <c:v>80758</c:v>
                </c:pt>
                <c:pt idx="5">
                  <c:v>76526</c:v>
                </c:pt>
              </c:numCache>
            </c:numRef>
          </c:val>
          <c:smooth val="0"/>
        </c:ser>
        <c:ser>
          <c:idx val="2"/>
          <c:order val="1"/>
          <c:tx>
            <c:v>H. LOS ANDES</c:v>
          </c:tx>
          <c:spPr>
            <a:ln w="38100">
              <a:solidFill>
                <a:srgbClr val="333399"/>
              </a:solidFill>
              <a:prstDash val="solid"/>
            </a:ln>
          </c:spPr>
          <c:marker>
            <c:symbol val="none"/>
          </c:marker>
          <c:cat>
            <c:numRef>
              <c:f>'69'!$B$7:$G$7</c:f>
              <c:numCache>
                <c:formatCode>General</c:formatCode>
                <c:ptCount val="6"/>
                <c:pt idx="0">
                  <c:v>2010</c:v>
                </c:pt>
                <c:pt idx="1">
                  <c:v>2011</c:v>
                </c:pt>
                <c:pt idx="2">
                  <c:v>2012</c:v>
                </c:pt>
                <c:pt idx="3">
                  <c:v>2013</c:v>
                </c:pt>
                <c:pt idx="4">
                  <c:v>2014</c:v>
                </c:pt>
                <c:pt idx="5">
                  <c:v>2015</c:v>
                </c:pt>
              </c:numCache>
            </c:numRef>
          </c:cat>
          <c:val>
            <c:numRef>
              <c:f>'69'!$B$9:$G$9</c:f>
              <c:numCache>
                <c:formatCode>#,##0</c:formatCode>
                <c:ptCount val="6"/>
                <c:pt idx="0">
                  <c:v>103552</c:v>
                </c:pt>
                <c:pt idx="1">
                  <c:v>100835</c:v>
                </c:pt>
                <c:pt idx="2">
                  <c:v>97908</c:v>
                </c:pt>
                <c:pt idx="3">
                  <c:v>96920</c:v>
                </c:pt>
                <c:pt idx="4">
                  <c:v>88207</c:v>
                </c:pt>
                <c:pt idx="5">
                  <c:v>86259</c:v>
                </c:pt>
              </c:numCache>
            </c:numRef>
          </c:val>
          <c:smooth val="0"/>
        </c:ser>
        <c:dLbls>
          <c:showLegendKey val="0"/>
          <c:showVal val="0"/>
          <c:showCatName val="0"/>
          <c:showSerName val="0"/>
          <c:showPercent val="0"/>
          <c:showBubbleSize val="0"/>
        </c:dLbls>
        <c:smooth val="0"/>
        <c:axId val="340236096"/>
        <c:axId val="341510088"/>
      </c:lineChart>
      <c:catAx>
        <c:axId val="3402360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CL"/>
          </a:p>
        </c:txPr>
        <c:crossAx val="341510088"/>
        <c:crosses val="autoZero"/>
        <c:auto val="0"/>
        <c:lblAlgn val="ctr"/>
        <c:lblOffset val="100"/>
        <c:tickLblSkip val="1"/>
        <c:tickMarkSkip val="1"/>
        <c:noMultiLvlLbl val="0"/>
      </c:catAx>
      <c:valAx>
        <c:axId val="341510088"/>
        <c:scaling>
          <c:orientation val="minMax"/>
          <c:max val="130000"/>
          <c:min val="70000"/>
        </c:scaling>
        <c:delete val="0"/>
        <c:axPos val="l"/>
        <c:majorGridlines>
          <c:spPr>
            <a:ln w="12700">
              <a:solidFill>
                <a:srgbClr val="FF0000"/>
              </a:solidFill>
              <a:prstDash val="solid"/>
            </a:ln>
          </c:spPr>
        </c:majorGridlines>
        <c:numFmt formatCode="#,##0" sourceLinked="1"/>
        <c:majorTickMark val="out"/>
        <c:minorTickMark val="none"/>
        <c:tickLblPos val="nextTo"/>
        <c:spPr>
          <a:ln w="9525">
            <a:noFill/>
          </a:ln>
        </c:spPr>
        <c:txPr>
          <a:bodyPr rot="0" vert="horz"/>
          <a:lstStyle/>
          <a:p>
            <a:pPr>
              <a:defRPr sz="900" b="0" i="0" u="none" strike="noStrike" baseline="0">
                <a:solidFill>
                  <a:srgbClr val="000000"/>
                </a:solidFill>
                <a:latin typeface="Arial"/>
                <a:ea typeface="Arial"/>
                <a:cs typeface="Arial"/>
              </a:defRPr>
            </a:pPr>
            <a:endParaRPr lang="es-CL"/>
          </a:p>
        </c:txPr>
        <c:crossAx val="340236096"/>
        <c:crosses val="autoZero"/>
        <c:crossBetween val="between"/>
        <c:majorUnit val="10000"/>
      </c:valAx>
      <c:spPr>
        <a:noFill/>
        <a:ln w="25400">
          <a:noFill/>
        </a:ln>
      </c:spPr>
    </c:plotArea>
    <c:legend>
      <c:legendPos val="b"/>
      <c:layout>
        <c:manualLayout>
          <c:xMode val="edge"/>
          <c:yMode val="edge"/>
          <c:x val="0.25416710411198579"/>
          <c:y val="0.92063867016622924"/>
          <c:w val="0.50208442694663158"/>
          <c:h val="6.7460734074907533E-2"/>
        </c:manualLayout>
      </c:layout>
      <c:overlay val="0"/>
      <c:spPr>
        <a:no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E3E3E3"/>
        </a:gs>
        <a:gs pos="100000">
          <a:srgbClr val="E3E3E3">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9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opies="0"/>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1" i="0" u="none" strike="noStrike" baseline="0">
                <a:solidFill>
                  <a:srgbClr val="000000"/>
                </a:solidFill>
                <a:latin typeface="Arial"/>
                <a:ea typeface="Arial"/>
                <a:cs typeface="Arial"/>
              </a:defRPr>
            </a:pPr>
            <a:r>
              <a:rPr lang="es-ES"/>
              <a:t>PORCENTAJE DE CONS. SEGUN ESTABLECIMIENTOS
SERVICIO DE SALUD ACONCAGUA
AÑO 2015</a:t>
            </a:r>
          </a:p>
        </c:rich>
      </c:tx>
      <c:layout>
        <c:manualLayout>
          <c:xMode val="edge"/>
          <c:yMode val="edge"/>
          <c:x val="0.11464990443073596"/>
          <c:y val="3.3426183844011144E-2"/>
        </c:manualLayout>
      </c:layout>
      <c:overlay val="0"/>
      <c:spPr>
        <a:gradFill rotWithShape="0">
          <a:gsLst>
            <a:gs pos="0">
              <a:srgbClr val="C0C0C0"/>
            </a:gs>
            <a:gs pos="100000">
              <a:srgbClr val="C0C0C0">
                <a:gamma/>
                <a:tint val="0"/>
                <a:invGamma/>
              </a:srgbClr>
            </a:gs>
          </a:gsLst>
          <a:lin ang="5400000" scaled="1"/>
        </a:gradFill>
        <a:ln w="25400">
          <a:noFill/>
        </a:ln>
      </c:spPr>
    </c:title>
    <c:autoTitleDeleted val="0"/>
    <c:plotArea>
      <c:layout>
        <c:manualLayout>
          <c:layoutTarget val="inner"/>
          <c:xMode val="edge"/>
          <c:yMode val="edge"/>
          <c:x val="0.25477759831475238"/>
          <c:y val="0.28969359331477784"/>
          <c:w val="0.49044687675591764"/>
          <c:h val="0.64345403899721454"/>
        </c:manualLayout>
      </c:layout>
      <c:pieChart>
        <c:varyColors val="1"/>
        <c:ser>
          <c:idx val="0"/>
          <c:order val="0"/>
          <c:spPr>
            <a:solidFill>
              <a:srgbClr val="69FFFF"/>
            </a:solidFill>
            <a:ln w="12700">
              <a:solidFill>
                <a:srgbClr val="000000"/>
              </a:solidFill>
              <a:prstDash val="solid"/>
            </a:ln>
          </c:spPr>
          <c:explosion val="25"/>
          <c:dLbls>
            <c:dLbl>
              <c:idx val="0"/>
              <c:layout>
                <c:manualLayout>
                  <c:x val="5.2837199979336837E-3"/>
                  <c:y val="3.0545624693849079E-3"/>
                </c:manualLayout>
              </c:layout>
              <c:tx>
                <c:rich>
                  <a:bodyPr/>
                  <a:lstStyle/>
                  <a:p>
                    <a:pPr>
                      <a:defRPr sz="700" b="1" i="0" u="none" strike="noStrike" baseline="0">
                        <a:solidFill>
                          <a:srgbClr val="FFFFFF"/>
                        </a:solidFill>
                        <a:latin typeface="Arial"/>
                        <a:ea typeface="Arial"/>
                        <a:cs typeface="Arial"/>
                      </a:defRPr>
                    </a:pPr>
                    <a:r>
                      <a:rPr lang="en-US"/>
                      <a:t>H.SAN  FELIPE
25%</a:t>
                    </a:r>
                  </a:p>
                </c:rich>
              </c:tx>
              <c:spPr>
                <a:solidFill>
                  <a:srgbClr val="FF0000"/>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4.6862007545592034E-2"/>
                  <c:y val="-9.9814152757367727E-2"/>
                </c:manualLayout>
              </c:layout>
              <c:tx>
                <c:rich>
                  <a:bodyPr/>
                  <a:lstStyle/>
                  <a:p>
                    <a:pPr>
                      <a:defRPr sz="700" b="1" i="0" u="none" strike="noStrike" baseline="0">
                        <a:solidFill>
                          <a:srgbClr val="FFFFFF"/>
                        </a:solidFill>
                        <a:latin typeface="Arial"/>
                        <a:ea typeface="Arial"/>
                        <a:cs typeface="Arial"/>
                      </a:defRPr>
                    </a:pPr>
                    <a:r>
                      <a:rPr lang="en-US"/>
                      <a:t>H.LOS ANDES
29%</a:t>
                    </a:r>
                  </a:p>
                </c:rich>
              </c:tx>
              <c:spPr>
                <a:solidFill>
                  <a:srgbClr val="FF0000"/>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3"/>
              <c:layout>
                <c:manualLayout>
                  <c:x val="1.773161384525301E-2"/>
                  <c:y val="9.860285570153526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1.2663996420676196E-2"/>
                  <c:y val="-3.46155477083470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1.0998165585312141E-2"/>
                  <c:y val="6.445433875083412E-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 sourceLinked="0"/>
            <c:spPr>
              <a:solidFill>
                <a:srgbClr val="FF0000"/>
              </a:solidFill>
              <a:ln w="25400">
                <a:noFill/>
              </a:ln>
            </c:spPr>
            <c:txPr>
              <a:bodyPr/>
              <a:lstStyle/>
              <a:p>
                <a:pPr algn="ctr" rtl="0">
                  <a:defRPr sz="700" b="1" i="0" u="none" strike="noStrike" baseline="0">
                    <a:solidFill>
                      <a:srgbClr val="FFFFFF"/>
                    </a:solidFill>
                    <a:latin typeface="Arial"/>
                    <a:ea typeface="Arial"/>
                    <a:cs typeface="Arial"/>
                  </a:defRPr>
                </a:pPr>
                <a:endParaRPr lang="es-CL"/>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'69'!$J$8:$J$15</c:f>
              <c:strCache>
                <c:ptCount val="8"/>
                <c:pt idx="0">
                  <c:v>H.SAN CAMILO</c:v>
                </c:pt>
                <c:pt idx="1">
                  <c:v>H.LOS ANDES</c:v>
                </c:pt>
                <c:pt idx="2">
                  <c:v>H.LLAY-LLAY</c:v>
                </c:pt>
                <c:pt idx="3">
                  <c:v>H.PSIQ.</c:v>
                </c:pt>
                <c:pt idx="4">
                  <c:v>H.PUTAENDO</c:v>
                </c:pt>
                <c:pt idx="5">
                  <c:v>SAPU S.F.</c:v>
                </c:pt>
                <c:pt idx="6">
                  <c:v>SAPU L.A.</c:v>
                </c:pt>
                <c:pt idx="7">
                  <c:v>MUNIC.</c:v>
                </c:pt>
              </c:strCache>
            </c:strRef>
          </c:cat>
          <c:val>
            <c:numRef>
              <c:f>'69'!$G$8:$G$15</c:f>
              <c:numCache>
                <c:formatCode>#,##0</c:formatCode>
                <c:ptCount val="8"/>
                <c:pt idx="0">
                  <c:v>76526</c:v>
                </c:pt>
                <c:pt idx="1">
                  <c:v>86259</c:v>
                </c:pt>
                <c:pt idx="2">
                  <c:v>45981</c:v>
                </c:pt>
                <c:pt idx="3">
                  <c:v>4560</c:v>
                </c:pt>
                <c:pt idx="4">
                  <c:v>25904</c:v>
                </c:pt>
                <c:pt idx="5">
                  <c:v>29385</c:v>
                </c:pt>
                <c:pt idx="6">
                  <c:v>30021</c:v>
                </c:pt>
                <c:pt idx="7">
                  <c:v>31179</c:v>
                </c:pt>
              </c:numCache>
            </c:numRef>
          </c:val>
        </c:ser>
        <c:dLbls>
          <c:showLegendKey val="0"/>
          <c:showVal val="0"/>
          <c:showCatName val="1"/>
          <c:showSerName val="0"/>
          <c:showPercent val="1"/>
          <c:showBubbleSize val="0"/>
          <c:showLeaderLines val="0"/>
        </c:dLbls>
        <c:firstSliceAng val="0"/>
      </c:pieChart>
      <c:spPr>
        <a:noFill/>
        <a:ln w="25400">
          <a:noFill/>
        </a:ln>
      </c:spPr>
    </c:plotArea>
    <c:plotVisOnly val="1"/>
    <c:dispBlanksAs val="zero"/>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6898360705188562"/>
          <c:y val="0.30894390705430996"/>
          <c:w val="0.46332104563958648"/>
          <c:h val="0.38482486668169508"/>
        </c:manualLayout>
      </c:layout>
      <c:pie3DChart>
        <c:varyColors val="0"/>
        <c:ser>
          <c:idx val="0"/>
          <c:order val="0"/>
          <c:spPr>
            <a:solidFill>
              <a:srgbClr val="FF0000"/>
            </a:solidFill>
            <a:ln w="12700">
              <a:solidFill>
                <a:srgbClr val="000000"/>
              </a:solidFill>
              <a:prstDash val="solid"/>
            </a:ln>
          </c:spPr>
          <c:dPt>
            <c:idx val="1"/>
            <c:bubble3D val="0"/>
            <c:spPr>
              <a:solidFill>
                <a:srgbClr val="FFFF00"/>
              </a:solidFill>
              <a:ln w="12700">
                <a:solidFill>
                  <a:srgbClr val="000000"/>
                </a:solidFill>
                <a:prstDash val="solid"/>
              </a:ln>
            </c:spPr>
          </c:dPt>
          <c:dPt>
            <c:idx val="2"/>
            <c:bubble3D val="0"/>
            <c:spPr>
              <a:solidFill>
                <a:srgbClr val="3366FF"/>
              </a:solidFill>
              <a:ln w="12700">
                <a:solidFill>
                  <a:srgbClr val="000000"/>
                </a:solidFill>
                <a:prstDash val="solid"/>
              </a:ln>
            </c:spPr>
          </c:dPt>
          <c:dLbls>
            <c:dLbl>
              <c:idx val="0"/>
              <c:layout>
                <c:manualLayout>
                  <c:x val="5.9762721857258158E-2"/>
                  <c:y val="-0.17909885132582842"/>
                </c:manualLayout>
              </c:layout>
              <c:tx>
                <c:rich>
                  <a:bodyPr/>
                  <a:lstStyle/>
                  <a:p>
                    <a:pPr>
                      <a:defRPr sz="800" b="1" i="0" u="none" strike="noStrike" baseline="0">
                        <a:solidFill>
                          <a:srgbClr val="FF0000"/>
                        </a:solidFill>
                        <a:latin typeface="Arial"/>
                        <a:ea typeface="Arial"/>
                        <a:cs typeface="Arial"/>
                      </a:defRPr>
                    </a:pPr>
                    <a:r>
                      <a:rPr lang="en-US"/>
                      <a:t>MAYOR  NO AMBULATORIAS
47,7%</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4.2898356568734405E-2"/>
                  <c:y val="0.10165526757965852"/>
                </c:manualLayout>
              </c:layout>
              <c:tx>
                <c:rich>
                  <a:bodyPr/>
                  <a:lstStyle/>
                  <a:p>
                    <a:pPr>
                      <a:defRPr sz="800" b="1" i="0" u="none" strike="noStrike" baseline="0">
                        <a:solidFill>
                          <a:srgbClr val="FF0000"/>
                        </a:solidFill>
                        <a:latin typeface="Arial"/>
                        <a:ea typeface="Arial"/>
                        <a:cs typeface="Arial"/>
                      </a:defRPr>
                    </a:pPr>
                    <a:r>
                      <a:rPr lang="en-US"/>
                      <a:t>MAYOR AMBULATORIAS
7,6%</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2"/>
              <c:layout>
                <c:manualLayout>
                  <c:x val="-9.3993287291149585E-2"/>
                  <c:y val="-0.19150753935700726"/>
                </c:manualLayout>
              </c:layout>
              <c:tx>
                <c:rich>
                  <a:bodyPr/>
                  <a:lstStyle/>
                  <a:p>
                    <a:pPr>
                      <a:defRPr sz="1850" b="0" i="0" u="none" strike="noStrike" baseline="0">
                        <a:solidFill>
                          <a:srgbClr val="000000"/>
                        </a:solidFill>
                        <a:latin typeface="Arial"/>
                        <a:ea typeface="Arial"/>
                        <a:cs typeface="Arial"/>
                      </a:defRPr>
                    </a:pPr>
                    <a:r>
                      <a:rPr lang="en-US" sz="1075" b="1" i="0" strike="noStrike">
                        <a:solidFill>
                          <a:srgbClr val="FF0000"/>
                        </a:solidFill>
                        <a:latin typeface="Arial"/>
                        <a:cs typeface="Arial"/>
                      </a:rPr>
                      <a:t> </a:t>
                    </a:r>
                    <a:r>
                      <a:rPr lang="en-US" sz="925" b="1" i="0" strike="noStrike">
                        <a:solidFill>
                          <a:srgbClr val="FF0000"/>
                        </a:solidFill>
                        <a:latin typeface="Arial"/>
                        <a:cs typeface="Arial"/>
                      </a:rPr>
                      <a:t>MENORES</a:t>
                    </a:r>
                  </a:p>
                  <a:p>
                    <a:pPr>
                      <a:defRPr sz="1850" b="0" i="0" u="none" strike="noStrike" baseline="0">
                        <a:solidFill>
                          <a:srgbClr val="000000"/>
                        </a:solidFill>
                        <a:latin typeface="Arial"/>
                        <a:ea typeface="Arial"/>
                        <a:cs typeface="Arial"/>
                      </a:defRPr>
                    </a:pPr>
                    <a:r>
                      <a:rPr lang="en-US" sz="925" b="1" i="0" strike="noStrike">
                        <a:solidFill>
                          <a:srgbClr val="FF0000"/>
                        </a:solidFill>
                        <a:latin typeface="Arial"/>
                        <a:cs typeface="Arial"/>
                      </a:rPr>
                      <a:t>44,7%</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numFmt formatCode="0%" sourceLinked="0"/>
            <c:spPr>
              <a:solidFill>
                <a:srgbClr val="C0C0C0"/>
              </a:solidFill>
              <a:ln w="25400">
                <a:noFill/>
              </a:ln>
            </c:spPr>
            <c:txPr>
              <a:bodyPr/>
              <a:lstStyle/>
              <a:p>
                <a:pPr algn="ctr" rtl="1">
                  <a:defRPr sz="1200" b="1" i="0" u="none" strike="noStrike" baseline="0">
                    <a:solidFill>
                      <a:srgbClr val="FF0000"/>
                    </a:solidFill>
                    <a:latin typeface="Arial"/>
                    <a:ea typeface="Arial"/>
                    <a:cs typeface="Arial"/>
                  </a:defRPr>
                </a:pPr>
                <a:endParaRPr lang="es-CL"/>
              </a:p>
            </c:txPr>
            <c:dLblPos val="ctr"/>
            <c:showLegendKey val="0"/>
            <c:showVal val="0"/>
            <c:showCatName val="1"/>
            <c:showSerName val="0"/>
            <c:showPercent val="1"/>
            <c:showBubbleSize val="0"/>
            <c:showLeaderLines val="1"/>
            <c:extLst>
              <c:ext xmlns:c15="http://schemas.microsoft.com/office/drawing/2012/chart" uri="{CE6537A1-D6FC-4f65-9D91-7224C49458BB}"/>
            </c:extLst>
          </c:dLbls>
          <c:cat>
            <c:strRef>
              <c:f>'70'!$B$15:$B$17</c:f>
              <c:strCache>
                <c:ptCount val="3"/>
                <c:pt idx="0">
                  <c:v>NO AMBULATORIAS  MAYORES</c:v>
                </c:pt>
                <c:pt idx="1">
                  <c:v>MAYOR AMBULATORIAS</c:v>
                </c:pt>
                <c:pt idx="2">
                  <c:v> MENORES</c:v>
                </c:pt>
              </c:strCache>
            </c:strRef>
          </c:cat>
          <c:val>
            <c:numRef>
              <c:f>'70'!$I$15:$I$17</c:f>
              <c:numCache>
                <c:formatCode>#,##0</c:formatCode>
                <c:ptCount val="3"/>
                <c:pt idx="0">
                  <c:v>10583</c:v>
                </c:pt>
                <c:pt idx="1">
                  <c:v>2109</c:v>
                </c:pt>
                <c:pt idx="2">
                  <c:v>8924</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0080C0">
            <a:gamma/>
            <a:tint val="0"/>
            <a:invGamma/>
          </a:srgbClr>
        </a:gs>
        <a:gs pos="100000">
          <a:srgbClr val="0080C0"/>
        </a:gs>
      </a:gsLst>
      <a:path path="rect">
        <a:fillToRect l="50000" t="50000" r="50000" b="50000"/>
      </a:path>
    </a:gradFill>
    <a:ln w="3175">
      <a:solidFill>
        <a:srgbClr val="000000"/>
      </a:solidFill>
      <a:prstDash val="solid"/>
    </a:ln>
    <a:effectLst>
      <a:outerShdw dist="35921" dir="2700000" algn="br">
        <a:srgbClr val="000000"/>
      </a:outerShdw>
    </a:effectLst>
  </c:spPr>
  <c:txPr>
    <a:bodyPr/>
    <a:lstStyle/>
    <a:p>
      <a:pPr>
        <a:defRPr sz="18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perspective val="0"/>
    </c:view3D>
    <c:floor>
      <c:thickness val="0"/>
    </c:floor>
    <c:sideWall>
      <c:thickness val="0"/>
    </c:sideWall>
    <c:backWall>
      <c:thickness val="0"/>
    </c:backWall>
    <c:plotArea>
      <c:layout>
        <c:manualLayout>
          <c:layoutTarget val="inner"/>
          <c:xMode val="edge"/>
          <c:yMode val="edge"/>
          <c:x val="0.22987012987012986"/>
          <c:y val="0.26685393258426982"/>
          <c:w val="0.54155844155844168"/>
          <c:h val="0.46629213483146065"/>
        </c:manualLayout>
      </c:layout>
      <c:pie3DChart>
        <c:varyColors val="1"/>
        <c:ser>
          <c:idx val="0"/>
          <c:order val="0"/>
          <c:tx>
            <c:v>Electivas</c:v>
          </c:tx>
          <c:spPr>
            <a:solidFill>
              <a:srgbClr val="FFFF00"/>
            </a:solidFill>
            <a:ln w="12700">
              <a:solidFill>
                <a:srgbClr val="000000"/>
              </a:solidFill>
              <a:prstDash val="solid"/>
            </a:ln>
          </c:spPr>
          <c:dPt>
            <c:idx val="0"/>
            <c:bubble3D val="0"/>
            <c:spPr>
              <a:solidFill>
                <a:srgbClr val="FF0000"/>
              </a:solidFill>
              <a:ln w="12700">
                <a:solidFill>
                  <a:srgbClr val="000000"/>
                </a:solidFill>
                <a:prstDash val="solid"/>
              </a:ln>
            </c:spPr>
          </c:dPt>
          <c:dLbls>
            <c:dLbl>
              <c:idx val="0"/>
              <c:layout>
                <c:manualLayout>
                  <c:x val="0.15036056856529986"/>
                  <c:y val="-0.3942425314813176"/>
                </c:manualLayout>
              </c:layout>
              <c:tx>
                <c:rich>
                  <a:bodyPr/>
                  <a:lstStyle/>
                  <a:p>
                    <a:pPr>
                      <a:defRPr sz="1050" b="1" i="0" u="none" strike="noStrike" baseline="0">
                        <a:solidFill>
                          <a:srgbClr val="FF0000"/>
                        </a:solidFill>
                        <a:latin typeface="Arial"/>
                        <a:ea typeface="Arial"/>
                        <a:cs typeface="Arial"/>
                      </a:defRPr>
                    </a:pPr>
                    <a:r>
                      <a:rPr lang="en-US"/>
                      <a:t>ELECTIVAS
83,9%</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2.9490677301700952E-2"/>
                  <c:y val="-0.12137308679111752"/>
                </c:manualLayout>
              </c:layout>
              <c:tx>
                <c:rich>
                  <a:bodyPr/>
                  <a:lstStyle/>
                  <a:p>
                    <a:pPr>
                      <a:defRPr sz="1200" b="1" i="0" u="none" strike="noStrike" baseline="0">
                        <a:solidFill>
                          <a:srgbClr val="FF0000"/>
                        </a:solidFill>
                        <a:latin typeface="Arial"/>
                        <a:ea typeface="Arial"/>
                        <a:cs typeface="Arial"/>
                      </a:defRPr>
                    </a:pPr>
                    <a:r>
                      <a:rPr lang="en-US"/>
                      <a:t>URGENCIAS
16,1%</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18"/>
              <c:layout>
                <c:manualLayout>
                  <c:xMode val="edge"/>
                  <c:yMode val="edge"/>
                  <c:x val="0.24025974025974026"/>
                  <c:y val="0.52808988764044962"/>
                </c:manualLayout>
              </c:layout>
              <c:tx>
                <c:rich>
                  <a:bodyPr/>
                  <a:lstStyle/>
                  <a:p>
                    <a:pPr>
                      <a:defRPr sz="1200" b="1" i="0" u="none" strike="noStrike" baseline="0">
                        <a:solidFill>
                          <a:srgbClr val="FF0000"/>
                        </a:solidFill>
                        <a:latin typeface="Arial"/>
                        <a:ea typeface="Arial"/>
                        <a:cs typeface="Arial"/>
                      </a:defRPr>
                    </a:pPr>
                    <a:r>
                      <a:t>URGENCIA
45%</a:t>
                    </a:r>
                  </a:p>
                </c:rich>
              </c:tx>
              <c:numFmt formatCode="0%" sourceLinked="0"/>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25"/>
              <c:layout>
                <c:manualLayout>
                  <c:xMode val="edge"/>
                  <c:yMode val="edge"/>
                  <c:x val="0.21948051948051947"/>
                  <c:y val="0.55617977528090001"/>
                </c:manualLayout>
              </c:layout>
              <c:tx>
                <c:rich>
                  <a:bodyPr/>
                  <a:lstStyle/>
                  <a:p>
                    <a:pPr>
                      <a:defRPr sz="1100" b="1" i="0" u="none" strike="noStrike" baseline="0">
                        <a:solidFill>
                          <a:srgbClr val="FF0000"/>
                        </a:solidFill>
                        <a:latin typeface="Arial"/>
                        <a:ea typeface="Arial"/>
                        <a:cs typeface="Arial"/>
                      </a:defRPr>
                    </a:pPr>
                    <a:r>
                      <a:t>CONSULTORIO
17%</a:t>
                    </a:r>
                  </a:p>
                </c:rich>
              </c:tx>
              <c:numFmt formatCode="0%" sourceLinked="0"/>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numFmt formatCode="0%" sourceLinked="0"/>
            <c:spPr>
              <a:solidFill>
                <a:srgbClr val="FFFFFF"/>
              </a:solidFill>
              <a:ln w="25400">
                <a:noFill/>
              </a:ln>
            </c:spPr>
            <c:txPr>
              <a:bodyPr/>
              <a:lstStyle/>
              <a:p>
                <a:pPr algn="ctr" rtl="1">
                  <a:defRPr sz="1200" b="1" i="0" u="none" strike="noStrike" baseline="0">
                    <a:solidFill>
                      <a:srgbClr val="FF0000"/>
                    </a:solidFill>
                    <a:latin typeface="Arial"/>
                    <a:ea typeface="Arial"/>
                    <a:cs typeface="Arial"/>
                  </a:defRPr>
                </a:pPr>
                <a:endParaRPr lang="es-CL"/>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('70'!$A$8,'70'!$A$12)</c:f>
              <c:strCache>
                <c:ptCount val="2"/>
                <c:pt idx="0">
                  <c:v> ELECTIVAS MAYORES</c:v>
                </c:pt>
                <c:pt idx="1">
                  <c:v>URGENCIAS</c:v>
                </c:pt>
              </c:strCache>
            </c:strRef>
          </c:cat>
          <c:val>
            <c:numRef>
              <c:f>'70'!$K$9:$K$11</c:f>
              <c:numCache>
                <c:formatCode>#,##0</c:formatCode>
                <c:ptCount val="3"/>
                <c:pt idx="0">
                  <c:v>7203</c:v>
                </c:pt>
                <c:pt idx="2">
                  <c:v>2074</c:v>
                </c:pt>
              </c:numCache>
            </c:numRef>
          </c:val>
        </c:ser>
        <c:ser>
          <c:idx val="1"/>
          <c:order val="1"/>
          <c:tx>
            <c:v>Urgencia</c:v>
          </c:tx>
          <c:spPr>
            <a:solidFill>
              <a:srgbClr val="802060"/>
            </a:solidFill>
            <a:ln w="12700">
              <a:solidFill>
                <a:srgbClr val="000000"/>
              </a:solidFill>
              <a:prstDash val="solid"/>
            </a:ln>
          </c:spPr>
          <c:dPt>
            <c:idx val="0"/>
            <c:bubble3D val="0"/>
            <c:spPr>
              <a:solidFill>
                <a:srgbClr val="8080FF"/>
              </a:solidFill>
              <a:ln w="12700">
                <a:solidFill>
                  <a:srgbClr val="000000"/>
                </a:solidFill>
                <a:prstDash val="solid"/>
              </a:ln>
            </c:spPr>
          </c:dPt>
          <c:dLbls>
            <c:numFmt formatCode="0%" sourceLinked="0"/>
            <c:spPr>
              <a:noFill/>
              <a:ln w="25400">
                <a:noFill/>
              </a:ln>
            </c:spPr>
            <c:txPr>
              <a:bodyPr/>
              <a:lstStyle/>
              <a:p>
                <a:pPr>
                  <a:defRPr sz="1875" b="0" i="0" u="none" strike="noStrike" baseline="0">
                    <a:solidFill>
                      <a:srgbClr val="000000"/>
                    </a:solidFill>
                    <a:latin typeface="Arial"/>
                    <a:ea typeface="Arial"/>
                    <a:cs typeface="Arial"/>
                  </a:defRPr>
                </a:pPr>
                <a:endParaRPr lang="es-CL"/>
              </a:p>
            </c:txPr>
            <c:showLegendKey val="0"/>
            <c:showVal val="0"/>
            <c:showCatName val="0"/>
            <c:showSerName val="0"/>
            <c:showPercent val="1"/>
            <c:showBubbleSize val="0"/>
            <c:showLeaderLines val="1"/>
            <c:extLst>
              <c:ext xmlns:c15="http://schemas.microsoft.com/office/drawing/2012/chart" uri="{CE6537A1-D6FC-4f65-9D91-7224C49458BB}"/>
            </c:extLst>
          </c:dLbls>
          <c:val>
            <c:numRef>
              <c:f>'70'!$K$13:$K$14</c:f>
              <c:numCache>
                <c:formatCode>#,##0</c:formatCode>
                <c:ptCount val="2"/>
                <c:pt idx="0">
                  <c:v>3415</c:v>
                </c:pt>
                <c:pt idx="1">
                  <c:v>8924</c:v>
                </c:pt>
              </c:numCache>
            </c:numRef>
          </c:val>
        </c:ser>
        <c:dLbls>
          <c:showLegendKey val="0"/>
          <c:showVal val="0"/>
          <c:showCatName val="0"/>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0080C0">
            <a:gamma/>
            <a:tint val="0"/>
            <a:invGamma/>
          </a:srgbClr>
        </a:gs>
        <a:gs pos="100000">
          <a:srgbClr val="0080C0"/>
        </a:gs>
      </a:gsLst>
      <a:path path="rect">
        <a:fillToRect l="50000" t="50000" r="50000" b="50000"/>
      </a:path>
    </a:gradFill>
    <a:ln w="3175">
      <a:solidFill>
        <a:srgbClr val="000000"/>
      </a:solidFill>
      <a:prstDash val="solid"/>
    </a:ln>
    <a:effectLst>
      <a:outerShdw dist="35921" dir="2700000" algn="br">
        <a:srgbClr val="000000"/>
      </a:outerShdw>
    </a:effectLst>
  </c:spPr>
  <c:txPr>
    <a:bodyPr/>
    <a:lstStyle/>
    <a:p>
      <a:pPr>
        <a:defRPr sz="18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6898360705188562"/>
          <c:y val="0.30894390705430996"/>
          <c:w val="0.46332104563958648"/>
          <c:h val="0.38482486668169508"/>
        </c:manualLayout>
      </c:layout>
      <c:pie3DChart>
        <c:varyColors val="0"/>
        <c:ser>
          <c:idx val="0"/>
          <c:order val="0"/>
          <c:spPr>
            <a:solidFill>
              <a:srgbClr val="FF0000"/>
            </a:solidFill>
            <a:ln w="12700">
              <a:solidFill>
                <a:srgbClr val="000000"/>
              </a:solidFill>
              <a:prstDash val="solid"/>
            </a:ln>
          </c:spPr>
          <c:dPt>
            <c:idx val="1"/>
            <c:bubble3D val="0"/>
            <c:spPr>
              <a:solidFill>
                <a:srgbClr val="FFFF00"/>
              </a:solidFill>
              <a:ln w="12700">
                <a:solidFill>
                  <a:srgbClr val="000000"/>
                </a:solidFill>
                <a:prstDash val="solid"/>
              </a:ln>
            </c:spPr>
          </c:dPt>
          <c:dPt>
            <c:idx val="2"/>
            <c:bubble3D val="0"/>
            <c:spPr>
              <a:solidFill>
                <a:srgbClr val="3366FF"/>
              </a:solidFill>
              <a:ln w="12700">
                <a:solidFill>
                  <a:srgbClr val="000000"/>
                </a:solidFill>
                <a:prstDash val="solid"/>
              </a:ln>
            </c:spPr>
          </c:dPt>
          <c:dLbls>
            <c:dLbl>
              <c:idx val="0"/>
              <c:layout>
                <c:manualLayout>
                  <c:x val="5.9762721857258158E-2"/>
                  <c:y val="-0.17909885132582842"/>
                </c:manualLayout>
              </c:layout>
              <c:tx>
                <c:rich>
                  <a:bodyPr/>
                  <a:lstStyle/>
                  <a:p>
                    <a:pPr>
                      <a:defRPr sz="800" b="1" i="0" u="none" strike="noStrike" baseline="0">
                        <a:solidFill>
                          <a:srgbClr val="FF0000"/>
                        </a:solidFill>
                        <a:latin typeface="Arial"/>
                        <a:ea typeface="Arial"/>
                        <a:cs typeface="Arial"/>
                      </a:defRPr>
                    </a:pPr>
                    <a:r>
                      <a:rPr lang="en-US"/>
                      <a:t>MAYOR  NO AMBULATORIAS
47,7%</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4.2898356568734405E-2"/>
                  <c:y val="0.10165526757965852"/>
                </c:manualLayout>
              </c:layout>
              <c:tx>
                <c:rich>
                  <a:bodyPr/>
                  <a:lstStyle/>
                  <a:p>
                    <a:pPr>
                      <a:defRPr sz="800" b="1" i="0" u="none" strike="noStrike" baseline="0">
                        <a:solidFill>
                          <a:srgbClr val="FF0000"/>
                        </a:solidFill>
                        <a:latin typeface="Arial"/>
                        <a:ea typeface="Arial"/>
                        <a:cs typeface="Arial"/>
                      </a:defRPr>
                    </a:pPr>
                    <a:r>
                      <a:rPr lang="en-US"/>
                      <a:t>MAYOR AMBULATORIAS
7,6%</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2"/>
              <c:layout>
                <c:manualLayout>
                  <c:x val="-9.3993287291149585E-2"/>
                  <c:y val="-0.19150753935700726"/>
                </c:manualLayout>
              </c:layout>
              <c:tx>
                <c:rich>
                  <a:bodyPr/>
                  <a:lstStyle/>
                  <a:p>
                    <a:pPr>
                      <a:defRPr sz="1850" b="0" i="0" u="none" strike="noStrike" baseline="0">
                        <a:solidFill>
                          <a:srgbClr val="000000"/>
                        </a:solidFill>
                        <a:latin typeface="Arial"/>
                        <a:ea typeface="Arial"/>
                        <a:cs typeface="Arial"/>
                      </a:defRPr>
                    </a:pPr>
                    <a:r>
                      <a:rPr lang="en-US" sz="1075" b="1" i="0" strike="noStrike">
                        <a:solidFill>
                          <a:srgbClr val="FF0000"/>
                        </a:solidFill>
                        <a:latin typeface="Arial"/>
                        <a:cs typeface="Arial"/>
                      </a:rPr>
                      <a:t> </a:t>
                    </a:r>
                    <a:r>
                      <a:rPr lang="en-US" sz="925" b="1" i="0" strike="noStrike">
                        <a:solidFill>
                          <a:srgbClr val="FF0000"/>
                        </a:solidFill>
                        <a:latin typeface="Arial"/>
                        <a:cs typeface="Arial"/>
                      </a:rPr>
                      <a:t>MENORES</a:t>
                    </a:r>
                  </a:p>
                  <a:p>
                    <a:pPr>
                      <a:defRPr sz="1850" b="0" i="0" u="none" strike="noStrike" baseline="0">
                        <a:solidFill>
                          <a:srgbClr val="000000"/>
                        </a:solidFill>
                        <a:latin typeface="Arial"/>
                        <a:ea typeface="Arial"/>
                        <a:cs typeface="Arial"/>
                      </a:defRPr>
                    </a:pPr>
                    <a:r>
                      <a:rPr lang="en-US" sz="925" b="1" i="0" strike="noStrike">
                        <a:solidFill>
                          <a:srgbClr val="FF0000"/>
                        </a:solidFill>
                        <a:latin typeface="Arial"/>
                        <a:cs typeface="Arial"/>
                      </a:rPr>
                      <a:t>44,7%</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numFmt formatCode="0%" sourceLinked="0"/>
            <c:spPr>
              <a:solidFill>
                <a:srgbClr val="C0C0C0"/>
              </a:solidFill>
              <a:ln w="25400">
                <a:noFill/>
              </a:ln>
            </c:spPr>
            <c:txPr>
              <a:bodyPr/>
              <a:lstStyle/>
              <a:p>
                <a:pPr algn="ctr" rtl="1">
                  <a:defRPr sz="1200" b="1" i="0" u="none" strike="noStrike" baseline="0">
                    <a:solidFill>
                      <a:srgbClr val="FF0000"/>
                    </a:solidFill>
                    <a:latin typeface="Arial"/>
                    <a:ea typeface="Arial"/>
                    <a:cs typeface="Arial"/>
                  </a:defRPr>
                </a:pPr>
                <a:endParaRPr lang="es-CL"/>
              </a:p>
            </c:txPr>
            <c:dLblPos val="ctr"/>
            <c:showLegendKey val="0"/>
            <c:showVal val="0"/>
            <c:showCatName val="1"/>
            <c:showSerName val="0"/>
            <c:showPercent val="1"/>
            <c:showBubbleSize val="0"/>
            <c:showLeaderLines val="1"/>
            <c:extLst>
              <c:ext xmlns:c15="http://schemas.microsoft.com/office/drawing/2012/chart" uri="{CE6537A1-D6FC-4f65-9D91-7224C49458BB}"/>
            </c:extLst>
          </c:dLbls>
          <c:cat>
            <c:strRef>
              <c:f>'70'!$B$15:$B$17</c:f>
              <c:strCache>
                <c:ptCount val="3"/>
                <c:pt idx="0">
                  <c:v>NO AMBULATORIAS  MAYORES</c:v>
                </c:pt>
                <c:pt idx="1">
                  <c:v>MAYOR AMBULATORIAS</c:v>
                </c:pt>
                <c:pt idx="2">
                  <c:v> MENORES</c:v>
                </c:pt>
              </c:strCache>
            </c:strRef>
          </c:cat>
          <c:val>
            <c:numRef>
              <c:f>'70'!$I$15:$I$17</c:f>
              <c:numCache>
                <c:formatCode>#,##0</c:formatCode>
                <c:ptCount val="3"/>
                <c:pt idx="0">
                  <c:v>10583</c:v>
                </c:pt>
                <c:pt idx="1">
                  <c:v>2109</c:v>
                </c:pt>
                <c:pt idx="2">
                  <c:v>8924</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0080C0">
            <a:gamma/>
            <a:tint val="0"/>
            <a:invGamma/>
          </a:srgbClr>
        </a:gs>
        <a:gs pos="100000">
          <a:srgbClr val="0080C0"/>
        </a:gs>
      </a:gsLst>
      <a:path path="rect">
        <a:fillToRect l="50000" t="50000" r="50000" b="50000"/>
      </a:path>
    </a:gradFill>
    <a:ln w="3175">
      <a:solidFill>
        <a:srgbClr val="000000"/>
      </a:solidFill>
      <a:prstDash val="solid"/>
    </a:ln>
    <a:effectLst>
      <a:outerShdw dist="35921" dir="2700000" algn="br">
        <a:srgbClr val="000000"/>
      </a:outerShdw>
    </a:effectLst>
  </c:spPr>
  <c:txPr>
    <a:bodyPr/>
    <a:lstStyle/>
    <a:p>
      <a:pPr>
        <a:defRPr sz="18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TENDENCIA DE INDICE  DE VEJEZ SERVICIO DE SALUD ACONCAGUA  2007 - 2013
</a:t>
            </a:r>
          </a:p>
        </c:rich>
      </c:tx>
      <c:layout>
        <c:manualLayout>
          <c:xMode val="edge"/>
          <c:yMode val="edge"/>
          <c:x val="0.14386817213886041"/>
          <c:y val="4.0723981900452524E-2"/>
        </c:manualLayout>
      </c:layout>
      <c:overlay val="0"/>
      <c:spPr>
        <a:noFill/>
        <a:ln w="25400">
          <a:noFill/>
        </a:ln>
      </c:spPr>
    </c:title>
    <c:autoTitleDeleted val="0"/>
    <c:plotArea>
      <c:layout>
        <c:manualLayout>
          <c:layoutTarget val="inner"/>
          <c:xMode val="edge"/>
          <c:yMode val="edge"/>
          <c:x val="0.11792466410472258"/>
          <c:y val="0.21719457013574661"/>
          <c:w val="0.87264251437495965"/>
          <c:h val="0.62895927601816104"/>
        </c:manualLayout>
      </c:layout>
      <c:lineChart>
        <c:grouping val="standard"/>
        <c:varyColors val="0"/>
        <c:ser>
          <c:idx val="0"/>
          <c:order val="0"/>
          <c:spPr>
            <a:ln w="38100">
              <a:solidFill>
                <a:srgbClr val="000080"/>
              </a:solidFill>
              <a:prstDash val="solid"/>
            </a:ln>
          </c:spPr>
          <c:marker>
            <c:symbol val="none"/>
          </c:marker>
          <c:cat>
            <c:numRef>
              <c:f>'12'!$B$6:$H$6</c:f>
              <c:numCache>
                <c:formatCode>General</c:formatCode>
                <c:ptCount val="7"/>
                <c:pt idx="0">
                  <c:v>2009</c:v>
                </c:pt>
                <c:pt idx="1">
                  <c:v>2010</c:v>
                </c:pt>
                <c:pt idx="2">
                  <c:v>2011</c:v>
                </c:pt>
                <c:pt idx="3">
                  <c:v>2012</c:v>
                </c:pt>
                <c:pt idx="4">
                  <c:v>2013</c:v>
                </c:pt>
                <c:pt idx="5">
                  <c:v>2014</c:v>
                </c:pt>
                <c:pt idx="6">
                  <c:v>2015</c:v>
                </c:pt>
              </c:numCache>
            </c:numRef>
          </c:cat>
          <c:val>
            <c:numRef>
              <c:f>'12'!$B$19:$H$19</c:f>
              <c:numCache>
                <c:formatCode>#,##0.00</c:formatCode>
                <c:ptCount val="7"/>
                <c:pt idx="0">
                  <c:v>40.153402061855672</c:v>
                </c:pt>
                <c:pt idx="1">
                  <c:v>42.073667581275465</c:v>
                </c:pt>
                <c:pt idx="2">
                  <c:v>44.064943074794556</c:v>
                </c:pt>
                <c:pt idx="3">
                  <c:v>46.06784759358289</c:v>
                </c:pt>
                <c:pt idx="4">
                  <c:v>48.08549127332418</c:v>
                </c:pt>
                <c:pt idx="5">
                  <c:v>50.115027455458346</c:v>
                </c:pt>
                <c:pt idx="6">
                  <c:v>52.144564522102144</c:v>
                </c:pt>
              </c:numCache>
            </c:numRef>
          </c:val>
          <c:smooth val="0"/>
        </c:ser>
        <c:dLbls>
          <c:showLegendKey val="0"/>
          <c:showVal val="0"/>
          <c:showCatName val="0"/>
          <c:showSerName val="0"/>
          <c:showPercent val="0"/>
          <c:showBubbleSize val="0"/>
        </c:dLbls>
        <c:smooth val="0"/>
        <c:axId val="294777008"/>
        <c:axId val="294776616"/>
      </c:lineChart>
      <c:catAx>
        <c:axId val="29477700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0/0</a:t>
                </a:r>
              </a:p>
            </c:rich>
          </c:tx>
          <c:layout>
            <c:manualLayout>
              <c:xMode val="edge"/>
              <c:yMode val="edge"/>
              <c:x val="3.0660377358490611E-2"/>
              <c:y val="5.882352941176470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25" b="1" i="1" u="none" strike="noStrike" baseline="0">
                <a:solidFill>
                  <a:srgbClr val="000080"/>
                </a:solidFill>
                <a:latin typeface="Arial"/>
                <a:ea typeface="Arial"/>
                <a:cs typeface="Arial"/>
              </a:defRPr>
            </a:pPr>
            <a:endParaRPr lang="es-CL"/>
          </a:p>
        </c:txPr>
        <c:crossAx val="294776616"/>
        <c:crosses val="autoZero"/>
        <c:auto val="1"/>
        <c:lblAlgn val="ctr"/>
        <c:lblOffset val="100"/>
        <c:tickLblSkip val="1"/>
        <c:tickMarkSkip val="1"/>
        <c:noMultiLvlLbl val="0"/>
      </c:catAx>
      <c:valAx>
        <c:axId val="294776616"/>
        <c:scaling>
          <c:orientation val="minMax"/>
          <c:max val="49"/>
          <c:min val="35"/>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925" b="1" i="1" u="none" strike="noStrike" baseline="0">
                <a:solidFill>
                  <a:srgbClr val="000080"/>
                </a:solidFill>
                <a:latin typeface="Arial"/>
                <a:ea typeface="Arial"/>
                <a:cs typeface="Arial"/>
              </a:defRPr>
            </a:pPr>
            <a:endParaRPr lang="es-CL"/>
          </a:p>
        </c:txPr>
        <c:crossAx val="294777008"/>
        <c:crosses val="autoZero"/>
        <c:crossBetween val="between"/>
        <c:majorUnit val="2"/>
      </c:valAx>
      <c:spPr>
        <a:noFill/>
        <a:ln w="25400">
          <a:noFill/>
        </a:ln>
      </c:spPr>
    </c:plotArea>
    <c:plotVisOnly val="1"/>
    <c:dispBlanksAs val="gap"/>
    <c:showDLblsOverMax val="0"/>
  </c:chart>
  <c:spPr>
    <a:solidFill>
      <a:srgbClr val="E3E3E3"/>
    </a:solidFill>
    <a:ln w="3175">
      <a:solidFill>
        <a:srgbClr val="000000"/>
      </a:solidFill>
      <a:prstDash val="solid"/>
    </a:ln>
    <a:effectLst>
      <a:outerShdw dist="35921" dir="2700000" algn="br">
        <a:srgbClr val="000000"/>
      </a:outerShdw>
    </a:effectLst>
  </c:spPr>
  <c:txPr>
    <a:bodyPr/>
    <a:lstStyle/>
    <a:p>
      <a:pPr>
        <a:defRPr sz="10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orientation="landscape" horizontalDpi="300" verticalDpi="300"/>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2"/>
      <c:rAngAx val="0"/>
      <c:perspective val="0"/>
    </c:view3D>
    <c:floor>
      <c:thickness val="0"/>
    </c:floor>
    <c:sideWall>
      <c:thickness val="0"/>
    </c:sideWall>
    <c:backWall>
      <c:thickness val="0"/>
    </c:backWall>
    <c:plotArea>
      <c:layout>
        <c:manualLayout>
          <c:layoutTarget val="inner"/>
          <c:xMode val="edge"/>
          <c:yMode val="edge"/>
          <c:x val="0.22987012987012986"/>
          <c:y val="0.26685393258426982"/>
          <c:w val="0.54155844155844168"/>
          <c:h val="0.46629213483146065"/>
        </c:manualLayout>
      </c:layout>
      <c:pie3DChart>
        <c:varyColors val="1"/>
        <c:ser>
          <c:idx val="0"/>
          <c:order val="0"/>
          <c:tx>
            <c:v>Electivas</c:v>
          </c:tx>
          <c:spPr>
            <a:solidFill>
              <a:srgbClr val="FFFF00"/>
            </a:solidFill>
            <a:ln w="12700">
              <a:solidFill>
                <a:srgbClr val="000000"/>
              </a:solidFill>
              <a:prstDash val="solid"/>
            </a:ln>
          </c:spPr>
          <c:dPt>
            <c:idx val="0"/>
            <c:bubble3D val="0"/>
            <c:spPr>
              <a:solidFill>
                <a:srgbClr val="FF0000"/>
              </a:solidFill>
              <a:ln w="12700">
                <a:solidFill>
                  <a:srgbClr val="000000"/>
                </a:solidFill>
                <a:prstDash val="solid"/>
              </a:ln>
            </c:spPr>
          </c:dPt>
          <c:dLbls>
            <c:dLbl>
              <c:idx val="0"/>
              <c:layout>
                <c:manualLayout>
                  <c:x val="0.33607622347336846"/>
                  <c:y val="0.34420280035296452"/>
                </c:manualLayout>
              </c:layout>
              <c:tx>
                <c:rich>
                  <a:bodyPr/>
                  <a:lstStyle/>
                  <a:p>
                    <a:r>
                      <a:rPr lang="es-ES"/>
                      <a:t>Electivas 77%</a:t>
                    </a:r>
                  </a:p>
                </c:rich>
              </c:tx>
              <c:dLblPos val="ctr"/>
              <c:showLegendKey val="0"/>
              <c:showVal val="0"/>
              <c:showCatName val="0"/>
              <c:showSerName val="0"/>
              <c:showPercent val="1"/>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layout>
                <c:manualLayout>
                  <c:x val="-0.28583802511910195"/>
                  <c:y val="-0.20652168021177672"/>
                </c:manualLayout>
              </c:layout>
              <c:tx>
                <c:rich>
                  <a:bodyPr/>
                  <a:lstStyle/>
                  <a:p>
                    <a:r>
                      <a:rPr lang="es-ES"/>
                      <a:t>Urgencias</a:t>
                    </a:r>
                  </a:p>
                  <a:p>
                    <a:r>
                      <a:rPr lang="es-ES"/>
                      <a:t>23%</a:t>
                    </a:r>
                  </a:p>
                </c:rich>
              </c:tx>
              <c:dLblPos val="ctr"/>
              <c:showLegendKey val="0"/>
              <c:showVal val="0"/>
              <c:showCatName val="0"/>
              <c:showSerName val="0"/>
              <c:showPercent val="1"/>
              <c:showBubbleSize val="0"/>
              <c:extLst>
                <c:ext xmlns:c15="http://schemas.microsoft.com/office/drawing/2012/chart" uri="{CE6537A1-D6FC-4f65-9D91-7224C49458BB}"/>
              </c:extLst>
            </c:dLbl>
            <c:dLbl>
              <c:idx val="25"/>
              <c:delete val="1"/>
              <c:extLst>
                <c:ext xmlns:c15="http://schemas.microsoft.com/office/drawing/2012/chart" uri="{CE6537A1-D6FC-4f65-9D91-7224C49458BB}"/>
              </c:extLst>
            </c:dLbl>
            <c:numFmt formatCode="0%" sourceLinked="0"/>
            <c:spPr>
              <a:solidFill>
                <a:srgbClr val="FFFFFF"/>
              </a:solidFill>
              <a:ln w="25400">
                <a:noFill/>
              </a:ln>
            </c:spPr>
            <c:txPr>
              <a:bodyPr/>
              <a:lstStyle/>
              <a:p>
                <a:pPr algn="ctr" rtl="1">
                  <a:defRPr sz="1200" b="1" i="0" u="none" strike="noStrike" baseline="0">
                    <a:solidFill>
                      <a:srgbClr val="FF0000"/>
                    </a:solidFill>
                    <a:latin typeface="Arial"/>
                    <a:ea typeface="Arial"/>
                    <a:cs typeface="Arial"/>
                  </a:defRPr>
                </a:pPr>
                <a:endParaRPr lang="es-CL"/>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('70'!$A$8,'70'!$A$12)</c:f>
              <c:strCache>
                <c:ptCount val="2"/>
                <c:pt idx="0">
                  <c:v> ELECTIVAS MAYORES</c:v>
                </c:pt>
                <c:pt idx="1">
                  <c:v>URGENCIAS</c:v>
                </c:pt>
              </c:strCache>
            </c:strRef>
          </c:cat>
          <c:val>
            <c:numRef>
              <c:f>'70'!$K$9:$K$11</c:f>
              <c:numCache>
                <c:formatCode>#,##0</c:formatCode>
                <c:ptCount val="3"/>
                <c:pt idx="0">
                  <c:v>7203</c:v>
                </c:pt>
                <c:pt idx="2">
                  <c:v>2074</c:v>
                </c:pt>
              </c:numCache>
            </c:numRef>
          </c:val>
        </c:ser>
        <c:ser>
          <c:idx val="1"/>
          <c:order val="1"/>
          <c:tx>
            <c:v>Urgencia</c:v>
          </c:tx>
          <c:spPr>
            <a:solidFill>
              <a:srgbClr val="802060"/>
            </a:solidFill>
            <a:ln w="12700">
              <a:solidFill>
                <a:srgbClr val="000000"/>
              </a:solidFill>
              <a:prstDash val="solid"/>
            </a:ln>
          </c:spPr>
          <c:dPt>
            <c:idx val="0"/>
            <c:bubble3D val="0"/>
            <c:spPr>
              <a:solidFill>
                <a:srgbClr val="8080FF"/>
              </a:solidFill>
              <a:ln w="12700">
                <a:solidFill>
                  <a:srgbClr val="000000"/>
                </a:solidFill>
                <a:prstDash val="solid"/>
              </a:ln>
            </c:spPr>
          </c:dPt>
          <c:dLbls>
            <c:numFmt formatCode="0%" sourceLinked="0"/>
            <c:spPr>
              <a:solidFill>
                <a:srgbClr val="FFFFFF"/>
              </a:solidFill>
              <a:ln w="3175">
                <a:solidFill>
                  <a:srgbClr val="000000"/>
                </a:solidFill>
                <a:prstDash val="solid"/>
              </a:ln>
            </c:spPr>
            <c:txPr>
              <a:bodyPr/>
              <a:lstStyle/>
              <a:p>
                <a:pPr>
                  <a:defRPr sz="1875" b="0" i="0" u="none" strike="noStrike" baseline="0">
                    <a:solidFill>
                      <a:srgbClr val="000000"/>
                    </a:solidFill>
                    <a:latin typeface="Arial"/>
                    <a:ea typeface="Arial"/>
                    <a:cs typeface="Arial"/>
                  </a:defRPr>
                </a:pPr>
                <a:endParaRPr lang="es-CL"/>
              </a:p>
            </c:txPr>
            <c:showLegendKey val="0"/>
            <c:showVal val="0"/>
            <c:showCatName val="0"/>
            <c:showSerName val="0"/>
            <c:showPercent val="1"/>
            <c:showBubbleSize val="0"/>
            <c:showLeaderLines val="1"/>
            <c:extLst>
              <c:ext xmlns:c15="http://schemas.microsoft.com/office/drawing/2012/chart" uri="{CE6537A1-D6FC-4f65-9D91-7224C49458BB}"/>
            </c:extLst>
          </c:dLbls>
          <c:val>
            <c:numRef>
              <c:f>'70'!$K$13:$K$14</c:f>
              <c:numCache>
                <c:formatCode>#,##0</c:formatCode>
                <c:ptCount val="2"/>
                <c:pt idx="0">
                  <c:v>3415</c:v>
                </c:pt>
                <c:pt idx="1">
                  <c:v>8924</c:v>
                </c:pt>
              </c:numCache>
            </c:numRef>
          </c:val>
        </c:ser>
        <c:dLbls>
          <c:showLegendKey val="0"/>
          <c:showVal val="0"/>
          <c:showCatName val="0"/>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0080C0">
            <a:gamma/>
            <a:tint val="0"/>
            <a:invGamma/>
          </a:srgbClr>
        </a:gs>
        <a:gs pos="100000">
          <a:srgbClr val="0080C0"/>
        </a:gs>
      </a:gsLst>
      <a:path path="rect">
        <a:fillToRect l="50000" t="50000" r="50000" b="50000"/>
      </a:path>
    </a:gradFill>
    <a:ln w="3175">
      <a:solidFill>
        <a:srgbClr val="000000"/>
      </a:solidFill>
      <a:prstDash val="solid"/>
    </a:ln>
    <a:effectLst>
      <a:outerShdw dist="35921" dir="2700000" algn="br">
        <a:srgbClr val="000000"/>
      </a:outerShdw>
    </a:effectLst>
  </c:spPr>
  <c:txPr>
    <a:bodyPr/>
    <a:lstStyle/>
    <a:p>
      <a:pPr>
        <a:defRPr sz="1875" b="0" i="0" u="none" strike="noStrike" baseline="0">
          <a:solidFill>
            <a:srgbClr val="000000"/>
          </a:solidFill>
          <a:latin typeface="Arial"/>
          <a:ea typeface="Arial"/>
          <a:cs typeface="Aria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80"/>
                </a:solidFill>
                <a:latin typeface="Arial"/>
                <a:ea typeface="Arial"/>
                <a:cs typeface="Arial"/>
              </a:defRPr>
            </a:pPr>
            <a:r>
              <a:rPr lang="es-ES"/>
              <a:t>PERFIL DE INT. QUIR. MAYORES 
ELECTIVAS Y URGENCIA</a:t>
            </a:r>
          </a:p>
        </c:rich>
      </c:tx>
      <c:layout>
        <c:manualLayout>
          <c:xMode val="edge"/>
          <c:yMode val="edge"/>
          <c:x val="0.26888958880139985"/>
          <c:y val="4.2194092827004523E-2"/>
        </c:manualLayout>
      </c:layout>
      <c:overlay val="0"/>
      <c:spPr>
        <a:gradFill rotWithShape="0">
          <a:gsLst>
            <a:gs pos="0">
              <a:srgbClr val="C0C0C0"/>
            </a:gs>
            <a:gs pos="100000">
              <a:srgbClr val="C0C0C0">
                <a:gamma/>
                <a:tint val="0"/>
                <a:invGamma/>
              </a:srgbClr>
            </a:gs>
          </a:gsLst>
          <a:lin ang="5400000" scaled="1"/>
        </a:gradFill>
        <a:ln w="25400">
          <a:noFill/>
        </a:ln>
      </c:spPr>
    </c:title>
    <c:autoTitleDeleted val="0"/>
    <c:plotArea>
      <c:layout>
        <c:manualLayout>
          <c:layoutTarget val="inner"/>
          <c:xMode val="edge"/>
          <c:yMode val="edge"/>
          <c:x val="0.12666694155152294"/>
          <c:y val="0.24050732012840362"/>
          <c:w val="0.84222404996538625"/>
          <c:h val="0.61603629366220691"/>
        </c:manualLayout>
      </c:layout>
      <c:lineChart>
        <c:grouping val="standard"/>
        <c:varyColors val="0"/>
        <c:ser>
          <c:idx val="0"/>
          <c:order val="0"/>
          <c:spPr>
            <a:ln w="38100">
              <a:solidFill>
                <a:srgbClr val="000080"/>
              </a:solidFill>
              <a:prstDash val="solid"/>
            </a:ln>
          </c:spPr>
          <c:marker>
            <c:symbol val="none"/>
          </c:marker>
          <c:cat>
            <c:numRef>
              <c:f>'71'!$A$10:$A$19</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'71'!$H$10:$H$19</c:f>
              <c:numCache>
                <c:formatCode>#,##0</c:formatCode>
                <c:ptCount val="10"/>
                <c:pt idx="0">
                  <c:v>7080</c:v>
                </c:pt>
                <c:pt idx="1">
                  <c:v>7032</c:v>
                </c:pt>
                <c:pt idx="2">
                  <c:v>7303</c:v>
                </c:pt>
                <c:pt idx="3">
                  <c:v>7006</c:v>
                </c:pt>
                <c:pt idx="4">
                  <c:v>7175</c:v>
                </c:pt>
                <c:pt idx="5">
                  <c:v>8974</c:v>
                </c:pt>
                <c:pt idx="6">
                  <c:v>9300</c:v>
                </c:pt>
                <c:pt idx="7">
                  <c:v>9244</c:v>
                </c:pt>
                <c:pt idx="8">
                  <c:v>9546</c:v>
                </c:pt>
                <c:pt idx="9">
                  <c:v>9277</c:v>
                </c:pt>
              </c:numCache>
            </c:numRef>
          </c:val>
          <c:smooth val="0"/>
        </c:ser>
        <c:ser>
          <c:idx val="1"/>
          <c:order val="1"/>
          <c:spPr>
            <a:ln w="38100">
              <a:solidFill>
                <a:srgbClr val="FF0000"/>
              </a:solidFill>
              <a:prstDash val="solid"/>
            </a:ln>
          </c:spPr>
          <c:marker>
            <c:symbol val="none"/>
          </c:marker>
          <c:cat>
            <c:numRef>
              <c:f>'71'!$A$10:$A$19</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'71'!$I$10:$I$19</c:f>
              <c:numCache>
                <c:formatCode>#,##0</c:formatCode>
                <c:ptCount val="10"/>
                <c:pt idx="0">
                  <c:v>2345</c:v>
                </c:pt>
                <c:pt idx="1">
                  <c:v>2575</c:v>
                </c:pt>
                <c:pt idx="2">
                  <c:v>2678</c:v>
                </c:pt>
                <c:pt idx="3">
                  <c:v>2858</c:v>
                </c:pt>
                <c:pt idx="4">
                  <c:v>2865</c:v>
                </c:pt>
                <c:pt idx="5">
                  <c:v>3294</c:v>
                </c:pt>
                <c:pt idx="6">
                  <c:v>3296</c:v>
                </c:pt>
                <c:pt idx="7">
                  <c:v>3303</c:v>
                </c:pt>
                <c:pt idx="8">
                  <c:v>3419</c:v>
                </c:pt>
                <c:pt idx="9">
                  <c:v>3415</c:v>
                </c:pt>
              </c:numCache>
            </c:numRef>
          </c:val>
          <c:smooth val="0"/>
        </c:ser>
        <c:dLbls>
          <c:showLegendKey val="0"/>
          <c:showVal val="0"/>
          <c:showCatName val="0"/>
          <c:showSerName val="0"/>
          <c:showPercent val="0"/>
          <c:showBubbleSize val="0"/>
        </c:dLbls>
        <c:smooth val="0"/>
        <c:axId val="341512832"/>
        <c:axId val="341513224"/>
      </c:lineChart>
      <c:catAx>
        <c:axId val="341512832"/>
        <c:scaling>
          <c:orientation val="minMax"/>
        </c:scaling>
        <c:delete val="0"/>
        <c:axPos val="b"/>
        <c:title>
          <c:tx>
            <c:rich>
              <a:bodyPr/>
              <a:lstStyle/>
              <a:p>
                <a:pPr>
                  <a:defRPr sz="675" b="1" i="0" u="none" strike="noStrike" baseline="0">
                    <a:solidFill>
                      <a:srgbClr val="000000"/>
                    </a:solidFill>
                    <a:latin typeface="Arial"/>
                    <a:ea typeface="Arial"/>
                    <a:cs typeface="Arial"/>
                  </a:defRPr>
                </a:pPr>
                <a:r>
                  <a:rPr lang="es-ES"/>
                  <a:t>Numero</a:t>
                </a:r>
              </a:p>
            </c:rich>
          </c:tx>
          <c:layout>
            <c:manualLayout>
              <c:xMode val="edge"/>
              <c:yMode val="edge"/>
              <c:x val="5.1111111111111114E-2"/>
              <c:y val="0.126582721463607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1" i="1" u="none" strike="noStrike" baseline="0">
                <a:solidFill>
                  <a:srgbClr val="000000"/>
                </a:solidFill>
                <a:latin typeface="Arial"/>
                <a:ea typeface="Arial"/>
                <a:cs typeface="Arial"/>
              </a:defRPr>
            </a:pPr>
            <a:endParaRPr lang="es-CL"/>
          </a:p>
        </c:txPr>
        <c:crossAx val="341513224"/>
        <c:crosses val="autoZero"/>
        <c:auto val="1"/>
        <c:lblAlgn val="ctr"/>
        <c:lblOffset val="100"/>
        <c:tickLblSkip val="1"/>
        <c:tickMarkSkip val="1"/>
        <c:noMultiLvlLbl val="0"/>
      </c:catAx>
      <c:valAx>
        <c:axId val="341513224"/>
        <c:scaling>
          <c:orientation val="minMax"/>
          <c:min val="1000"/>
        </c:scaling>
        <c:delete val="0"/>
        <c:axPos val="l"/>
        <c:majorGridlines>
          <c:spPr>
            <a:ln w="12700">
              <a:solidFill>
                <a:srgbClr val="FF0000"/>
              </a:solidFill>
              <a:prstDash val="solid"/>
            </a:ln>
          </c:spPr>
        </c:majorGridlines>
        <c:numFmt formatCode="#,##0" sourceLinked="1"/>
        <c:majorTickMark val="out"/>
        <c:minorTickMark val="none"/>
        <c:tickLblPos val="nextTo"/>
        <c:spPr>
          <a:ln w="9525">
            <a:noFill/>
          </a:ln>
        </c:spPr>
        <c:txPr>
          <a:bodyPr rot="0" vert="horz"/>
          <a:lstStyle/>
          <a:p>
            <a:pPr>
              <a:defRPr sz="900" b="1" i="1" u="none" strike="noStrike" baseline="0">
                <a:solidFill>
                  <a:srgbClr val="000000"/>
                </a:solidFill>
                <a:latin typeface="Arial"/>
                <a:ea typeface="Arial"/>
                <a:cs typeface="Arial"/>
              </a:defRPr>
            </a:pPr>
            <a:endParaRPr lang="es-CL"/>
          </a:p>
        </c:txPr>
        <c:crossAx val="341512832"/>
        <c:crosses val="autoZero"/>
        <c:crossBetween val="between"/>
      </c:valAx>
      <c:spPr>
        <a:noFill/>
        <a:ln w="25400">
          <a:noFill/>
        </a:ln>
      </c:spPr>
    </c:plotArea>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9" orientation="landscape" horizontalDpi="300" verticalDpi="300" copies="0"/>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80"/>
                </a:solidFill>
                <a:latin typeface="Arial"/>
                <a:ea typeface="Arial"/>
                <a:cs typeface="Arial"/>
              </a:defRPr>
            </a:pPr>
            <a:r>
              <a:rPr lang="es-ES"/>
              <a:t>TASA INT. QUIR. MAYORES  HABITANTE/AÑO</a:t>
            </a:r>
          </a:p>
        </c:rich>
      </c:tx>
      <c:layout>
        <c:manualLayout>
          <c:xMode val="edge"/>
          <c:yMode val="edge"/>
          <c:x val="0.18181841460504841"/>
          <c:y val="4.2016806722689079E-2"/>
        </c:manualLayout>
      </c:layout>
      <c:overlay val="0"/>
      <c:spPr>
        <a:noFill/>
        <a:ln w="25400">
          <a:noFill/>
        </a:ln>
      </c:spPr>
    </c:title>
    <c:autoTitleDeleted val="0"/>
    <c:plotArea>
      <c:layout>
        <c:manualLayout>
          <c:layoutTarget val="inner"/>
          <c:xMode val="edge"/>
          <c:yMode val="edge"/>
          <c:x val="8.2040000129919757E-2"/>
          <c:y val="0.24369797896283121"/>
          <c:w val="0.88691892032345687"/>
          <c:h val="0.60924494740710455"/>
        </c:manualLayout>
      </c:layout>
      <c:lineChart>
        <c:grouping val="standard"/>
        <c:varyColors val="0"/>
        <c:ser>
          <c:idx val="0"/>
          <c:order val="0"/>
          <c:spPr>
            <a:ln w="38100">
              <a:solidFill>
                <a:srgbClr val="000080"/>
              </a:solidFill>
              <a:prstDash val="solid"/>
            </a:ln>
          </c:spPr>
          <c:marker>
            <c:symbol val="none"/>
          </c:marker>
          <c:cat>
            <c:numRef>
              <c:f>'71'!$A$10:$A$19</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'71'!$N$10:$N$19</c:f>
              <c:numCache>
                <c:formatCode>General</c:formatCode>
                <c:ptCount val="10"/>
                <c:pt idx="0">
                  <c:v>2.8466431322724093</c:v>
                </c:pt>
                <c:pt idx="1">
                  <c:v>2.7904097521487583</c:v>
                </c:pt>
                <c:pt idx="2">
                  <c:v>2.8604889818492318</c:v>
                </c:pt>
                <c:pt idx="3">
                  <c:v>2.7094758173675624</c:v>
                </c:pt>
                <c:pt idx="4">
                  <c:v>2.739741719679555</c:v>
                </c:pt>
                <c:pt idx="5">
                  <c:v>3.3876678922771442</c:v>
                </c:pt>
                <c:pt idx="6">
                  <c:v>3.4712890799964167</c:v>
                </c:pt>
                <c:pt idx="7">
                  <c:v>3.411737350847214</c:v>
                </c:pt>
                <c:pt idx="8">
                  <c:v>3.4843485370554226</c:v>
                </c:pt>
                <c:pt idx="9">
                  <c:v>3.3492788418145389</c:v>
                </c:pt>
              </c:numCache>
            </c:numRef>
          </c:val>
          <c:smooth val="0"/>
        </c:ser>
        <c:ser>
          <c:idx val="1"/>
          <c:order val="1"/>
          <c:spPr>
            <a:ln w="38100">
              <a:solidFill>
                <a:srgbClr val="FF0000"/>
              </a:solidFill>
              <a:prstDash val="solid"/>
            </a:ln>
          </c:spPr>
          <c:marker>
            <c:symbol val="none"/>
          </c:marker>
          <c:cat>
            <c:numRef>
              <c:f>'71'!$A$10:$A$19</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'71'!$O$10:$O$19</c:f>
              <c:numCache>
                <c:formatCode>General</c:formatCode>
                <c:ptCount val="10"/>
                <c:pt idx="0">
                  <c:v>0.94285002050548028</c:v>
                </c:pt>
                <c:pt idx="1">
                  <c:v>1.0218010682285343</c:v>
                </c:pt>
                <c:pt idx="2">
                  <c:v>1.0489373536070441</c:v>
                </c:pt>
                <c:pt idx="3">
                  <c:v>1.1052928755404641</c:v>
                </c:pt>
                <c:pt idx="4">
                  <c:v>1.093987460192603</c:v>
                </c:pt>
                <c:pt idx="5">
                  <c:v>1.243478720432462</c:v>
                </c:pt>
                <c:pt idx="6">
                  <c:v>1.2302547105019559</c:v>
                </c:pt>
                <c:pt idx="7">
                  <c:v>1.2190576016711756</c:v>
                </c:pt>
                <c:pt idx="8" formatCode="0.000">
                  <c:v>1.247955965660223</c:v>
                </c:pt>
                <c:pt idx="9">
                  <c:v>1.232918750112822</c:v>
                </c:pt>
              </c:numCache>
            </c:numRef>
          </c:val>
          <c:smooth val="0"/>
        </c:ser>
        <c:dLbls>
          <c:showLegendKey val="0"/>
          <c:showVal val="0"/>
          <c:showCatName val="0"/>
          <c:showSerName val="0"/>
          <c:showPercent val="0"/>
          <c:showBubbleSize val="0"/>
        </c:dLbls>
        <c:smooth val="0"/>
        <c:axId val="341514008"/>
        <c:axId val="341514400"/>
      </c:lineChart>
      <c:catAx>
        <c:axId val="34151400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a:t>
                </a:r>
              </a:p>
            </c:rich>
          </c:tx>
          <c:layout>
            <c:manualLayout>
              <c:xMode val="edge"/>
              <c:yMode val="edge"/>
              <c:x val="3.1042128603105092E-2"/>
              <c:y val="0.1134458192725909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1" i="1" u="none" strike="noStrike" baseline="0">
                <a:solidFill>
                  <a:srgbClr val="000000"/>
                </a:solidFill>
                <a:latin typeface="Arial"/>
                <a:ea typeface="Arial"/>
                <a:cs typeface="Arial"/>
              </a:defRPr>
            </a:pPr>
            <a:endParaRPr lang="es-CL"/>
          </a:p>
        </c:txPr>
        <c:crossAx val="341514400"/>
        <c:crosses val="autoZero"/>
        <c:auto val="1"/>
        <c:lblAlgn val="ctr"/>
        <c:lblOffset val="100"/>
        <c:tickLblSkip val="1"/>
        <c:tickMarkSkip val="1"/>
        <c:noMultiLvlLbl val="0"/>
      </c:catAx>
      <c:valAx>
        <c:axId val="341514400"/>
        <c:scaling>
          <c:orientation val="minMax"/>
          <c:min val="0.5"/>
        </c:scaling>
        <c:delete val="0"/>
        <c:axPos val="l"/>
        <c:majorGridlines>
          <c:spPr>
            <a:ln w="12700">
              <a:solidFill>
                <a:srgbClr val="FF0000"/>
              </a:solidFill>
              <a:prstDash val="solid"/>
            </a:ln>
          </c:spPr>
        </c:majorGridlines>
        <c:numFmt formatCode="General" sourceLinked="1"/>
        <c:majorTickMark val="out"/>
        <c:minorTickMark val="none"/>
        <c:tickLblPos val="nextTo"/>
        <c:spPr>
          <a:ln w="9525">
            <a:noFill/>
          </a:ln>
        </c:spPr>
        <c:txPr>
          <a:bodyPr rot="0" vert="horz"/>
          <a:lstStyle/>
          <a:p>
            <a:pPr>
              <a:defRPr sz="1000" b="1" i="1" u="none" strike="noStrike" baseline="0">
                <a:solidFill>
                  <a:srgbClr val="000000"/>
                </a:solidFill>
                <a:latin typeface="Arial"/>
                <a:ea typeface="Arial"/>
                <a:cs typeface="Arial"/>
              </a:defRPr>
            </a:pPr>
            <a:endParaRPr lang="es-CL"/>
          </a:p>
        </c:txPr>
        <c:crossAx val="341514008"/>
        <c:crosses val="autoZero"/>
        <c:crossBetween val="between"/>
      </c:valAx>
      <c:spPr>
        <a:noFill/>
        <a:ln w="25400">
          <a:noFill/>
        </a:ln>
      </c:spPr>
    </c:plotArea>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304" orientation="landscape" horizontalDpi="300" verticalDpi="300"/>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80"/>
                </a:solidFill>
                <a:latin typeface="Arial"/>
                <a:ea typeface="Arial"/>
                <a:cs typeface="Arial"/>
              </a:defRPr>
            </a:pPr>
            <a:r>
              <a:rPr lang="es-ES"/>
              <a:t>TASA INT. QUIR. MAYORES  HABITANTE/AÑO
HOSPITAL SAN  FELIPE</a:t>
            </a:r>
          </a:p>
        </c:rich>
      </c:tx>
      <c:layout>
        <c:manualLayout>
          <c:xMode val="edge"/>
          <c:yMode val="edge"/>
          <c:x val="0.18181841460504841"/>
          <c:y val="4.2016806722689079E-2"/>
        </c:manualLayout>
      </c:layout>
      <c:overlay val="0"/>
      <c:spPr>
        <a:noFill/>
        <a:ln w="25400">
          <a:noFill/>
        </a:ln>
      </c:spPr>
    </c:title>
    <c:autoTitleDeleted val="0"/>
    <c:plotArea>
      <c:layout>
        <c:manualLayout>
          <c:layoutTarget val="inner"/>
          <c:xMode val="edge"/>
          <c:yMode val="edge"/>
          <c:x val="8.2040000129919757E-2"/>
          <c:y val="0.24369797896283121"/>
          <c:w val="0.88691892032345687"/>
          <c:h val="0.60924494740710455"/>
        </c:manualLayout>
      </c:layout>
      <c:lineChart>
        <c:grouping val="standard"/>
        <c:varyColors val="0"/>
        <c:ser>
          <c:idx val="0"/>
          <c:order val="0"/>
          <c:spPr>
            <a:ln w="38100">
              <a:solidFill>
                <a:srgbClr val="000080"/>
              </a:solidFill>
              <a:prstDash val="solid"/>
            </a:ln>
          </c:spPr>
          <c:marker>
            <c:symbol val="none"/>
          </c:marker>
          <c:cat>
            <c:numRef>
              <c:f>'71'!$A$10:$A$19</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'71'!$Q$10:$Q$19</c:f>
              <c:numCache>
                <c:formatCode>General</c:formatCode>
                <c:ptCount val="10"/>
                <c:pt idx="0">
                  <c:v>3.5918830396516075</c:v>
                </c:pt>
                <c:pt idx="1">
                  <c:v>3.4025150987171728</c:v>
                </c:pt>
                <c:pt idx="2">
                  <c:v>3.6144148959864584</c:v>
                </c:pt>
                <c:pt idx="3">
                  <c:v>3.6825675972741263</c:v>
                </c:pt>
                <c:pt idx="4">
                  <c:v>3.1969653568049443</c:v>
                </c:pt>
                <c:pt idx="5">
                  <c:v>4.0959700801180325</c:v>
                </c:pt>
                <c:pt idx="6">
                  <c:v>4.4341030074933032</c:v>
                </c:pt>
                <c:pt idx="7">
                  <c:v>4.4365683834803811</c:v>
                </c:pt>
                <c:pt idx="8">
                  <c:v>4.6935175292568392</c:v>
                </c:pt>
                <c:pt idx="9">
                  <c:v>4.7084449030060354</c:v>
                </c:pt>
              </c:numCache>
            </c:numRef>
          </c:val>
          <c:smooth val="0"/>
        </c:ser>
        <c:ser>
          <c:idx val="1"/>
          <c:order val="1"/>
          <c:spPr>
            <a:ln w="38100">
              <a:solidFill>
                <a:srgbClr val="FF0000"/>
              </a:solidFill>
              <a:prstDash val="solid"/>
            </a:ln>
          </c:spPr>
          <c:marker>
            <c:symbol val="none"/>
          </c:marker>
          <c:cat>
            <c:numRef>
              <c:f>'71'!$A$10:$A$19</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'71'!$R$10:$R$19</c:f>
              <c:numCache>
                <c:formatCode>General</c:formatCode>
                <c:ptCount val="10"/>
                <c:pt idx="0">
                  <c:v>1.1289820863296189</c:v>
                </c:pt>
                <c:pt idx="1">
                  <c:v>1.409213602838288</c:v>
                </c:pt>
                <c:pt idx="2">
                  <c:v>1.4664350305136087</c:v>
                </c:pt>
                <c:pt idx="3">
                  <c:v>1.5045064849417455</c:v>
                </c:pt>
                <c:pt idx="4">
                  <c:v>1.2204543284463079</c:v>
                </c:pt>
                <c:pt idx="5">
                  <c:v>1.2686784813601195</c:v>
                </c:pt>
                <c:pt idx="6">
                  <c:v>1.2002848133455397</c:v>
                </c:pt>
                <c:pt idx="7">
                  <c:v>1.3020636955483498</c:v>
                </c:pt>
                <c:pt idx="8">
                  <c:v>1.2472979352498323</c:v>
                </c:pt>
                <c:pt idx="9">
                  <c:v>1.0268504188468812</c:v>
                </c:pt>
              </c:numCache>
            </c:numRef>
          </c:val>
          <c:smooth val="0"/>
        </c:ser>
        <c:dLbls>
          <c:showLegendKey val="0"/>
          <c:showVal val="0"/>
          <c:showCatName val="0"/>
          <c:showSerName val="0"/>
          <c:showPercent val="0"/>
          <c:showBubbleSize val="0"/>
        </c:dLbls>
        <c:smooth val="0"/>
        <c:axId val="341515184"/>
        <c:axId val="341515576"/>
      </c:lineChart>
      <c:catAx>
        <c:axId val="34151518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a:t>
                </a:r>
              </a:p>
            </c:rich>
          </c:tx>
          <c:layout>
            <c:manualLayout>
              <c:xMode val="edge"/>
              <c:yMode val="edge"/>
              <c:x val="3.1042128603105092E-2"/>
              <c:y val="0.1134458192725909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1" i="1" u="none" strike="noStrike" baseline="0">
                <a:solidFill>
                  <a:srgbClr val="000000"/>
                </a:solidFill>
                <a:latin typeface="Arial"/>
                <a:ea typeface="Arial"/>
                <a:cs typeface="Arial"/>
              </a:defRPr>
            </a:pPr>
            <a:endParaRPr lang="es-CL"/>
          </a:p>
        </c:txPr>
        <c:crossAx val="341515576"/>
        <c:crosses val="autoZero"/>
        <c:auto val="1"/>
        <c:lblAlgn val="ctr"/>
        <c:lblOffset val="100"/>
        <c:tickLblSkip val="1"/>
        <c:tickMarkSkip val="1"/>
        <c:noMultiLvlLbl val="0"/>
      </c:catAx>
      <c:valAx>
        <c:axId val="341515576"/>
        <c:scaling>
          <c:orientation val="minMax"/>
          <c:min val="0.5"/>
        </c:scaling>
        <c:delete val="0"/>
        <c:axPos val="l"/>
        <c:majorGridlines>
          <c:spPr>
            <a:ln w="12700">
              <a:solidFill>
                <a:srgbClr val="FF0000"/>
              </a:solidFill>
              <a:prstDash val="solid"/>
            </a:ln>
          </c:spPr>
        </c:majorGridlines>
        <c:numFmt formatCode="General" sourceLinked="1"/>
        <c:majorTickMark val="out"/>
        <c:minorTickMark val="none"/>
        <c:tickLblPos val="nextTo"/>
        <c:spPr>
          <a:ln w="9525">
            <a:noFill/>
          </a:ln>
        </c:spPr>
        <c:txPr>
          <a:bodyPr rot="0" vert="horz"/>
          <a:lstStyle/>
          <a:p>
            <a:pPr>
              <a:defRPr sz="1000" b="1" i="1" u="none" strike="noStrike" baseline="0">
                <a:solidFill>
                  <a:srgbClr val="000000"/>
                </a:solidFill>
                <a:latin typeface="Arial"/>
                <a:ea typeface="Arial"/>
                <a:cs typeface="Arial"/>
              </a:defRPr>
            </a:pPr>
            <a:endParaRPr lang="es-CL"/>
          </a:p>
        </c:txPr>
        <c:crossAx val="341515184"/>
        <c:crosses val="autoZero"/>
        <c:crossBetween val="between"/>
      </c:valAx>
      <c:spPr>
        <a:noFill/>
        <a:ln w="25400">
          <a:noFill/>
        </a:ln>
      </c:spPr>
    </c:plotArea>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80"/>
                </a:solidFill>
                <a:latin typeface="Arial"/>
                <a:ea typeface="Arial"/>
                <a:cs typeface="Arial"/>
              </a:defRPr>
            </a:pPr>
            <a:r>
              <a:rPr lang="es-ES"/>
              <a:t>TASA INT. QUIR. MAYORES  HABITANTE/AÑO
HOSPITAL LOS  ANDES</a:t>
            </a:r>
          </a:p>
        </c:rich>
      </c:tx>
      <c:layout>
        <c:manualLayout>
          <c:xMode val="edge"/>
          <c:yMode val="edge"/>
          <c:x val="0.18181841460504841"/>
          <c:y val="4.2016806722689079E-2"/>
        </c:manualLayout>
      </c:layout>
      <c:overlay val="0"/>
      <c:spPr>
        <a:noFill/>
        <a:ln w="25400">
          <a:noFill/>
        </a:ln>
      </c:spPr>
    </c:title>
    <c:autoTitleDeleted val="0"/>
    <c:plotArea>
      <c:layout>
        <c:manualLayout>
          <c:layoutTarget val="inner"/>
          <c:xMode val="edge"/>
          <c:yMode val="edge"/>
          <c:x val="8.2040000129919757E-2"/>
          <c:y val="0.24369797896283121"/>
          <c:w val="0.88691892032345687"/>
          <c:h val="0.60924494740710455"/>
        </c:manualLayout>
      </c:layout>
      <c:lineChart>
        <c:grouping val="standard"/>
        <c:varyColors val="0"/>
        <c:ser>
          <c:idx val="0"/>
          <c:order val="0"/>
          <c:spPr>
            <a:ln w="38100">
              <a:solidFill>
                <a:srgbClr val="000080"/>
              </a:solidFill>
              <a:prstDash val="solid"/>
            </a:ln>
          </c:spPr>
          <c:marker>
            <c:symbol val="none"/>
          </c:marker>
          <c:cat>
            <c:numRef>
              <c:f>'71'!$A$10:$A$19</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'71'!$T$10:$T$19</c:f>
              <c:numCache>
                <c:formatCode>General</c:formatCode>
                <c:ptCount val="10"/>
                <c:pt idx="0">
                  <c:v>3.0469014152538278</c:v>
                </c:pt>
                <c:pt idx="1">
                  <c:v>3.1033925225645071</c:v>
                </c:pt>
                <c:pt idx="2">
                  <c:v>3.0403222029691377</c:v>
                </c:pt>
                <c:pt idx="3" formatCode="0.000">
                  <c:v>2.5978220745662606</c:v>
                </c:pt>
                <c:pt idx="4">
                  <c:v>3.1738960460401304</c:v>
                </c:pt>
                <c:pt idx="5">
                  <c:v>3.7664259765887791</c:v>
                </c:pt>
                <c:pt idx="6">
                  <c:v>3.60145863942929</c:v>
                </c:pt>
                <c:pt idx="7">
                  <c:v>3.4490287870318617</c:v>
                </c:pt>
                <c:pt idx="8">
                  <c:v>3.3440231728133241</c:v>
                </c:pt>
                <c:pt idx="9">
                  <c:v>3.0018043167426978</c:v>
                </c:pt>
              </c:numCache>
            </c:numRef>
          </c:val>
          <c:smooth val="0"/>
        </c:ser>
        <c:ser>
          <c:idx val="1"/>
          <c:order val="1"/>
          <c:spPr>
            <a:ln w="38100">
              <a:solidFill>
                <a:srgbClr val="FF0000"/>
              </a:solidFill>
              <a:prstDash val="solid"/>
            </a:ln>
          </c:spPr>
          <c:marker>
            <c:symbol val="none"/>
          </c:marker>
          <c:cat>
            <c:numRef>
              <c:f>'71'!$A$10:$A$19</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'71'!$U$10:$U$19</c:f>
              <c:numCache>
                <c:formatCode>General</c:formatCode>
                <c:ptCount val="10"/>
                <c:pt idx="0">
                  <c:v>1.0732744046756508</c:v>
                </c:pt>
                <c:pt idx="1">
                  <c:v>0.96440086358578325</c:v>
                </c:pt>
                <c:pt idx="2">
                  <c:v>0.96660890741347827</c:v>
                </c:pt>
                <c:pt idx="3">
                  <c:v>1.048357327427095</c:v>
                </c:pt>
                <c:pt idx="4">
                  <c:v>1.3228355047231137</c:v>
                </c:pt>
                <c:pt idx="5">
                  <c:v>1.6172579270753911</c:v>
                </c:pt>
                <c:pt idx="6">
                  <c:v>1.663981873218743</c:v>
                </c:pt>
                <c:pt idx="7">
                  <c:v>1.5275642817216322</c:v>
                </c:pt>
                <c:pt idx="8">
                  <c:v>1.6491663649373263</c:v>
                </c:pt>
                <c:pt idx="9">
                  <c:v>1.8392115476271533</c:v>
                </c:pt>
              </c:numCache>
            </c:numRef>
          </c:val>
          <c:smooth val="0"/>
        </c:ser>
        <c:dLbls>
          <c:showLegendKey val="0"/>
          <c:showVal val="0"/>
          <c:showCatName val="0"/>
          <c:showSerName val="0"/>
          <c:showPercent val="0"/>
          <c:showBubbleSize val="0"/>
        </c:dLbls>
        <c:smooth val="0"/>
        <c:axId val="341516360"/>
        <c:axId val="341516752"/>
      </c:lineChart>
      <c:catAx>
        <c:axId val="34151636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a:t>
                </a:r>
              </a:p>
            </c:rich>
          </c:tx>
          <c:layout>
            <c:manualLayout>
              <c:xMode val="edge"/>
              <c:yMode val="edge"/>
              <c:x val="3.1042128603105092E-2"/>
              <c:y val="0.1134458192725909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1" i="1" u="none" strike="noStrike" baseline="0">
                <a:solidFill>
                  <a:srgbClr val="000000"/>
                </a:solidFill>
                <a:latin typeface="Arial"/>
                <a:ea typeface="Arial"/>
                <a:cs typeface="Arial"/>
              </a:defRPr>
            </a:pPr>
            <a:endParaRPr lang="es-CL"/>
          </a:p>
        </c:txPr>
        <c:crossAx val="341516752"/>
        <c:crosses val="autoZero"/>
        <c:auto val="1"/>
        <c:lblAlgn val="ctr"/>
        <c:lblOffset val="100"/>
        <c:tickLblSkip val="1"/>
        <c:tickMarkSkip val="1"/>
        <c:noMultiLvlLbl val="0"/>
      </c:catAx>
      <c:valAx>
        <c:axId val="341516752"/>
        <c:scaling>
          <c:orientation val="minMax"/>
          <c:min val="0.5"/>
        </c:scaling>
        <c:delete val="0"/>
        <c:axPos val="l"/>
        <c:majorGridlines>
          <c:spPr>
            <a:ln w="12700">
              <a:solidFill>
                <a:srgbClr val="FF0000"/>
              </a:solidFill>
              <a:prstDash val="solid"/>
            </a:ln>
          </c:spPr>
        </c:majorGridlines>
        <c:numFmt formatCode="General" sourceLinked="1"/>
        <c:majorTickMark val="out"/>
        <c:minorTickMark val="none"/>
        <c:tickLblPos val="nextTo"/>
        <c:spPr>
          <a:ln w="9525">
            <a:noFill/>
          </a:ln>
        </c:spPr>
        <c:txPr>
          <a:bodyPr rot="0" vert="horz"/>
          <a:lstStyle/>
          <a:p>
            <a:pPr>
              <a:defRPr sz="1000" b="1" i="1" u="none" strike="noStrike" baseline="0">
                <a:solidFill>
                  <a:srgbClr val="000000"/>
                </a:solidFill>
                <a:latin typeface="Arial"/>
                <a:ea typeface="Arial"/>
                <a:cs typeface="Arial"/>
              </a:defRPr>
            </a:pPr>
            <a:endParaRPr lang="es-CL"/>
          </a:p>
        </c:txPr>
        <c:crossAx val="341516360"/>
        <c:crosses val="autoZero"/>
        <c:crossBetween val="between"/>
      </c:valAx>
      <c:spPr>
        <a:noFill/>
        <a:ln w="25400">
          <a:noFill/>
        </a:ln>
      </c:spPr>
    </c:plotArea>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80"/>
                </a:solidFill>
                <a:latin typeface="Arial"/>
                <a:ea typeface="Arial"/>
                <a:cs typeface="Arial"/>
              </a:defRPr>
            </a:pPr>
            <a:r>
              <a:rPr lang="es-ES"/>
              <a:t>TASA EX. DE DIAGNOSTICO HABITANTE /AÑO
SERVICIO SALUD  ACONCAGUA
2006 - 2015</a:t>
            </a:r>
          </a:p>
        </c:rich>
      </c:tx>
      <c:layout>
        <c:manualLayout>
          <c:xMode val="edge"/>
          <c:yMode val="edge"/>
          <c:x val="0.22795741346528611"/>
          <c:y val="3.9215686274509803E-2"/>
        </c:manualLayout>
      </c:layout>
      <c:overlay val="0"/>
      <c:spPr>
        <a:noFill/>
        <a:ln w="25400">
          <a:noFill/>
        </a:ln>
      </c:spPr>
    </c:title>
    <c:autoTitleDeleted val="0"/>
    <c:plotArea>
      <c:layout>
        <c:manualLayout>
          <c:layoutTarget val="inner"/>
          <c:xMode val="edge"/>
          <c:yMode val="edge"/>
          <c:x val="7.5268975279265959E-2"/>
          <c:y val="0.24705976968355417"/>
          <c:w val="0.91613095625620855"/>
          <c:h val="0.64313971790642122"/>
        </c:manualLayout>
      </c:layout>
      <c:lineChart>
        <c:grouping val="standard"/>
        <c:varyColors val="0"/>
        <c:ser>
          <c:idx val="0"/>
          <c:order val="0"/>
          <c:spPr>
            <a:ln w="38100">
              <a:solidFill>
                <a:srgbClr val="000080"/>
              </a:solidFill>
              <a:prstDash val="solid"/>
            </a:ln>
          </c:spPr>
          <c:marker>
            <c:symbol val="none"/>
          </c:marker>
          <c:cat>
            <c:numRef>
              <c:f>'73'!$A$10:$A$19</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'73'!$P$10:$P$19</c:f>
              <c:numCache>
                <c:formatCode>General</c:formatCode>
                <c:ptCount val="10"/>
                <c:pt idx="0">
                  <c:v>353.09258531947</c:v>
                </c:pt>
                <c:pt idx="1">
                  <c:v>392.8608842646604</c:v>
                </c:pt>
                <c:pt idx="2">
                  <c:v>387.48482213500665</c:v>
                </c:pt>
                <c:pt idx="3">
                  <c:v>407.53865431172505</c:v>
                </c:pt>
                <c:pt idx="4">
                  <c:v>382.69781507984391</c:v>
                </c:pt>
                <c:pt idx="5">
                  <c:v>413.58502389562932</c:v>
                </c:pt>
                <c:pt idx="6">
                  <c:v>419.8673445011795</c:v>
                </c:pt>
                <c:pt idx="7">
                  <c:v>420.8000088578209</c:v>
                </c:pt>
                <c:pt idx="8">
                  <c:v>441.12086083046194</c:v>
                </c:pt>
                <c:pt idx="9">
                  <c:v>430.15831182193978</c:v>
                </c:pt>
              </c:numCache>
            </c:numRef>
          </c:val>
          <c:smooth val="0"/>
        </c:ser>
        <c:dLbls>
          <c:showLegendKey val="0"/>
          <c:showVal val="0"/>
          <c:showCatName val="0"/>
          <c:showSerName val="0"/>
          <c:showPercent val="0"/>
          <c:showBubbleSize val="0"/>
        </c:dLbls>
        <c:smooth val="0"/>
        <c:axId val="341517536"/>
        <c:axId val="340261416"/>
      </c:lineChart>
      <c:catAx>
        <c:axId val="3415175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50" b="1" i="1" u="none" strike="noStrike" baseline="0">
                <a:solidFill>
                  <a:srgbClr val="000000"/>
                </a:solidFill>
                <a:latin typeface="Arial"/>
                <a:ea typeface="Arial"/>
                <a:cs typeface="Arial"/>
              </a:defRPr>
            </a:pPr>
            <a:endParaRPr lang="es-CL"/>
          </a:p>
        </c:txPr>
        <c:crossAx val="340261416"/>
        <c:crosses val="autoZero"/>
        <c:auto val="1"/>
        <c:lblAlgn val="ctr"/>
        <c:lblOffset val="100"/>
        <c:tickLblSkip val="1"/>
        <c:tickMarkSkip val="1"/>
        <c:noMultiLvlLbl val="0"/>
      </c:catAx>
      <c:valAx>
        <c:axId val="340261416"/>
        <c:scaling>
          <c:orientation val="minMax"/>
          <c:max val="450"/>
          <c:min val="340"/>
        </c:scaling>
        <c:delete val="0"/>
        <c:axPos val="l"/>
        <c:majorGridlines>
          <c:spPr>
            <a:ln w="12700">
              <a:solidFill>
                <a:srgbClr val="FF0000"/>
              </a:solidFill>
              <a:prstDash val="solid"/>
            </a:ln>
          </c:spPr>
        </c:majorGridlines>
        <c:numFmt formatCode="General" sourceLinked="1"/>
        <c:majorTickMark val="out"/>
        <c:minorTickMark val="none"/>
        <c:tickLblPos val="nextTo"/>
        <c:spPr>
          <a:ln w="9525">
            <a:noFill/>
          </a:ln>
        </c:spPr>
        <c:txPr>
          <a:bodyPr rot="0" vert="horz"/>
          <a:lstStyle/>
          <a:p>
            <a:pPr>
              <a:defRPr sz="850" b="1" i="1" u="none" strike="noStrike" baseline="0">
                <a:solidFill>
                  <a:srgbClr val="000000"/>
                </a:solidFill>
                <a:latin typeface="Arial"/>
                <a:ea typeface="Arial"/>
                <a:cs typeface="Arial"/>
              </a:defRPr>
            </a:pPr>
            <a:endParaRPr lang="es-CL"/>
          </a:p>
        </c:txPr>
        <c:crossAx val="341517536"/>
        <c:crosses val="autoZero"/>
        <c:crossBetween val="between"/>
      </c:valAx>
      <c:spPr>
        <a:noFill/>
        <a:ln w="25400">
          <a:noFill/>
        </a:ln>
      </c:spPr>
    </c:plotArea>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304" orientation="landscape" horizontalDpi="300" verticalDpi="300"/>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80"/>
                </a:solidFill>
                <a:latin typeface="Arial"/>
                <a:ea typeface="Arial"/>
                <a:cs typeface="Arial"/>
              </a:defRPr>
            </a:pPr>
            <a:r>
              <a:rPr lang="es-ES"/>
              <a:t>TASA  EX.   IMAGENOLOGIA  HABITANTE /AÑO
SERVICIO SALUD  ACONCAGUA
2006 - 2015</a:t>
            </a:r>
          </a:p>
        </c:rich>
      </c:tx>
      <c:layout>
        <c:manualLayout>
          <c:xMode val="edge"/>
          <c:yMode val="edge"/>
          <c:x val="0.22580682633877217"/>
          <c:y val="3.9215686274509803E-2"/>
        </c:manualLayout>
      </c:layout>
      <c:overlay val="0"/>
      <c:spPr>
        <a:noFill/>
        <a:ln w="25400">
          <a:noFill/>
        </a:ln>
      </c:spPr>
    </c:title>
    <c:autoTitleDeleted val="0"/>
    <c:plotArea>
      <c:layout>
        <c:manualLayout>
          <c:layoutTarget val="inner"/>
          <c:xMode val="edge"/>
          <c:yMode val="edge"/>
          <c:x val="6.2365722374249012E-2"/>
          <c:y val="0.24705976968355417"/>
          <c:w val="0.92903420916122559"/>
          <c:h val="0.64313971790642122"/>
        </c:manualLayout>
      </c:layout>
      <c:lineChart>
        <c:grouping val="standard"/>
        <c:varyColors val="0"/>
        <c:ser>
          <c:idx val="0"/>
          <c:order val="0"/>
          <c:spPr>
            <a:ln w="38100">
              <a:solidFill>
                <a:srgbClr val="000080"/>
              </a:solidFill>
              <a:prstDash val="solid"/>
            </a:ln>
          </c:spPr>
          <c:marker>
            <c:symbol val="none"/>
          </c:marker>
          <c:cat>
            <c:numRef>
              <c:f>'73'!$A$10:$A$19</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'73'!$Q$10:$Q$19</c:f>
              <c:numCache>
                <c:formatCode>General</c:formatCode>
                <c:ptCount val="10"/>
                <c:pt idx="0">
                  <c:v>44.404985840378693</c:v>
                </c:pt>
                <c:pt idx="1">
                  <c:v>45.104084823377221</c:v>
                </c:pt>
                <c:pt idx="2">
                  <c:v>45.332267945132507</c:v>
                </c:pt>
                <c:pt idx="3">
                  <c:v>48.216758065389406</c:v>
                </c:pt>
                <c:pt idx="4">
                  <c:v>43.472732410285388</c:v>
                </c:pt>
                <c:pt idx="5">
                  <c:v>45.705581686812479</c:v>
                </c:pt>
                <c:pt idx="6">
                  <c:v>45.66984681537221</c:v>
                </c:pt>
                <c:pt idx="7" formatCode="0.0">
                  <c:v>45.720380738668446</c:v>
                </c:pt>
                <c:pt idx="8" formatCode="0.0">
                  <c:v>45.139943351048295</c:v>
                </c:pt>
                <c:pt idx="9" formatCode="0.0">
                  <c:v>43.914291387620267</c:v>
                </c:pt>
              </c:numCache>
            </c:numRef>
          </c:val>
          <c:smooth val="0"/>
        </c:ser>
        <c:dLbls>
          <c:showLegendKey val="0"/>
          <c:showVal val="0"/>
          <c:showCatName val="0"/>
          <c:showSerName val="0"/>
          <c:showPercent val="0"/>
          <c:showBubbleSize val="0"/>
        </c:dLbls>
        <c:smooth val="0"/>
        <c:axId val="340262200"/>
        <c:axId val="340262592"/>
      </c:lineChart>
      <c:catAx>
        <c:axId val="3402622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50" b="1" i="1" u="none" strike="noStrike" baseline="0">
                <a:solidFill>
                  <a:srgbClr val="000000"/>
                </a:solidFill>
                <a:latin typeface="Arial"/>
                <a:ea typeface="Arial"/>
                <a:cs typeface="Arial"/>
              </a:defRPr>
            </a:pPr>
            <a:endParaRPr lang="es-CL"/>
          </a:p>
        </c:txPr>
        <c:crossAx val="340262592"/>
        <c:crosses val="autoZero"/>
        <c:auto val="1"/>
        <c:lblAlgn val="ctr"/>
        <c:lblOffset val="100"/>
        <c:tickLblSkip val="1"/>
        <c:tickMarkSkip val="1"/>
        <c:noMultiLvlLbl val="0"/>
      </c:catAx>
      <c:valAx>
        <c:axId val="340262592"/>
        <c:scaling>
          <c:orientation val="minMax"/>
          <c:max val="50"/>
          <c:min val="42"/>
        </c:scaling>
        <c:delete val="0"/>
        <c:axPos val="l"/>
        <c:majorGridlines>
          <c:spPr>
            <a:ln w="12700">
              <a:solidFill>
                <a:srgbClr val="FF0000"/>
              </a:solidFill>
              <a:prstDash val="solid"/>
            </a:ln>
          </c:spPr>
        </c:majorGridlines>
        <c:numFmt formatCode="General" sourceLinked="1"/>
        <c:majorTickMark val="out"/>
        <c:minorTickMark val="none"/>
        <c:tickLblPos val="nextTo"/>
        <c:spPr>
          <a:ln w="9525">
            <a:noFill/>
          </a:ln>
        </c:spPr>
        <c:txPr>
          <a:bodyPr rot="0" vert="horz"/>
          <a:lstStyle/>
          <a:p>
            <a:pPr>
              <a:defRPr sz="850" b="1" i="1" u="none" strike="noStrike" baseline="0">
                <a:solidFill>
                  <a:srgbClr val="000000"/>
                </a:solidFill>
                <a:latin typeface="Arial"/>
                <a:ea typeface="Arial"/>
                <a:cs typeface="Arial"/>
              </a:defRPr>
            </a:pPr>
            <a:endParaRPr lang="es-CL"/>
          </a:p>
        </c:txPr>
        <c:crossAx val="340262200"/>
        <c:crosses val="autoZero"/>
        <c:crossBetween val="between"/>
        <c:majorUnit val="2"/>
      </c:valAx>
      <c:spPr>
        <a:noFill/>
        <a:ln w="25400">
          <a:noFill/>
        </a:ln>
      </c:spPr>
    </c:plotArea>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304" orientation="landscape" horizontalDpi="300" verticalDpi="300"/>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Numero  de Egresos  y  Promedio  de  Camas
Servicio de  Salud  Aconcagua
</a:t>
            </a:r>
          </a:p>
        </c:rich>
      </c:tx>
      <c:layout>
        <c:manualLayout>
          <c:xMode val="edge"/>
          <c:yMode val="edge"/>
          <c:x val="0.19720803338691473"/>
          <c:y val="3.8327526132404179E-2"/>
        </c:manualLayout>
      </c:layout>
      <c:overlay val="0"/>
      <c:spPr>
        <a:noFill/>
        <a:ln w="25400">
          <a:noFill/>
        </a:ln>
      </c:spPr>
    </c:title>
    <c:autoTitleDeleted val="0"/>
    <c:plotArea>
      <c:layout>
        <c:manualLayout>
          <c:layoutTarget val="inner"/>
          <c:xMode val="edge"/>
          <c:yMode val="edge"/>
          <c:x val="0.10471222034559829"/>
          <c:y val="0.3101045296167248"/>
          <c:w val="0.81182209856701015"/>
          <c:h val="0.4425087108013937"/>
        </c:manualLayout>
      </c:layout>
      <c:lineChart>
        <c:grouping val="standard"/>
        <c:varyColors val="0"/>
        <c:ser>
          <c:idx val="1"/>
          <c:order val="0"/>
          <c:tx>
            <c:v>N° de  Egresos</c:v>
          </c:tx>
          <c:spPr>
            <a:ln w="25400">
              <a:solidFill>
                <a:srgbClr val="FF0000"/>
              </a:solidFill>
              <a:prstDash val="solid"/>
            </a:ln>
          </c:spPr>
          <c:marker>
            <c:symbol val="none"/>
          </c:marker>
          <c:cat>
            <c:numRef>
              <c:f>'83'!$B$9:$B$18</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'83'!$E$9:$E$18</c:f>
              <c:numCache>
                <c:formatCode>#,##0</c:formatCode>
                <c:ptCount val="10"/>
                <c:pt idx="0">
                  <c:v>24645</c:v>
                </c:pt>
                <c:pt idx="1">
                  <c:v>24688</c:v>
                </c:pt>
                <c:pt idx="2">
                  <c:v>23453</c:v>
                </c:pt>
                <c:pt idx="3">
                  <c:v>22222</c:v>
                </c:pt>
                <c:pt idx="4">
                  <c:v>22499</c:v>
                </c:pt>
                <c:pt idx="5">
                  <c:v>24229</c:v>
                </c:pt>
                <c:pt idx="6">
                  <c:v>24975</c:v>
                </c:pt>
                <c:pt idx="7">
                  <c:v>24175</c:v>
                </c:pt>
                <c:pt idx="8">
                  <c:v>24626</c:v>
                </c:pt>
                <c:pt idx="9">
                  <c:v>23665</c:v>
                </c:pt>
              </c:numCache>
            </c:numRef>
          </c:val>
          <c:smooth val="0"/>
        </c:ser>
        <c:dLbls>
          <c:showLegendKey val="0"/>
          <c:showVal val="0"/>
          <c:showCatName val="0"/>
          <c:showSerName val="0"/>
          <c:showPercent val="0"/>
          <c:showBubbleSize val="0"/>
        </c:dLbls>
        <c:marker val="1"/>
        <c:smooth val="0"/>
        <c:axId val="340263376"/>
        <c:axId val="340263768"/>
      </c:lineChart>
      <c:lineChart>
        <c:grouping val="standard"/>
        <c:varyColors val="0"/>
        <c:ser>
          <c:idx val="0"/>
          <c:order val="1"/>
          <c:tx>
            <c:v>Promedio  de  Camas</c:v>
          </c:tx>
          <c:spPr>
            <a:ln w="25400">
              <a:solidFill>
                <a:srgbClr val="000080"/>
              </a:solidFill>
              <a:prstDash val="solid"/>
            </a:ln>
          </c:spPr>
          <c:marker>
            <c:symbol val="none"/>
          </c:marker>
          <c:cat>
            <c:numRef>
              <c:f>'83'!$C$9:$C$18</c:f>
              <c:numCache>
                <c:formatCode>#,##0</c:formatCode>
                <c:ptCount val="10"/>
                <c:pt idx="0">
                  <c:v>957</c:v>
                </c:pt>
                <c:pt idx="1">
                  <c:v>957</c:v>
                </c:pt>
                <c:pt idx="2">
                  <c:v>957</c:v>
                </c:pt>
                <c:pt idx="3">
                  <c:v>939</c:v>
                </c:pt>
                <c:pt idx="4">
                  <c:v>939</c:v>
                </c:pt>
                <c:pt idx="5">
                  <c:v>816</c:v>
                </c:pt>
                <c:pt idx="6">
                  <c:v>816</c:v>
                </c:pt>
                <c:pt idx="7">
                  <c:v>816</c:v>
                </c:pt>
                <c:pt idx="8">
                  <c:v>829</c:v>
                </c:pt>
                <c:pt idx="9">
                  <c:v>829</c:v>
                </c:pt>
              </c:numCache>
            </c:numRef>
          </c:cat>
          <c:val>
            <c:numRef>
              <c:f>'83'!$D$9:$D$18</c:f>
              <c:numCache>
                <c:formatCode>#,##0</c:formatCode>
                <c:ptCount val="10"/>
                <c:pt idx="0">
                  <c:v>895</c:v>
                </c:pt>
                <c:pt idx="1">
                  <c:v>889</c:v>
                </c:pt>
                <c:pt idx="2">
                  <c:v>842</c:v>
                </c:pt>
                <c:pt idx="3">
                  <c:v>785</c:v>
                </c:pt>
                <c:pt idx="4">
                  <c:v>738</c:v>
                </c:pt>
                <c:pt idx="5">
                  <c:v>762</c:v>
                </c:pt>
                <c:pt idx="6">
                  <c:v>785</c:v>
                </c:pt>
                <c:pt idx="7">
                  <c:v>766</c:v>
                </c:pt>
                <c:pt idx="8">
                  <c:v>786.29041095890409</c:v>
                </c:pt>
                <c:pt idx="9">
                  <c:v>786.35342465753422</c:v>
                </c:pt>
              </c:numCache>
            </c:numRef>
          </c:val>
          <c:smooth val="0"/>
        </c:ser>
        <c:dLbls>
          <c:showLegendKey val="0"/>
          <c:showVal val="0"/>
          <c:showCatName val="0"/>
          <c:showSerName val="0"/>
          <c:showPercent val="0"/>
          <c:showBubbleSize val="0"/>
        </c:dLbls>
        <c:marker val="1"/>
        <c:smooth val="0"/>
        <c:axId val="340264160"/>
        <c:axId val="340264552"/>
      </c:lineChart>
      <c:catAx>
        <c:axId val="34026337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Egresos</a:t>
                </a:r>
              </a:p>
            </c:rich>
          </c:tx>
          <c:layout>
            <c:manualLayout>
              <c:xMode val="edge"/>
              <c:yMode val="edge"/>
              <c:x val="3.1413586166223216E-2"/>
              <c:y val="0.22299651567944251"/>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40263768"/>
        <c:crosses val="autoZero"/>
        <c:auto val="0"/>
        <c:lblAlgn val="ctr"/>
        <c:lblOffset val="100"/>
        <c:tickLblSkip val="1"/>
        <c:tickMarkSkip val="1"/>
        <c:noMultiLvlLbl val="0"/>
      </c:catAx>
      <c:valAx>
        <c:axId val="340263768"/>
        <c:scaling>
          <c:orientation val="minMax"/>
          <c:max val="26000"/>
          <c:min val="21000"/>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40263376"/>
        <c:crosses val="autoZero"/>
        <c:crossBetween val="between"/>
        <c:majorUnit val="2000"/>
        <c:minorUnit val="2000"/>
      </c:valAx>
      <c:catAx>
        <c:axId val="340264160"/>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Prom. Camas</a:t>
                </a:r>
              </a:p>
            </c:rich>
          </c:tx>
          <c:layout>
            <c:manualLayout>
              <c:xMode val="edge"/>
              <c:yMode val="edge"/>
              <c:x val="0.84991414666651277"/>
              <c:y val="0.20209059233449544"/>
            </c:manualLayout>
          </c:layout>
          <c:overlay val="0"/>
          <c:spPr>
            <a:noFill/>
            <a:ln w="25400">
              <a:noFill/>
            </a:ln>
          </c:spPr>
        </c:title>
        <c:numFmt formatCode="#,##0" sourceLinked="1"/>
        <c:majorTickMark val="out"/>
        <c:minorTickMark val="none"/>
        <c:tickLblPos val="nextTo"/>
        <c:crossAx val="340264552"/>
        <c:crosses val="autoZero"/>
        <c:auto val="0"/>
        <c:lblAlgn val="ctr"/>
        <c:lblOffset val="100"/>
        <c:noMultiLvlLbl val="0"/>
      </c:catAx>
      <c:valAx>
        <c:axId val="340264552"/>
        <c:scaling>
          <c:orientation val="minMax"/>
          <c:max val="1000"/>
          <c:min val="700"/>
        </c:scaling>
        <c:delete val="0"/>
        <c:axPos val="r"/>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40264160"/>
        <c:crosses val="max"/>
        <c:crossBetween val="between"/>
        <c:majorUnit val="50"/>
      </c:valAx>
      <c:spPr>
        <a:noFill/>
        <a:ln w="25400">
          <a:noFill/>
        </a:ln>
      </c:spPr>
    </c:plotArea>
    <c:legend>
      <c:legendPos val="r"/>
      <c:layout>
        <c:manualLayout>
          <c:xMode val="edge"/>
          <c:yMode val="edge"/>
          <c:x val="0.15532313177834595"/>
          <c:y val="0.82578397212543564"/>
          <c:w val="0.68411969944580164"/>
          <c:h val="0.1463414634146419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Indice  Ocupacional y Promedio  dias estada
Servicio de  Salud  Aconcagua
</a:t>
            </a:r>
          </a:p>
        </c:rich>
      </c:tx>
      <c:layout>
        <c:manualLayout>
          <c:xMode val="edge"/>
          <c:yMode val="edge"/>
          <c:x val="0.20000036837500573"/>
          <c:y val="3.873239436619718E-2"/>
        </c:manualLayout>
      </c:layout>
      <c:overlay val="0"/>
      <c:spPr>
        <a:noFill/>
        <a:ln w="25400">
          <a:noFill/>
        </a:ln>
      </c:spPr>
    </c:title>
    <c:autoTitleDeleted val="0"/>
    <c:plotArea>
      <c:layout>
        <c:manualLayout>
          <c:layoutTarget val="inner"/>
          <c:xMode val="edge"/>
          <c:yMode val="edge"/>
          <c:x val="8.4210670591198231E-2"/>
          <c:y val="0.31338028169016968"/>
          <c:w val="0.81403648238158965"/>
          <c:h val="0.43661971830988522"/>
        </c:manualLayout>
      </c:layout>
      <c:lineChart>
        <c:grouping val="standard"/>
        <c:varyColors val="0"/>
        <c:ser>
          <c:idx val="1"/>
          <c:order val="0"/>
          <c:tx>
            <c:v>indice</c:v>
          </c:tx>
          <c:spPr>
            <a:ln w="25400">
              <a:solidFill>
                <a:srgbClr val="FF0000"/>
              </a:solidFill>
              <a:prstDash val="solid"/>
            </a:ln>
          </c:spPr>
          <c:marker>
            <c:symbol val="none"/>
          </c:marker>
          <c:cat>
            <c:numRef>
              <c:f>'83'!$B$9:$B$18</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'83'!$F$9:$F$18</c:f>
              <c:numCache>
                <c:formatCode>#,##0.0</c:formatCode>
                <c:ptCount val="10"/>
                <c:pt idx="0">
                  <c:v>75.8</c:v>
                </c:pt>
                <c:pt idx="1">
                  <c:v>74.2</c:v>
                </c:pt>
                <c:pt idx="2">
                  <c:v>73.900000000000006</c:v>
                </c:pt>
                <c:pt idx="3">
                  <c:v>74.8</c:v>
                </c:pt>
                <c:pt idx="4">
                  <c:v>75.552176885180216</c:v>
                </c:pt>
                <c:pt idx="5">
                  <c:v>73.5</c:v>
                </c:pt>
                <c:pt idx="6">
                  <c:v>76.3</c:v>
                </c:pt>
                <c:pt idx="7">
                  <c:v>79.400000000000006</c:v>
                </c:pt>
                <c:pt idx="8">
                  <c:v>80.425263775961383</c:v>
                </c:pt>
                <c:pt idx="9">
                  <c:v>79.143192610942137</c:v>
                </c:pt>
              </c:numCache>
            </c:numRef>
          </c:val>
          <c:smooth val="0"/>
        </c:ser>
        <c:dLbls>
          <c:showLegendKey val="0"/>
          <c:showVal val="0"/>
          <c:showCatName val="0"/>
          <c:showSerName val="0"/>
          <c:showPercent val="0"/>
          <c:showBubbleSize val="0"/>
        </c:dLbls>
        <c:marker val="1"/>
        <c:smooth val="0"/>
        <c:axId val="340265336"/>
        <c:axId val="340265728"/>
      </c:lineChart>
      <c:lineChart>
        <c:grouping val="standard"/>
        <c:varyColors val="0"/>
        <c:ser>
          <c:idx val="0"/>
          <c:order val="1"/>
          <c:tx>
            <c:v>Promedio</c:v>
          </c:tx>
          <c:spPr>
            <a:ln w="25400">
              <a:solidFill>
                <a:srgbClr val="000080"/>
              </a:solidFill>
              <a:prstDash val="solid"/>
            </a:ln>
          </c:spPr>
          <c:marker>
            <c:symbol val="none"/>
          </c:marker>
          <c:cat>
            <c:numRef>
              <c:f>'83'!$G$9:$G$18</c:f>
              <c:numCache>
                <c:formatCode>0.00</c:formatCode>
                <c:ptCount val="10"/>
                <c:pt idx="0">
                  <c:v>15.88</c:v>
                </c:pt>
                <c:pt idx="1">
                  <c:v>16.8</c:v>
                </c:pt>
                <c:pt idx="2">
                  <c:v>16.63</c:v>
                </c:pt>
                <c:pt idx="3">
                  <c:v>9.01</c:v>
                </c:pt>
                <c:pt idx="4">
                  <c:v>14.115164816962068</c:v>
                </c:pt>
                <c:pt idx="5">
                  <c:v>10.52</c:v>
                </c:pt>
                <c:pt idx="6">
                  <c:v>14.34</c:v>
                </c:pt>
                <c:pt idx="7">
                  <c:v>10.76</c:v>
                </c:pt>
                <c:pt idx="8">
                  <c:v>9.5870941054808689</c:v>
                </c:pt>
                <c:pt idx="9">
                  <c:v>9.5555884217198397</c:v>
                </c:pt>
              </c:numCache>
            </c:numRef>
          </c:cat>
          <c:val>
            <c:numRef>
              <c:f>'83'!$G$9:$G$18</c:f>
              <c:numCache>
                <c:formatCode>0.00</c:formatCode>
                <c:ptCount val="10"/>
                <c:pt idx="0">
                  <c:v>15.88</c:v>
                </c:pt>
                <c:pt idx="1">
                  <c:v>16.8</c:v>
                </c:pt>
                <c:pt idx="2">
                  <c:v>16.63</c:v>
                </c:pt>
                <c:pt idx="3">
                  <c:v>9.01</c:v>
                </c:pt>
                <c:pt idx="4">
                  <c:v>14.115164816962068</c:v>
                </c:pt>
                <c:pt idx="5">
                  <c:v>10.52</c:v>
                </c:pt>
                <c:pt idx="6">
                  <c:v>14.34</c:v>
                </c:pt>
                <c:pt idx="7">
                  <c:v>10.76</c:v>
                </c:pt>
                <c:pt idx="8">
                  <c:v>9.5870941054808689</c:v>
                </c:pt>
                <c:pt idx="9">
                  <c:v>9.5555884217198397</c:v>
                </c:pt>
              </c:numCache>
            </c:numRef>
          </c:val>
          <c:smooth val="0"/>
        </c:ser>
        <c:dLbls>
          <c:showLegendKey val="0"/>
          <c:showVal val="0"/>
          <c:showCatName val="0"/>
          <c:showSerName val="0"/>
          <c:showPercent val="0"/>
          <c:showBubbleSize val="0"/>
        </c:dLbls>
        <c:marker val="1"/>
        <c:smooth val="0"/>
        <c:axId val="340266120"/>
        <c:axId val="340266512"/>
      </c:lineChart>
      <c:catAx>
        <c:axId val="34026533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I. Ocup.</a:t>
                </a:r>
              </a:p>
            </c:rich>
          </c:tx>
          <c:layout>
            <c:manualLayout>
              <c:xMode val="edge"/>
              <c:yMode val="edge"/>
              <c:x val="1.4035087719298246E-2"/>
              <c:y val="0.2253521126760563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40265728"/>
        <c:crosses val="autoZero"/>
        <c:auto val="0"/>
        <c:lblAlgn val="ctr"/>
        <c:lblOffset val="100"/>
        <c:tickLblSkip val="1"/>
        <c:tickMarkSkip val="1"/>
        <c:noMultiLvlLbl val="0"/>
      </c:catAx>
      <c:valAx>
        <c:axId val="340265728"/>
        <c:scaling>
          <c:orientation val="minMax"/>
          <c:max val="82"/>
          <c:min val="70"/>
        </c:scaling>
        <c:delete val="0"/>
        <c:axPos val="l"/>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40265336"/>
        <c:crosses val="autoZero"/>
        <c:crossBetween val="between"/>
        <c:majorUnit val="5"/>
        <c:minorUnit val="5"/>
      </c:valAx>
      <c:catAx>
        <c:axId val="340266120"/>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 dias</a:t>
                </a:r>
              </a:p>
            </c:rich>
          </c:tx>
          <c:layout>
            <c:manualLayout>
              <c:xMode val="edge"/>
              <c:yMode val="edge"/>
              <c:x val="0.8701769120965448"/>
              <c:y val="0.20422535211268281"/>
            </c:manualLayout>
          </c:layout>
          <c:overlay val="0"/>
          <c:spPr>
            <a:noFill/>
            <a:ln w="25400">
              <a:noFill/>
            </a:ln>
          </c:spPr>
        </c:title>
        <c:numFmt formatCode="0.00" sourceLinked="1"/>
        <c:majorTickMark val="out"/>
        <c:minorTickMark val="none"/>
        <c:tickLblPos val="nextTo"/>
        <c:crossAx val="340266512"/>
        <c:crosses val="autoZero"/>
        <c:auto val="0"/>
        <c:lblAlgn val="ctr"/>
        <c:lblOffset val="100"/>
        <c:noMultiLvlLbl val="0"/>
      </c:catAx>
      <c:valAx>
        <c:axId val="340266512"/>
        <c:scaling>
          <c:orientation val="minMax"/>
          <c:max val="20"/>
          <c:min val="0"/>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40266120"/>
        <c:crosses val="max"/>
        <c:crossBetween val="between"/>
        <c:majorUnit val="5"/>
      </c:valAx>
      <c:spPr>
        <a:noFill/>
        <a:ln w="25400">
          <a:noFill/>
        </a:ln>
      </c:spPr>
    </c:plotArea>
    <c:legend>
      <c:legendPos val="r"/>
      <c:layout>
        <c:manualLayout>
          <c:xMode val="edge"/>
          <c:yMode val="edge"/>
          <c:x val="0.21228107012939956"/>
          <c:y val="0.84154929577464788"/>
          <c:w val="0.68772040337065365"/>
          <c:h val="0.14788732394365367"/>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Numero  de Egresos  y  Promedio  de  Camas
Hospital  San  Camilo
</a:t>
            </a:r>
          </a:p>
        </c:rich>
      </c:tx>
      <c:layout>
        <c:manualLayout>
          <c:xMode val="edge"/>
          <c:yMode val="edge"/>
          <c:x val="0.21568661760417202"/>
          <c:y val="3.6065573770491806E-2"/>
        </c:manualLayout>
      </c:layout>
      <c:overlay val="0"/>
      <c:spPr>
        <a:noFill/>
        <a:ln w="25400">
          <a:noFill/>
        </a:ln>
      </c:spPr>
    </c:title>
    <c:autoTitleDeleted val="0"/>
    <c:plotArea>
      <c:layout>
        <c:manualLayout>
          <c:layoutTarget val="inner"/>
          <c:xMode val="edge"/>
          <c:yMode val="edge"/>
          <c:x val="9.8039372126762739E-2"/>
          <c:y val="0.29180327868852457"/>
          <c:w val="0.82189673632933091"/>
          <c:h val="0.47213114754098329"/>
        </c:manualLayout>
      </c:layout>
      <c:lineChart>
        <c:grouping val="standard"/>
        <c:varyColors val="0"/>
        <c:ser>
          <c:idx val="1"/>
          <c:order val="0"/>
          <c:tx>
            <c:v>N° de  Egresos</c:v>
          </c:tx>
          <c:spPr>
            <a:ln w="25400">
              <a:solidFill>
                <a:srgbClr val="FF0000"/>
              </a:solidFill>
              <a:prstDash val="solid"/>
            </a:ln>
          </c:spPr>
          <c:marker>
            <c:symbol val="none"/>
          </c:marker>
          <c:cat>
            <c:numRef>
              <c:f>'84'!$B$9:$B$18</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'84'!$E$9:$E$18</c:f>
              <c:numCache>
                <c:formatCode>#,##0</c:formatCode>
                <c:ptCount val="10"/>
                <c:pt idx="0">
                  <c:v>11036</c:v>
                </c:pt>
                <c:pt idx="1">
                  <c:v>11154</c:v>
                </c:pt>
                <c:pt idx="2">
                  <c:v>11106</c:v>
                </c:pt>
                <c:pt idx="3">
                  <c:v>10865</c:v>
                </c:pt>
                <c:pt idx="4">
                  <c:v>10192</c:v>
                </c:pt>
                <c:pt idx="5">
                  <c:v>10500</c:v>
                </c:pt>
                <c:pt idx="6">
                  <c:v>11443</c:v>
                </c:pt>
                <c:pt idx="7">
                  <c:v>11340</c:v>
                </c:pt>
                <c:pt idx="8">
                  <c:v>11948</c:v>
                </c:pt>
                <c:pt idx="9">
                  <c:v>11421</c:v>
                </c:pt>
              </c:numCache>
            </c:numRef>
          </c:val>
          <c:smooth val="0"/>
        </c:ser>
        <c:dLbls>
          <c:showLegendKey val="0"/>
          <c:showVal val="0"/>
          <c:showCatName val="0"/>
          <c:showSerName val="0"/>
          <c:showPercent val="0"/>
          <c:showBubbleSize val="0"/>
        </c:dLbls>
        <c:marker val="1"/>
        <c:smooth val="0"/>
        <c:axId val="340267296"/>
        <c:axId val="340267688"/>
      </c:lineChart>
      <c:lineChart>
        <c:grouping val="standard"/>
        <c:varyColors val="0"/>
        <c:ser>
          <c:idx val="0"/>
          <c:order val="1"/>
          <c:tx>
            <c:v>Promedio  de  Camas</c:v>
          </c:tx>
          <c:spPr>
            <a:ln w="25400">
              <a:solidFill>
                <a:srgbClr val="000080"/>
              </a:solidFill>
              <a:prstDash val="solid"/>
            </a:ln>
          </c:spPr>
          <c:marker>
            <c:symbol val="none"/>
          </c:marker>
          <c:cat>
            <c:numRef>
              <c:f>'84'!$C$9:$C$18</c:f>
              <c:numCache>
                <c:formatCode>General</c:formatCode>
                <c:ptCount val="10"/>
                <c:pt idx="0">
                  <c:v>232</c:v>
                </c:pt>
                <c:pt idx="1">
                  <c:v>232</c:v>
                </c:pt>
                <c:pt idx="2">
                  <c:v>232</c:v>
                </c:pt>
                <c:pt idx="3">
                  <c:v>238</c:v>
                </c:pt>
                <c:pt idx="4">
                  <c:v>238</c:v>
                </c:pt>
                <c:pt idx="5">
                  <c:v>226</c:v>
                </c:pt>
                <c:pt idx="6">
                  <c:v>226</c:v>
                </c:pt>
                <c:pt idx="7">
                  <c:v>226</c:v>
                </c:pt>
                <c:pt idx="8">
                  <c:v>234</c:v>
                </c:pt>
                <c:pt idx="9">
                  <c:v>234</c:v>
                </c:pt>
              </c:numCache>
            </c:numRef>
          </c:cat>
          <c:val>
            <c:numRef>
              <c:f>'84'!$D$9:$D$18</c:f>
              <c:numCache>
                <c:formatCode>General</c:formatCode>
                <c:ptCount val="10"/>
                <c:pt idx="0">
                  <c:v>221</c:v>
                </c:pt>
                <c:pt idx="1">
                  <c:v>224</c:v>
                </c:pt>
                <c:pt idx="2">
                  <c:v>229</c:v>
                </c:pt>
                <c:pt idx="3">
                  <c:v>233</c:v>
                </c:pt>
                <c:pt idx="4">
                  <c:v>228</c:v>
                </c:pt>
                <c:pt idx="5">
                  <c:v>224</c:v>
                </c:pt>
                <c:pt idx="6">
                  <c:v>226</c:v>
                </c:pt>
                <c:pt idx="7">
                  <c:v>226</c:v>
                </c:pt>
                <c:pt idx="8" formatCode="0">
                  <c:v>232.51232876712328</c:v>
                </c:pt>
                <c:pt idx="9" formatCode="0">
                  <c:v>233.56712328767122</c:v>
                </c:pt>
              </c:numCache>
            </c:numRef>
          </c:val>
          <c:smooth val="0"/>
        </c:ser>
        <c:dLbls>
          <c:showLegendKey val="0"/>
          <c:showVal val="0"/>
          <c:showCatName val="0"/>
          <c:showSerName val="0"/>
          <c:showPercent val="0"/>
          <c:showBubbleSize val="0"/>
        </c:dLbls>
        <c:marker val="1"/>
        <c:smooth val="0"/>
        <c:axId val="340268080"/>
        <c:axId val="340268472"/>
      </c:lineChart>
      <c:catAx>
        <c:axId val="34026729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Egresos</a:t>
                </a:r>
              </a:p>
            </c:rich>
          </c:tx>
          <c:layout>
            <c:manualLayout>
              <c:xMode val="edge"/>
              <c:yMode val="edge"/>
              <c:x val="2.4509803921568631E-2"/>
              <c:y val="0.20327868852459041"/>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40267688"/>
        <c:crosses val="autoZero"/>
        <c:auto val="0"/>
        <c:lblAlgn val="ctr"/>
        <c:lblOffset val="100"/>
        <c:tickLblSkip val="1"/>
        <c:tickMarkSkip val="1"/>
        <c:noMultiLvlLbl val="0"/>
      </c:catAx>
      <c:valAx>
        <c:axId val="340267688"/>
        <c:scaling>
          <c:orientation val="minMax"/>
          <c:max val="12000"/>
          <c:min val="10100"/>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40267296"/>
        <c:crosses val="autoZero"/>
        <c:crossBetween val="between"/>
        <c:majorUnit val="300"/>
        <c:minorUnit val="300"/>
      </c:valAx>
      <c:catAx>
        <c:axId val="340268080"/>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Prom. Camas</a:t>
                </a:r>
              </a:p>
            </c:rich>
          </c:tx>
          <c:layout>
            <c:manualLayout>
              <c:xMode val="edge"/>
              <c:yMode val="edge"/>
              <c:x val="0.86601444427289764"/>
              <c:y val="0.19016393442623244"/>
            </c:manualLayout>
          </c:layout>
          <c:overlay val="0"/>
          <c:spPr>
            <a:noFill/>
            <a:ln w="25400">
              <a:noFill/>
            </a:ln>
          </c:spPr>
        </c:title>
        <c:numFmt formatCode="General" sourceLinked="1"/>
        <c:majorTickMark val="out"/>
        <c:minorTickMark val="none"/>
        <c:tickLblPos val="nextTo"/>
        <c:crossAx val="340268472"/>
        <c:crosses val="autoZero"/>
        <c:auto val="0"/>
        <c:lblAlgn val="ctr"/>
        <c:lblOffset val="100"/>
        <c:noMultiLvlLbl val="0"/>
      </c:catAx>
      <c:valAx>
        <c:axId val="340268472"/>
        <c:scaling>
          <c:orientation val="minMax"/>
          <c:max val="240"/>
          <c:min val="21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40268080"/>
        <c:crosses val="max"/>
        <c:crossBetween val="between"/>
        <c:majorUnit val="10"/>
      </c:valAx>
      <c:spPr>
        <a:noFill/>
        <a:ln w="25400">
          <a:noFill/>
        </a:ln>
      </c:spPr>
    </c:plotArea>
    <c:legend>
      <c:legendPos val="r"/>
      <c:layout>
        <c:manualLayout>
          <c:xMode val="edge"/>
          <c:yMode val="edge"/>
          <c:x val="0.18300687904208054"/>
          <c:y val="0.83606557377049184"/>
          <c:w val="0.64052390510009771"/>
          <c:h val="0.13770491803278884"/>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ÍNDICE DE VEJEZ SEGÚN COMUNAS  AÑO 2015
SERVICIO DE SALUD ACONCAGUA</a:t>
            </a:r>
          </a:p>
        </c:rich>
      </c:tx>
      <c:layout>
        <c:manualLayout>
          <c:xMode val="edge"/>
          <c:yMode val="edge"/>
          <c:x val="0.19203771659690091"/>
          <c:y val="4.0723981900452524E-2"/>
        </c:manualLayout>
      </c:layout>
      <c:overlay val="0"/>
      <c:spPr>
        <a:noFill/>
        <a:ln w="25400">
          <a:noFill/>
        </a:ln>
      </c:spPr>
    </c:title>
    <c:autoTitleDeleted val="0"/>
    <c:plotArea>
      <c:layout>
        <c:manualLayout>
          <c:layoutTarget val="inner"/>
          <c:xMode val="edge"/>
          <c:yMode val="edge"/>
          <c:x val="8.6651152951131794E-2"/>
          <c:y val="0.23076923076924241"/>
          <c:w val="0.90398229835505051"/>
          <c:h val="0.6515837104072395"/>
        </c:manualLayout>
      </c:layout>
      <c:barChart>
        <c:barDir val="col"/>
        <c:grouping val="clustered"/>
        <c:varyColors val="0"/>
        <c:ser>
          <c:idx val="0"/>
          <c:order val="0"/>
          <c:spPr>
            <a:gradFill rotWithShape="0">
              <a:gsLst>
                <a:gs pos="0">
                  <a:srgbClr val="8080FF"/>
                </a:gs>
                <a:gs pos="100000">
                  <a:srgbClr val="8080FF">
                    <a:gamma/>
                    <a:tint val="0"/>
                    <a:invGamma/>
                  </a:srgbClr>
                </a:gs>
              </a:gsLst>
              <a:lin ang="5400000" scaled="1"/>
            </a:gradFill>
            <a:ln w="12700">
              <a:solidFill>
                <a:srgbClr val="000000"/>
              </a:solidFill>
              <a:prstDash val="solid"/>
            </a:ln>
          </c:spPr>
          <c:invertIfNegative val="0"/>
          <c:cat>
            <c:strRef>
              <c:f>'12'!$J$7:$J$16</c:f>
              <c:strCache>
                <c:ptCount val="10"/>
                <c:pt idx="0">
                  <c:v>L.A.</c:v>
                </c:pt>
                <c:pt idx="1">
                  <c:v>S.E.</c:v>
                </c:pt>
                <c:pt idx="2">
                  <c:v>C.L.</c:v>
                </c:pt>
                <c:pt idx="3">
                  <c:v>RIN.</c:v>
                </c:pt>
                <c:pt idx="4">
                  <c:v>S.F.</c:v>
                </c:pt>
                <c:pt idx="5">
                  <c:v>PUT.</c:v>
                </c:pt>
                <c:pt idx="6">
                  <c:v>S.M.</c:v>
                </c:pt>
                <c:pt idx="7">
                  <c:v>PANQ.</c:v>
                </c:pt>
                <c:pt idx="8">
                  <c:v>LL.</c:v>
                </c:pt>
                <c:pt idx="9">
                  <c:v>CAT.</c:v>
                </c:pt>
              </c:strCache>
            </c:strRef>
          </c:cat>
          <c:val>
            <c:numRef>
              <c:f>'12'!$K$7:$K$16</c:f>
              <c:numCache>
                <c:formatCode>#,##0.00</c:formatCode>
                <c:ptCount val="10"/>
                <c:pt idx="0">
                  <c:v>49.988131972466178</c:v>
                </c:pt>
                <c:pt idx="1">
                  <c:v>53.816897582178754</c:v>
                </c:pt>
                <c:pt idx="2">
                  <c:v>58.651286601597164</c:v>
                </c:pt>
                <c:pt idx="3">
                  <c:v>60.791366906474821</c:v>
                </c:pt>
                <c:pt idx="4">
                  <c:v>50.329439122972154</c:v>
                </c:pt>
                <c:pt idx="5">
                  <c:v>59.184203689269943</c:v>
                </c:pt>
                <c:pt idx="6">
                  <c:v>51.413108839446785</c:v>
                </c:pt>
                <c:pt idx="7">
                  <c:v>48.757943385326399</c:v>
                </c:pt>
                <c:pt idx="8">
                  <c:v>51.338675004885673</c:v>
                </c:pt>
                <c:pt idx="9">
                  <c:v>58.313169720013825</c:v>
                </c:pt>
              </c:numCache>
            </c:numRef>
          </c:val>
        </c:ser>
        <c:dLbls>
          <c:showLegendKey val="0"/>
          <c:showVal val="0"/>
          <c:showCatName val="0"/>
          <c:showSerName val="0"/>
          <c:showPercent val="0"/>
          <c:showBubbleSize val="0"/>
        </c:dLbls>
        <c:gapWidth val="150"/>
        <c:axId val="332832872"/>
        <c:axId val="332833264"/>
      </c:barChart>
      <c:catAx>
        <c:axId val="33283287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332833264"/>
        <c:crosses val="autoZero"/>
        <c:auto val="0"/>
        <c:lblAlgn val="ctr"/>
        <c:lblOffset val="100"/>
        <c:tickLblSkip val="1"/>
        <c:tickMarkSkip val="1"/>
        <c:noMultiLvlLbl val="0"/>
      </c:catAx>
      <c:valAx>
        <c:axId val="332833264"/>
        <c:scaling>
          <c:orientation val="minMax"/>
          <c:min val="25"/>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332832872"/>
        <c:crosses val="autoZero"/>
        <c:crossBetween val="between"/>
      </c:valAx>
      <c:spPr>
        <a:solidFill>
          <a:srgbClr val="E3E3E3"/>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oddHeader>&amp;A</c:oddHeader>
      <c:oddFooter>Página &amp;P</c:oddFooter>
    </c:headerFooter>
    <c:pageMargins b="1" l="0.75000000000001465" r="0.75000000000001465" t="1" header="0.511811024" footer="0.511811024"/>
    <c:pageSetup orientation="landscape" horizontalDpi="300" verticalDpi="300"/>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Indice  Ocupacional y Promedio  dias estada
Hospital  San  Camilo
</a:t>
            </a:r>
          </a:p>
        </c:rich>
      </c:tx>
      <c:layout>
        <c:manualLayout>
          <c:xMode val="edge"/>
          <c:yMode val="edge"/>
          <c:x val="0.22003318550698694"/>
          <c:y val="3.6544850498338874E-2"/>
        </c:manualLayout>
      </c:layout>
      <c:overlay val="0"/>
      <c:spPr>
        <a:noFill/>
        <a:ln w="25400">
          <a:noFill/>
        </a:ln>
      </c:spPr>
    </c:title>
    <c:autoTitleDeleted val="0"/>
    <c:plotArea>
      <c:layout>
        <c:manualLayout>
          <c:layoutTarget val="inner"/>
          <c:xMode val="edge"/>
          <c:yMode val="edge"/>
          <c:x val="7.8817860378598989E-2"/>
          <c:y val="0.29568154277658909"/>
          <c:w val="0.83579772776472661"/>
          <c:h val="0.46511703358115125"/>
        </c:manualLayout>
      </c:layout>
      <c:lineChart>
        <c:grouping val="standard"/>
        <c:varyColors val="0"/>
        <c:ser>
          <c:idx val="1"/>
          <c:order val="0"/>
          <c:tx>
            <c:v>indice</c:v>
          </c:tx>
          <c:spPr>
            <a:ln w="25400">
              <a:solidFill>
                <a:srgbClr val="FF0000"/>
              </a:solidFill>
              <a:prstDash val="solid"/>
            </a:ln>
          </c:spPr>
          <c:marker>
            <c:symbol val="none"/>
          </c:marker>
          <c:cat>
            <c:numRef>
              <c:f>'84'!$B$9:$B$18</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'84'!$F$9:$F$18</c:f>
              <c:numCache>
                <c:formatCode>#,##0.0</c:formatCode>
                <c:ptCount val="10"/>
                <c:pt idx="0">
                  <c:v>70.7</c:v>
                </c:pt>
                <c:pt idx="1">
                  <c:v>71.776185468685043</c:v>
                </c:pt>
                <c:pt idx="2">
                  <c:v>71.5</c:v>
                </c:pt>
                <c:pt idx="3">
                  <c:v>73.900000000000006</c:v>
                </c:pt>
                <c:pt idx="4">
                  <c:v>66.399807379762834</c:v>
                </c:pt>
                <c:pt idx="5">
                  <c:v>68.17643395327822</c:v>
                </c:pt>
                <c:pt idx="6">
                  <c:v>68.993356931581246</c:v>
                </c:pt>
                <c:pt idx="7">
                  <c:v>69.163118502614111</c:v>
                </c:pt>
                <c:pt idx="8">
                  <c:v>69.898782801324415</c:v>
                </c:pt>
                <c:pt idx="9">
                  <c:v>64.493501618730349</c:v>
                </c:pt>
              </c:numCache>
            </c:numRef>
          </c:val>
          <c:smooth val="0"/>
        </c:ser>
        <c:dLbls>
          <c:showLegendKey val="0"/>
          <c:showVal val="0"/>
          <c:showCatName val="0"/>
          <c:showSerName val="0"/>
          <c:showPercent val="0"/>
          <c:showBubbleSize val="0"/>
        </c:dLbls>
        <c:marker val="1"/>
        <c:smooth val="0"/>
        <c:axId val="339394568"/>
        <c:axId val="339394960"/>
      </c:lineChart>
      <c:lineChart>
        <c:grouping val="standard"/>
        <c:varyColors val="0"/>
        <c:ser>
          <c:idx val="0"/>
          <c:order val="1"/>
          <c:tx>
            <c:v>Promedio</c:v>
          </c:tx>
          <c:spPr>
            <a:ln w="25400">
              <a:solidFill>
                <a:srgbClr val="000080"/>
              </a:solidFill>
              <a:prstDash val="solid"/>
            </a:ln>
          </c:spPr>
          <c:marker>
            <c:symbol val="none"/>
          </c:marker>
          <c:cat>
            <c:numRef>
              <c:f>'84'!$G$9:$G$18</c:f>
              <c:numCache>
                <c:formatCode>0.00</c:formatCode>
                <c:ptCount val="10"/>
                <c:pt idx="0">
                  <c:v>5.25</c:v>
                </c:pt>
                <c:pt idx="1">
                  <c:v>5.3102922718307335</c:v>
                </c:pt>
                <c:pt idx="2">
                  <c:v>5.42</c:v>
                </c:pt>
                <c:pt idx="3">
                  <c:v>5.27</c:v>
                </c:pt>
                <c:pt idx="4">
                  <c:v>5.3011185243328098</c:v>
                </c:pt>
                <c:pt idx="5">
                  <c:v>5.3314285714285718</c:v>
                </c:pt>
                <c:pt idx="6">
                  <c:v>4.9829590142445159</c:v>
                </c:pt>
                <c:pt idx="7">
                  <c:v>5.0448853615520282</c:v>
                </c:pt>
                <c:pt idx="8">
                  <c:v>5.0907264814194848</c:v>
                </c:pt>
                <c:pt idx="9">
                  <c:v>4.7750634795552056</c:v>
                </c:pt>
              </c:numCache>
            </c:numRef>
          </c:cat>
          <c:val>
            <c:numRef>
              <c:f>'84'!$G$9:$G$18</c:f>
              <c:numCache>
                <c:formatCode>0.00</c:formatCode>
                <c:ptCount val="10"/>
                <c:pt idx="0">
                  <c:v>5.25</c:v>
                </c:pt>
                <c:pt idx="1">
                  <c:v>5.3102922718307335</c:v>
                </c:pt>
                <c:pt idx="2">
                  <c:v>5.42</c:v>
                </c:pt>
                <c:pt idx="3">
                  <c:v>5.27</c:v>
                </c:pt>
                <c:pt idx="4">
                  <c:v>5.3011185243328098</c:v>
                </c:pt>
                <c:pt idx="5">
                  <c:v>5.3314285714285718</c:v>
                </c:pt>
                <c:pt idx="6">
                  <c:v>4.9829590142445159</c:v>
                </c:pt>
                <c:pt idx="7">
                  <c:v>5.0448853615520282</c:v>
                </c:pt>
                <c:pt idx="8">
                  <c:v>5.0907264814194848</c:v>
                </c:pt>
                <c:pt idx="9">
                  <c:v>4.7750634795552056</c:v>
                </c:pt>
              </c:numCache>
            </c:numRef>
          </c:val>
          <c:smooth val="0"/>
        </c:ser>
        <c:dLbls>
          <c:showLegendKey val="0"/>
          <c:showVal val="0"/>
          <c:showCatName val="0"/>
          <c:showSerName val="0"/>
          <c:showPercent val="0"/>
          <c:showBubbleSize val="0"/>
        </c:dLbls>
        <c:marker val="1"/>
        <c:smooth val="0"/>
        <c:axId val="339395352"/>
        <c:axId val="339395744"/>
      </c:lineChart>
      <c:catAx>
        <c:axId val="33939456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I. Ocup.</a:t>
                </a:r>
              </a:p>
            </c:rich>
          </c:tx>
          <c:layout>
            <c:manualLayout>
              <c:xMode val="edge"/>
              <c:yMode val="edge"/>
              <c:x val="9.8522167487693664E-3"/>
              <c:y val="0.2059804152387929"/>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39394960"/>
        <c:crosses val="autoZero"/>
        <c:auto val="0"/>
        <c:lblAlgn val="ctr"/>
        <c:lblOffset val="100"/>
        <c:tickLblSkip val="1"/>
        <c:tickMarkSkip val="1"/>
        <c:noMultiLvlLbl val="0"/>
      </c:catAx>
      <c:valAx>
        <c:axId val="339394960"/>
        <c:scaling>
          <c:orientation val="minMax"/>
          <c:max val="74"/>
          <c:min val="60"/>
        </c:scaling>
        <c:delete val="0"/>
        <c:axPos val="l"/>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39394568"/>
        <c:crosses val="autoZero"/>
        <c:crossBetween val="between"/>
        <c:majorUnit val="2"/>
        <c:minorUnit val="2"/>
      </c:valAx>
      <c:catAx>
        <c:axId val="339395352"/>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 dias</a:t>
                </a:r>
              </a:p>
            </c:rich>
          </c:tx>
          <c:layout>
            <c:manualLayout>
              <c:xMode val="edge"/>
              <c:yMode val="edge"/>
              <c:x val="0.88998495877670458"/>
              <c:y val="0.19269137869394232"/>
            </c:manualLayout>
          </c:layout>
          <c:overlay val="0"/>
          <c:spPr>
            <a:noFill/>
            <a:ln w="25400">
              <a:noFill/>
            </a:ln>
          </c:spPr>
        </c:title>
        <c:numFmt formatCode="0.00" sourceLinked="1"/>
        <c:majorTickMark val="out"/>
        <c:minorTickMark val="none"/>
        <c:tickLblPos val="nextTo"/>
        <c:crossAx val="339395744"/>
        <c:crosses val="autoZero"/>
        <c:auto val="0"/>
        <c:lblAlgn val="ctr"/>
        <c:lblOffset val="100"/>
        <c:noMultiLvlLbl val="0"/>
      </c:catAx>
      <c:valAx>
        <c:axId val="339395744"/>
        <c:scaling>
          <c:orientation val="minMax"/>
          <c:max val="5.5"/>
          <c:min val="4.5"/>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39395352"/>
        <c:crosses val="max"/>
        <c:crossBetween val="between"/>
        <c:majorUnit val="0.5"/>
      </c:valAx>
      <c:spPr>
        <a:noFill/>
        <a:ln w="25400">
          <a:noFill/>
        </a:ln>
      </c:spPr>
    </c:plotArea>
    <c:legend>
      <c:legendPos val="r"/>
      <c:layout>
        <c:manualLayout>
          <c:xMode val="edge"/>
          <c:yMode val="edge"/>
          <c:x val="0.23481151063013672"/>
          <c:y val="0.85049973404490065"/>
          <c:w val="0.64367919527302953"/>
          <c:h val="0.1395352325145197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Numero  de Egresos  y  Promedio  de  Camas
Hospital  Los  Andes
</a:t>
            </a:r>
          </a:p>
        </c:rich>
      </c:tx>
      <c:layout>
        <c:manualLayout>
          <c:xMode val="edge"/>
          <c:yMode val="edge"/>
          <c:x val="0.21322314049587687"/>
          <c:y val="3.6065573770491806E-2"/>
        </c:manualLayout>
      </c:layout>
      <c:overlay val="0"/>
      <c:spPr>
        <a:noFill/>
        <a:ln w="25400">
          <a:noFill/>
        </a:ln>
      </c:spPr>
    </c:title>
    <c:autoTitleDeleted val="0"/>
    <c:plotArea>
      <c:layout>
        <c:manualLayout>
          <c:layoutTarget val="inner"/>
          <c:xMode val="edge"/>
          <c:yMode val="edge"/>
          <c:x val="9.9173553719008253E-2"/>
          <c:y val="0.29180327868852457"/>
          <c:w val="0.81983471074380165"/>
          <c:h val="0.47213114754098329"/>
        </c:manualLayout>
      </c:layout>
      <c:lineChart>
        <c:grouping val="standard"/>
        <c:varyColors val="0"/>
        <c:ser>
          <c:idx val="1"/>
          <c:order val="0"/>
          <c:tx>
            <c:v>N° de  Egresos</c:v>
          </c:tx>
          <c:spPr>
            <a:ln w="25400">
              <a:solidFill>
                <a:srgbClr val="FF0000"/>
              </a:solidFill>
              <a:prstDash val="solid"/>
            </a:ln>
          </c:spPr>
          <c:marker>
            <c:symbol val="none"/>
          </c:marker>
          <c:cat>
            <c:numRef>
              <c:f>'85'!$B$9:$B$18</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'85'!$E$9:$E$18</c:f>
              <c:numCache>
                <c:formatCode>#,##0</c:formatCode>
                <c:ptCount val="10"/>
                <c:pt idx="0">
                  <c:v>10001</c:v>
                </c:pt>
                <c:pt idx="1">
                  <c:v>9882</c:v>
                </c:pt>
                <c:pt idx="2">
                  <c:v>8940</c:v>
                </c:pt>
                <c:pt idx="3">
                  <c:v>7635</c:v>
                </c:pt>
                <c:pt idx="4">
                  <c:v>9004</c:v>
                </c:pt>
                <c:pt idx="5">
                  <c:v>10483</c:v>
                </c:pt>
                <c:pt idx="6">
                  <c:v>10303</c:v>
                </c:pt>
                <c:pt idx="7">
                  <c:v>10041</c:v>
                </c:pt>
                <c:pt idx="8">
                  <c:v>9671</c:v>
                </c:pt>
                <c:pt idx="9">
                  <c:v>9361</c:v>
                </c:pt>
              </c:numCache>
            </c:numRef>
          </c:val>
          <c:smooth val="0"/>
        </c:ser>
        <c:dLbls>
          <c:showLegendKey val="0"/>
          <c:showVal val="0"/>
          <c:showCatName val="0"/>
          <c:showSerName val="0"/>
          <c:showPercent val="0"/>
          <c:showBubbleSize val="0"/>
        </c:dLbls>
        <c:marker val="1"/>
        <c:smooth val="0"/>
        <c:axId val="339396528"/>
        <c:axId val="339396920"/>
      </c:lineChart>
      <c:lineChart>
        <c:grouping val="standard"/>
        <c:varyColors val="0"/>
        <c:ser>
          <c:idx val="0"/>
          <c:order val="1"/>
          <c:tx>
            <c:v>Promedio  de  Camas</c:v>
          </c:tx>
          <c:spPr>
            <a:ln w="25400">
              <a:solidFill>
                <a:srgbClr val="000080"/>
              </a:solidFill>
              <a:prstDash val="solid"/>
            </a:ln>
          </c:spPr>
          <c:marker>
            <c:symbol val="none"/>
          </c:marker>
          <c:cat>
            <c:numRef>
              <c:f>'85'!$C$9:$C$18</c:f>
              <c:numCache>
                <c:formatCode>General</c:formatCode>
                <c:ptCount val="10"/>
                <c:pt idx="0">
                  <c:v>214</c:v>
                </c:pt>
                <c:pt idx="1">
                  <c:v>214</c:v>
                </c:pt>
                <c:pt idx="2">
                  <c:v>214</c:v>
                </c:pt>
                <c:pt idx="3">
                  <c:v>214</c:v>
                </c:pt>
                <c:pt idx="4">
                  <c:v>214</c:v>
                </c:pt>
                <c:pt idx="5">
                  <c:v>163</c:v>
                </c:pt>
                <c:pt idx="6">
                  <c:v>163</c:v>
                </c:pt>
                <c:pt idx="7">
                  <c:v>163</c:v>
                </c:pt>
                <c:pt idx="8">
                  <c:v>168</c:v>
                </c:pt>
                <c:pt idx="9">
                  <c:v>168</c:v>
                </c:pt>
              </c:numCache>
            </c:numRef>
          </c:cat>
          <c:val>
            <c:numRef>
              <c:f>'85'!$D$9:$D$18</c:f>
              <c:numCache>
                <c:formatCode>General</c:formatCode>
                <c:ptCount val="10"/>
                <c:pt idx="0">
                  <c:v>201</c:v>
                </c:pt>
                <c:pt idx="1">
                  <c:v>203</c:v>
                </c:pt>
                <c:pt idx="2">
                  <c:v>152</c:v>
                </c:pt>
                <c:pt idx="3">
                  <c:v>122</c:v>
                </c:pt>
                <c:pt idx="4">
                  <c:v>129</c:v>
                </c:pt>
                <c:pt idx="5">
                  <c:v>158</c:v>
                </c:pt>
                <c:pt idx="6">
                  <c:v>158</c:v>
                </c:pt>
                <c:pt idx="7">
                  <c:v>156</c:v>
                </c:pt>
                <c:pt idx="8" formatCode="0">
                  <c:v>160.48219178082192</c:v>
                </c:pt>
                <c:pt idx="9" formatCode="0">
                  <c:v>160.25753424657535</c:v>
                </c:pt>
              </c:numCache>
            </c:numRef>
          </c:val>
          <c:smooth val="0"/>
        </c:ser>
        <c:dLbls>
          <c:showLegendKey val="0"/>
          <c:showVal val="0"/>
          <c:showCatName val="0"/>
          <c:showSerName val="0"/>
          <c:showPercent val="0"/>
          <c:showBubbleSize val="0"/>
        </c:dLbls>
        <c:marker val="1"/>
        <c:smooth val="0"/>
        <c:axId val="339397312"/>
        <c:axId val="339397704"/>
      </c:lineChart>
      <c:catAx>
        <c:axId val="33939652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Egresos</a:t>
                </a:r>
              </a:p>
            </c:rich>
          </c:tx>
          <c:layout>
            <c:manualLayout>
              <c:xMode val="edge"/>
              <c:yMode val="edge"/>
              <c:x val="2.644628099173554E-2"/>
              <c:y val="0.20327868852459041"/>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39396920"/>
        <c:crosses val="autoZero"/>
        <c:auto val="0"/>
        <c:lblAlgn val="ctr"/>
        <c:lblOffset val="100"/>
        <c:tickLblSkip val="1"/>
        <c:tickMarkSkip val="1"/>
        <c:noMultiLvlLbl val="0"/>
      </c:catAx>
      <c:valAx>
        <c:axId val="339396920"/>
        <c:scaling>
          <c:orientation val="minMax"/>
          <c:max val="10500"/>
          <c:min val="7000"/>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39396528"/>
        <c:crosses val="autoZero"/>
        <c:crossBetween val="between"/>
        <c:majorUnit val="500"/>
        <c:minorUnit val="500"/>
      </c:valAx>
      <c:catAx>
        <c:axId val="339397312"/>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Camas</a:t>
                </a:r>
              </a:p>
            </c:rich>
          </c:tx>
          <c:layout>
            <c:manualLayout>
              <c:xMode val="edge"/>
              <c:yMode val="edge"/>
              <c:x val="0.90247933884297449"/>
              <c:y val="0.19016393442623244"/>
            </c:manualLayout>
          </c:layout>
          <c:overlay val="0"/>
          <c:spPr>
            <a:noFill/>
            <a:ln w="25400">
              <a:noFill/>
            </a:ln>
          </c:spPr>
        </c:title>
        <c:numFmt formatCode="General" sourceLinked="1"/>
        <c:majorTickMark val="out"/>
        <c:minorTickMark val="none"/>
        <c:tickLblPos val="nextTo"/>
        <c:crossAx val="339397704"/>
        <c:crosses val="autoZero"/>
        <c:auto val="0"/>
        <c:lblAlgn val="ctr"/>
        <c:lblOffset val="100"/>
        <c:noMultiLvlLbl val="0"/>
      </c:catAx>
      <c:valAx>
        <c:axId val="339397704"/>
        <c:scaling>
          <c:orientation val="minMax"/>
          <c:max val="220"/>
          <c:min val="10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39397312"/>
        <c:crosses val="max"/>
        <c:crossBetween val="between"/>
        <c:majorUnit val="50"/>
      </c:valAx>
      <c:spPr>
        <a:noFill/>
        <a:ln w="25400">
          <a:noFill/>
        </a:ln>
      </c:spPr>
    </c:plotArea>
    <c:legend>
      <c:legendPos val="r"/>
      <c:layout>
        <c:manualLayout>
          <c:xMode val="edge"/>
          <c:yMode val="edge"/>
          <c:x val="0.18016528925620623"/>
          <c:y val="0.83606557377049184"/>
          <c:w val="0.64793388429752363"/>
          <c:h val="0.13770491803278884"/>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Indice  Ocupacional y Promedio  dias estada
Hospital  Los  Andes</a:t>
            </a:r>
          </a:p>
        </c:rich>
      </c:tx>
      <c:layout>
        <c:manualLayout>
          <c:xMode val="edge"/>
          <c:yMode val="edge"/>
          <c:x val="0.21594684385383414"/>
          <c:y val="3.6544850498338874E-2"/>
        </c:manualLayout>
      </c:layout>
      <c:overlay val="0"/>
      <c:spPr>
        <a:noFill/>
        <a:ln w="25400">
          <a:noFill/>
        </a:ln>
      </c:spPr>
    </c:title>
    <c:autoTitleDeleted val="0"/>
    <c:plotArea>
      <c:layout>
        <c:manualLayout>
          <c:layoutTarget val="inner"/>
          <c:xMode val="edge"/>
          <c:yMode val="edge"/>
          <c:x val="7.9734219269103124E-2"/>
          <c:y val="0.29568154277658909"/>
          <c:w val="0.83388704318936879"/>
          <c:h val="0.46511703358115125"/>
        </c:manualLayout>
      </c:layout>
      <c:lineChart>
        <c:grouping val="standard"/>
        <c:varyColors val="0"/>
        <c:ser>
          <c:idx val="1"/>
          <c:order val="0"/>
          <c:tx>
            <c:v>indice</c:v>
          </c:tx>
          <c:spPr>
            <a:ln w="25400">
              <a:solidFill>
                <a:srgbClr val="FF0000"/>
              </a:solidFill>
              <a:prstDash val="solid"/>
            </a:ln>
          </c:spPr>
          <c:marker>
            <c:symbol val="none"/>
          </c:marker>
          <c:cat>
            <c:numRef>
              <c:f>'85'!$B$9:$B$18</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'85'!$F$9:$F$18</c:f>
              <c:numCache>
                <c:formatCode>#,##0.0</c:formatCode>
                <c:ptCount val="10"/>
                <c:pt idx="0">
                  <c:v>62.7</c:v>
                </c:pt>
                <c:pt idx="1">
                  <c:v>64.468839768574085</c:v>
                </c:pt>
                <c:pt idx="2">
                  <c:v>67.599999999999994</c:v>
                </c:pt>
                <c:pt idx="3">
                  <c:v>74.8</c:v>
                </c:pt>
                <c:pt idx="4">
                  <c:v>80.626210595772761</c:v>
                </c:pt>
                <c:pt idx="5">
                  <c:v>82.908376234868513</c:v>
                </c:pt>
                <c:pt idx="6">
                  <c:v>80.20476635190758</c:v>
                </c:pt>
                <c:pt idx="7">
                  <c:v>80.940450953941038</c:v>
                </c:pt>
                <c:pt idx="8">
                  <c:v>78.718246380770282</c:v>
                </c:pt>
                <c:pt idx="9">
                  <c:v>80.627072862173904</c:v>
                </c:pt>
              </c:numCache>
            </c:numRef>
          </c:val>
          <c:smooth val="0"/>
        </c:ser>
        <c:dLbls>
          <c:showLegendKey val="0"/>
          <c:showVal val="0"/>
          <c:showCatName val="0"/>
          <c:showSerName val="0"/>
          <c:showPercent val="0"/>
          <c:showBubbleSize val="0"/>
        </c:dLbls>
        <c:marker val="1"/>
        <c:smooth val="0"/>
        <c:axId val="339398488"/>
        <c:axId val="339398880"/>
      </c:lineChart>
      <c:lineChart>
        <c:grouping val="standard"/>
        <c:varyColors val="0"/>
        <c:ser>
          <c:idx val="0"/>
          <c:order val="1"/>
          <c:tx>
            <c:v>Promedio</c:v>
          </c:tx>
          <c:spPr>
            <a:ln w="25400">
              <a:solidFill>
                <a:srgbClr val="000080"/>
              </a:solidFill>
              <a:prstDash val="solid"/>
            </a:ln>
          </c:spPr>
          <c:marker>
            <c:symbol val="none"/>
          </c:marker>
          <c:cat>
            <c:numRef>
              <c:f>'85'!$G$9:$G$18</c:f>
              <c:numCache>
                <c:formatCode>0.00</c:formatCode>
                <c:ptCount val="10"/>
                <c:pt idx="0">
                  <c:v>4.63</c:v>
                </c:pt>
                <c:pt idx="1">
                  <c:v>4.8595426027120014</c:v>
                </c:pt>
                <c:pt idx="2">
                  <c:v>4.18</c:v>
                </c:pt>
                <c:pt idx="3">
                  <c:v>4.45</c:v>
                </c:pt>
                <c:pt idx="4">
                  <c:v>4.5062194580186583</c:v>
                </c:pt>
                <c:pt idx="5">
                  <c:v>4.5489840694457691</c:v>
                </c:pt>
                <c:pt idx="6">
                  <c:v>4.5715810928855669</c:v>
                </c:pt>
                <c:pt idx="7">
                  <c:v>4.6188626630813667</c:v>
                </c:pt>
                <c:pt idx="8">
                  <c:v>4.7527660014476272</c:v>
                </c:pt>
                <c:pt idx="9">
                  <c:v>5.0138874051917526</c:v>
                </c:pt>
              </c:numCache>
            </c:numRef>
          </c:cat>
          <c:val>
            <c:numRef>
              <c:f>'85'!$G$9:$G$18</c:f>
              <c:numCache>
                <c:formatCode>0.00</c:formatCode>
                <c:ptCount val="10"/>
                <c:pt idx="0">
                  <c:v>4.63</c:v>
                </c:pt>
                <c:pt idx="1">
                  <c:v>4.8595426027120014</c:v>
                </c:pt>
                <c:pt idx="2">
                  <c:v>4.18</c:v>
                </c:pt>
                <c:pt idx="3">
                  <c:v>4.45</c:v>
                </c:pt>
                <c:pt idx="4">
                  <c:v>4.5062194580186583</c:v>
                </c:pt>
                <c:pt idx="5">
                  <c:v>4.5489840694457691</c:v>
                </c:pt>
                <c:pt idx="6">
                  <c:v>4.5715810928855669</c:v>
                </c:pt>
                <c:pt idx="7">
                  <c:v>4.6188626630813667</c:v>
                </c:pt>
                <c:pt idx="8">
                  <c:v>4.7527660014476272</c:v>
                </c:pt>
                <c:pt idx="9">
                  <c:v>5.0138874051917526</c:v>
                </c:pt>
              </c:numCache>
            </c:numRef>
          </c:val>
          <c:smooth val="0"/>
        </c:ser>
        <c:dLbls>
          <c:showLegendKey val="0"/>
          <c:showVal val="0"/>
          <c:showCatName val="0"/>
          <c:showSerName val="0"/>
          <c:showPercent val="0"/>
          <c:showBubbleSize val="0"/>
        </c:dLbls>
        <c:marker val="1"/>
        <c:smooth val="0"/>
        <c:axId val="339399272"/>
        <c:axId val="339399664"/>
      </c:lineChart>
      <c:catAx>
        <c:axId val="33939848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I. Ocup.</a:t>
                </a:r>
              </a:p>
            </c:rich>
          </c:tx>
          <c:layout>
            <c:manualLayout>
              <c:xMode val="edge"/>
              <c:yMode val="edge"/>
              <c:x val="1.1627906976744136E-2"/>
              <c:y val="0.2059804152387929"/>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39398880"/>
        <c:crosses val="autoZero"/>
        <c:auto val="0"/>
        <c:lblAlgn val="ctr"/>
        <c:lblOffset val="100"/>
        <c:tickLblSkip val="1"/>
        <c:tickMarkSkip val="1"/>
        <c:noMultiLvlLbl val="0"/>
      </c:catAx>
      <c:valAx>
        <c:axId val="339398880"/>
        <c:scaling>
          <c:orientation val="minMax"/>
          <c:max val="85"/>
          <c:min val="60"/>
        </c:scaling>
        <c:delete val="0"/>
        <c:axPos val="l"/>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39398488"/>
        <c:crosses val="autoZero"/>
        <c:crossBetween val="between"/>
        <c:majorUnit val="5"/>
        <c:minorUnit val="5"/>
      </c:valAx>
      <c:catAx>
        <c:axId val="339399272"/>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 dias</a:t>
                </a:r>
              </a:p>
            </c:rich>
          </c:tx>
          <c:layout>
            <c:manualLayout>
              <c:xMode val="edge"/>
              <c:yMode val="edge"/>
              <c:x val="0.88870431893687762"/>
              <c:y val="0.19269137869394232"/>
            </c:manualLayout>
          </c:layout>
          <c:overlay val="0"/>
          <c:spPr>
            <a:noFill/>
            <a:ln w="25400">
              <a:noFill/>
            </a:ln>
          </c:spPr>
        </c:title>
        <c:numFmt formatCode="0.00" sourceLinked="1"/>
        <c:majorTickMark val="out"/>
        <c:minorTickMark val="none"/>
        <c:tickLblPos val="nextTo"/>
        <c:crossAx val="339399664"/>
        <c:crosses val="autoZero"/>
        <c:auto val="0"/>
        <c:lblAlgn val="ctr"/>
        <c:lblOffset val="100"/>
        <c:noMultiLvlLbl val="0"/>
      </c:catAx>
      <c:valAx>
        <c:axId val="339399664"/>
        <c:scaling>
          <c:orientation val="minMax"/>
          <c:max val="5.5"/>
          <c:min val="4"/>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39399272"/>
        <c:crosses val="max"/>
        <c:crossBetween val="between"/>
        <c:majorUnit val="0.5"/>
        <c:minorUnit val="0.5"/>
      </c:valAx>
      <c:spPr>
        <a:noFill/>
        <a:ln w="25400">
          <a:noFill/>
        </a:ln>
      </c:spPr>
    </c:plotArea>
    <c:legend>
      <c:legendPos val="r"/>
      <c:layout>
        <c:manualLayout>
          <c:xMode val="edge"/>
          <c:yMode val="edge"/>
          <c:x val="0.22425249169435221"/>
          <c:y val="0.85049973404490065"/>
          <c:w val="0.65116279069767469"/>
          <c:h val="0.1395352325145197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Numero  de Egresos  y  Promedio  de  Camas
Hospital Llay Llay
</a:t>
            </a:r>
          </a:p>
        </c:rich>
      </c:tx>
      <c:layout>
        <c:manualLayout>
          <c:xMode val="edge"/>
          <c:yMode val="edge"/>
          <c:x val="0.21696591351855896"/>
          <c:y val="3.6065573770491806E-2"/>
        </c:manualLayout>
      </c:layout>
      <c:overlay val="0"/>
      <c:spPr>
        <a:noFill/>
        <a:ln w="25400">
          <a:noFill/>
        </a:ln>
      </c:spPr>
    </c:title>
    <c:autoTitleDeleted val="0"/>
    <c:plotArea>
      <c:layout>
        <c:manualLayout>
          <c:layoutTarget val="inner"/>
          <c:xMode val="edge"/>
          <c:yMode val="edge"/>
          <c:x val="8.8091424165405247E-2"/>
          <c:y val="0.29180327868852457"/>
          <c:w val="0.84176249758052635"/>
          <c:h val="0.47213114754098329"/>
        </c:manualLayout>
      </c:layout>
      <c:lineChart>
        <c:grouping val="standard"/>
        <c:varyColors val="0"/>
        <c:ser>
          <c:idx val="1"/>
          <c:order val="0"/>
          <c:tx>
            <c:v>N° de  Egresos</c:v>
          </c:tx>
          <c:spPr>
            <a:ln w="25400">
              <a:solidFill>
                <a:srgbClr val="FF0000"/>
              </a:solidFill>
              <a:prstDash val="solid"/>
            </a:ln>
          </c:spPr>
          <c:marker>
            <c:symbol val="none"/>
          </c:marker>
          <c:cat>
            <c:numRef>
              <c:f>'86'!$B$9:$B$18</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'86'!$E$9:$E$18</c:f>
              <c:numCache>
                <c:formatCode>#,##0</c:formatCode>
                <c:ptCount val="10"/>
                <c:pt idx="0">
                  <c:v>1956</c:v>
                </c:pt>
                <c:pt idx="1">
                  <c:v>1960</c:v>
                </c:pt>
                <c:pt idx="2">
                  <c:v>1671</c:v>
                </c:pt>
                <c:pt idx="3">
                  <c:v>1989</c:v>
                </c:pt>
                <c:pt idx="4">
                  <c:v>2091</c:v>
                </c:pt>
                <c:pt idx="5">
                  <c:v>1863</c:v>
                </c:pt>
                <c:pt idx="6">
                  <c:v>1709</c:v>
                </c:pt>
                <c:pt idx="7">
                  <c:v>1248</c:v>
                </c:pt>
                <c:pt idx="8">
                  <c:v>1480</c:v>
                </c:pt>
                <c:pt idx="9">
                  <c:v>1442</c:v>
                </c:pt>
              </c:numCache>
            </c:numRef>
          </c:val>
          <c:smooth val="0"/>
        </c:ser>
        <c:dLbls>
          <c:showLegendKey val="0"/>
          <c:showVal val="0"/>
          <c:showCatName val="0"/>
          <c:showSerName val="0"/>
          <c:showPercent val="0"/>
          <c:showBubbleSize val="0"/>
        </c:dLbls>
        <c:marker val="1"/>
        <c:smooth val="0"/>
        <c:axId val="339400448"/>
        <c:axId val="339400840"/>
      </c:lineChart>
      <c:lineChart>
        <c:grouping val="standard"/>
        <c:varyColors val="0"/>
        <c:ser>
          <c:idx val="0"/>
          <c:order val="1"/>
          <c:tx>
            <c:v>Promedio  de  Camas</c:v>
          </c:tx>
          <c:spPr>
            <a:ln w="25400">
              <a:solidFill>
                <a:srgbClr val="000080"/>
              </a:solidFill>
              <a:prstDash val="solid"/>
            </a:ln>
          </c:spPr>
          <c:marker>
            <c:symbol val="none"/>
          </c:marker>
          <c:cat>
            <c:numRef>
              <c:f>'86'!$C$9:$C$18</c:f>
              <c:numCache>
                <c:formatCode>General</c:formatCode>
                <c:ptCount val="10"/>
                <c:pt idx="0">
                  <c:v>69</c:v>
                </c:pt>
                <c:pt idx="1">
                  <c:v>69</c:v>
                </c:pt>
                <c:pt idx="2">
                  <c:v>69</c:v>
                </c:pt>
                <c:pt idx="3">
                  <c:v>45</c:v>
                </c:pt>
                <c:pt idx="4">
                  <c:v>45</c:v>
                </c:pt>
                <c:pt idx="5">
                  <c:v>45</c:v>
                </c:pt>
                <c:pt idx="6">
                  <c:v>45</c:v>
                </c:pt>
                <c:pt idx="7">
                  <c:v>45</c:v>
                </c:pt>
                <c:pt idx="8">
                  <c:v>45</c:v>
                </c:pt>
                <c:pt idx="9">
                  <c:v>45</c:v>
                </c:pt>
              </c:numCache>
            </c:numRef>
          </c:cat>
          <c:val>
            <c:numRef>
              <c:f>'86'!$D$9:$D$18</c:f>
              <c:numCache>
                <c:formatCode>General</c:formatCode>
                <c:ptCount val="10"/>
                <c:pt idx="0">
                  <c:v>60</c:v>
                </c:pt>
                <c:pt idx="1">
                  <c:v>55</c:v>
                </c:pt>
                <c:pt idx="2">
                  <c:v>46</c:v>
                </c:pt>
                <c:pt idx="3">
                  <c:v>45</c:v>
                </c:pt>
                <c:pt idx="4">
                  <c:v>44</c:v>
                </c:pt>
                <c:pt idx="5">
                  <c:v>43</c:v>
                </c:pt>
                <c:pt idx="6">
                  <c:v>44</c:v>
                </c:pt>
                <c:pt idx="7">
                  <c:v>35</c:v>
                </c:pt>
                <c:pt idx="8" formatCode="0">
                  <c:v>43.794520547945204</c:v>
                </c:pt>
                <c:pt idx="9" formatCode="0">
                  <c:v>43.972602739726028</c:v>
                </c:pt>
              </c:numCache>
            </c:numRef>
          </c:val>
          <c:smooth val="0"/>
        </c:ser>
        <c:dLbls>
          <c:showLegendKey val="0"/>
          <c:showVal val="0"/>
          <c:showCatName val="0"/>
          <c:showSerName val="0"/>
          <c:showPercent val="0"/>
          <c:showBubbleSize val="0"/>
        </c:dLbls>
        <c:marker val="1"/>
        <c:smooth val="0"/>
        <c:axId val="339401232"/>
        <c:axId val="339401624"/>
      </c:lineChart>
      <c:catAx>
        <c:axId val="33940044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Egresos</a:t>
                </a:r>
              </a:p>
            </c:rich>
          </c:tx>
          <c:layout>
            <c:manualLayout>
              <c:xMode val="edge"/>
              <c:yMode val="edge"/>
              <c:x val="2.5557368134855901E-2"/>
              <c:y val="0.15081967213114755"/>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39400840"/>
        <c:crosses val="autoZero"/>
        <c:auto val="0"/>
        <c:lblAlgn val="ctr"/>
        <c:lblOffset val="100"/>
        <c:tickLblSkip val="1"/>
        <c:tickMarkSkip val="1"/>
        <c:noMultiLvlLbl val="0"/>
      </c:catAx>
      <c:valAx>
        <c:axId val="339400840"/>
        <c:scaling>
          <c:orientation val="minMax"/>
          <c:max val="2400"/>
          <c:min val="1200"/>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39400448"/>
        <c:crosses val="autoZero"/>
        <c:crossBetween val="between"/>
        <c:majorUnit val="200"/>
        <c:minorUnit val="100"/>
      </c:valAx>
      <c:catAx>
        <c:axId val="339401232"/>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Camas</a:t>
                </a:r>
              </a:p>
            </c:rich>
          </c:tx>
          <c:layout>
            <c:manualLayout>
              <c:xMode val="edge"/>
              <c:yMode val="edge"/>
              <c:x val="0.91354065244291449"/>
              <c:y val="0.14644808743169399"/>
            </c:manualLayout>
          </c:layout>
          <c:overlay val="0"/>
          <c:spPr>
            <a:noFill/>
            <a:ln w="25400">
              <a:noFill/>
            </a:ln>
          </c:spPr>
        </c:title>
        <c:numFmt formatCode="General" sourceLinked="1"/>
        <c:majorTickMark val="out"/>
        <c:minorTickMark val="none"/>
        <c:tickLblPos val="nextTo"/>
        <c:crossAx val="339401624"/>
        <c:crosses val="autoZero"/>
        <c:auto val="0"/>
        <c:lblAlgn val="ctr"/>
        <c:lblOffset val="100"/>
        <c:noMultiLvlLbl val="0"/>
      </c:catAx>
      <c:valAx>
        <c:axId val="339401624"/>
        <c:scaling>
          <c:orientation val="minMax"/>
          <c:max val="60"/>
          <c:min val="3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39401232"/>
        <c:crosses val="max"/>
        <c:crossBetween val="between"/>
        <c:majorUnit val="5"/>
      </c:valAx>
      <c:spPr>
        <a:noFill/>
        <a:ln w="25400">
          <a:noFill/>
        </a:ln>
      </c:spPr>
    </c:plotArea>
    <c:legend>
      <c:legendPos val="r"/>
      <c:layout>
        <c:manualLayout>
          <c:xMode val="edge"/>
          <c:yMode val="edge"/>
          <c:x val="0.18433948611237802"/>
          <c:y val="0.83606557377049184"/>
          <c:w val="0.63947849096353604"/>
          <c:h val="0.13770491803278884"/>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Indice  Ocupacional y Promedio  dias estada
Hospital Llay Llay
</a:t>
            </a:r>
          </a:p>
        </c:rich>
      </c:tx>
      <c:layout>
        <c:manualLayout>
          <c:xMode val="edge"/>
          <c:yMode val="edge"/>
          <c:x val="0.21967230325717491"/>
          <c:y val="3.6544850498338874E-2"/>
        </c:manualLayout>
      </c:layout>
      <c:overlay val="0"/>
      <c:spPr>
        <a:noFill/>
        <a:ln w="25400">
          <a:noFill/>
        </a:ln>
      </c:spPr>
    </c:title>
    <c:autoTitleDeleted val="0"/>
    <c:plotArea>
      <c:layout>
        <c:manualLayout>
          <c:layoutTarget val="inner"/>
          <c:xMode val="edge"/>
          <c:yMode val="edge"/>
          <c:x val="7.8688587577314589E-2"/>
          <c:y val="0.2336659080405647"/>
          <c:w val="0.83606624300896759"/>
          <c:h val="0.5758589478640751"/>
        </c:manualLayout>
      </c:layout>
      <c:lineChart>
        <c:grouping val="standard"/>
        <c:varyColors val="0"/>
        <c:ser>
          <c:idx val="1"/>
          <c:order val="0"/>
          <c:tx>
            <c:v>indice</c:v>
          </c:tx>
          <c:spPr>
            <a:ln w="25400">
              <a:solidFill>
                <a:srgbClr val="FF0000"/>
              </a:solidFill>
              <a:prstDash val="solid"/>
            </a:ln>
          </c:spPr>
          <c:marker>
            <c:symbol val="none"/>
          </c:marker>
          <c:cat>
            <c:numRef>
              <c:f>'86'!$B$9:$B$18</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'86'!$F$9:$F$18</c:f>
              <c:numCache>
                <c:formatCode>#,##0.0</c:formatCode>
                <c:ptCount val="10"/>
                <c:pt idx="0">
                  <c:v>27.8</c:v>
                </c:pt>
                <c:pt idx="1">
                  <c:v>39.954041362773502</c:v>
                </c:pt>
                <c:pt idx="2">
                  <c:v>35.5</c:v>
                </c:pt>
                <c:pt idx="3">
                  <c:v>40.299999999999997</c:v>
                </c:pt>
                <c:pt idx="4">
                  <c:v>45.413420457401358</c:v>
                </c:pt>
                <c:pt idx="5">
                  <c:v>45.050415371932274</c:v>
                </c:pt>
                <c:pt idx="6">
                  <c:v>38.77563627378305</c:v>
                </c:pt>
                <c:pt idx="7">
                  <c:v>43.671489903005245</c:v>
                </c:pt>
                <c:pt idx="8">
                  <c:v>49.95308101345011</c:v>
                </c:pt>
                <c:pt idx="9">
                  <c:v>52.73520249221184</c:v>
                </c:pt>
              </c:numCache>
            </c:numRef>
          </c:val>
          <c:smooth val="0"/>
        </c:ser>
        <c:dLbls>
          <c:showLegendKey val="0"/>
          <c:showVal val="0"/>
          <c:showCatName val="0"/>
          <c:showSerName val="0"/>
          <c:showPercent val="0"/>
          <c:showBubbleSize val="0"/>
        </c:dLbls>
        <c:marker val="1"/>
        <c:smooth val="0"/>
        <c:axId val="343100896"/>
        <c:axId val="343101288"/>
      </c:lineChart>
      <c:lineChart>
        <c:grouping val="standard"/>
        <c:varyColors val="0"/>
        <c:ser>
          <c:idx val="0"/>
          <c:order val="1"/>
          <c:tx>
            <c:v>Promedio</c:v>
          </c:tx>
          <c:spPr>
            <a:ln w="25400">
              <a:solidFill>
                <a:srgbClr val="000080"/>
              </a:solidFill>
              <a:prstDash val="solid"/>
            </a:ln>
          </c:spPr>
          <c:marker>
            <c:symbol val="none"/>
          </c:marker>
          <c:cat>
            <c:numRef>
              <c:f>'86'!$G$9:$G$18</c:f>
              <c:numCache>
                <c:formatCode>0.00</c:formatCode>
                <c:ptCount val="10"/>
                <c:pt idx="0">
                  <c:v>3.11</c:v>
                </c:pt>
                <c:pt idx="1">
                  <c:v>4.069897959183673</c:v>
                </c:pt>
                <c:pt idx="2">
                  <c:v>3.54</c:v>
                </c:pt>
                <c:pt idx="3">
                  <c:v>3.33</c:v>
                </c:pt>
                <c:pt idx="4">
                  <c:v>3.3782879005260642</c:v>
                </c:pt>
                <c:pt idx="5">
                  <c:v>3.595276435856146</c:v>
                </c:pt>
                <c:pt idx="6">
                  <c:v>3.9531889994148623</c:v>
                </c:pt>
                <c:pt idx="7">
                  <c:v>4.0376602564102564</c:v>
                </c:pt>
                <c:pt idx="8">
                  <c:v>5.5182432432432433</c:v>
                </c:pt>
                <c:pt idx="9">
                  <c:v>6.0208044382801669</c:v>
                </c:pt>
              </c:numCache>
            </c:numRef>
          </c:cat>
          <c:val>
            <c:numRef>
              <c:f>'86'!$G$9:$G$18</c:f>
              <c:numCache>
                <c:formatCode>0.00</c:formatCode>
                <c:ptCount val="10"/>
                <c:pt idx="0">
                  <c:v>3.11</c:v>
                </c:pt>
                <c:pt idx="1">
                  <c:v>4.069897959183673</c:v>
                </c:pt>
                <c:pt idx="2">
                  <c:v>3.54</c:v>
                </c:pt>
                <c:pt idx="3">
                  <c:v>3.33</c:v>
                </c:pt>
                <c:pt idx="4">
                  <c:v>3.3782879005260642</c:v>
                </c:pt>
                <c:pt idx="5">
                  <c:v>3.595276435856146</c:v>
                </c:pt>
                <c:pt idx="6">
                  <c:v>3.9531889994148623</c:v>
                </c:pt>
                <c:pt idx="7">
                  <c:v>4.0376602564102564</c:v>
                </c:pt>
                <c:pt idx="8">
                  <c:v>5.5182432432432433</c:v>
                </c:pt>
                <c:pt idx="9">
                  <c:v>6.0208044382801669</c:v>
                </c:pt>
              </c:numCache>
            </c:numRef>
          </c:val>
          <c:smooth val="0"/>
        </c:ser>
        <c:dLbls>
          <c:showLegendKey val="0"/>
          <c:showVal val="0"/>
          <c:showCatName val="0"/>
          <c:showSerName val="0"/>
          <c:showPercent val="0"/>
          <c:showBubbleSize val="0"/>
        </c:dLbls>
        <c:marker val="1"/>
        <c:smooth val="0"/>
        <c:axId val="343101680"/>
        <c:axId val="343102072"/>
      </c:lineChart>
      <c:catAx>
        <c:axId val="34310089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I. Ocup.</a:t>
                </a:r>
              </a:p>
            </c:rich>
          </c:tx>
          <c:layout>
            <c:manualLayout>
              <c:xMode val="edge"/>
              <c:yMode val="edge"/>
              <c:x val="1.1475409836065573E-2"/>
              <c:y val="0.1483945902111073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43101288"/>
        <c:crosses val="autoZero"/>
        <c:auto val="0"/>
        <c:lblAlgn val="ctr"/>
        <c:lblOffset val="100"/>
        <c:tickLblSkip val="1"/>
        <c:tickMarkSkip val="1"/>
        <c:noMultiLvlLbl val="0"/>
      </c:catAx>
      <c:valAx>
        <c:axId val="343101288"/>
        <c:scaling>
          <c:orientation val="minMax"/>
          <c:max val="55"/>
          <c:min val="20"/>
        </c:scaling>
        <c:delete val="0"/>
        <c:axPos val="l"/>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43100896"/>
        <c:crosses val="autoZero"/>
        <c:crossBetween val="between"/>
        <c:majorUnit val="10"/>
        <c:minorUnit val="5"/>
      </c:valAx>
      <c:catAx>
        <c:axId val="343101680"/>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 dias</a:t>
                </a:r>
              </a:p>
            </c:rich>
          </c:tx>
          <c:layout>
            <c:manualLayout>
              <c:xMode val="edge"/>
              <c:yMode val="edge"/>
              <c:x val="0.89453620756421837"/>
              <c:y val="0.11738683827312281"/>
            </c:manualLayout>
          </c:layout>
          <c:overlay val="0"/>
          <c:spPr>
            <a:noFill/>
            <a:ln w="25400">
              <a:noFill/>
            </a:ln>
          </c:spPr>
        </c:title>
        <c:numFmt formatCode="0.00" sourceLinked="1"/>
        <c:majorTickMark val="out"/>
        <c:minorTickMark val="none"/>
        <c:tickLblPos val="nextTo"/>
        <c:crossAx val="343102072"/>
        <c:crosses val="autoZero"/>
        <c:auto val="0"/>
        <c:lblAlgn val="ctr"/>
        <c:lblOffset val="100"/>
        <c:noMultiLvlLbl val="0"/>
      </c:catAx>
      <c:valAx>
        <c:axId val="343102072"/>
        <c:scaling>
          <c:orientation val="minMax"/>
          <c:max val="6.5"/>
          <c:min val="3"/>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43101680"/>
        <c:crosses val="max"/>
        <c:crossBetween val="between"/>
        <c:majorUnit val="1"/>
      </c:valAx>
      <c:spPr>
        <a:noFill/>
        <a:ln w="25400">
          <a:noFill/>
        </a:ln>
      </c:spPr>
    </c:plotArea>
    <c:legend>
      <c:legendPos val="r"/>
      <c:layout>
        <c:manualLayout>
          <c:xMode val="edge"/>
          <c:yMode val="edge"/>
          <c:x val="0.22950836883094541"/>
          <c:y val="0.85049973404490065"/>
          <c:w val="0.64262346714861474"/>
          <c:h val="0.1395352325145197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Numero  de Egresos  y  Promedio de  Camas
Hospital  Putaendo
</a:t>
            </a:r>
          </a:p>
        </c:rich>
      </c:tx>
      <c:layout>
        <c:manualLayout>
          <c:xMode val="edge"/>
          <c:yMode val="edge"/>
          <c:x val="0.22294039577848518"/>
          <c:y val="3.6065573770491806E-2"/>
        </c:manualLayout>
      </c:layout>
      <c:overlay val="0"/>
      <c:spPr>
        <a:noFill/>
        <a:ln w="25400">
          <a:noFill/>
        </a:ln>
      </c:spPr>
    </c:title>
    <c:autoTitleDeleted val="0"/>
    <c:plotArea>
      <c:layout>
        <c:manualLayout>
          <c:layoutTarget val="inner"/>
          <c:xMode val="edge"/>
          <c:yMode val="edge"/>
          <c:x val="7.2697957184247833E-2"/>
          <c:y val="0.29180327868852457"/>
          <c:w val="0.8578358947741529"/>
          <c:h val="0.47213114754098329"/>
        </c:manualLayout>
      </c:layout>
      <c:lineChart>
        <c:grouping val="standard"/>
        <c:varyColors val="0"/>
        <c:ser>
          <c:idx val="1"/>
          <c:order val="0"/>
          <c:tx>
            <c:v>N° de  Egresos</c:v>
          </c:tx>
          <c:spPr>
            <a:ln w="25400">
              <a:solidFill>
                <a:srgbClr val="FF0000"/>
              </a:solidFill>
              <a:prstDash val="solid"/>
            </a:ln>
          </c:spPr>
          <c:marker>
            <c:symbol val="none"/>
          </c:marker>
          <c:cat>
            <c:numRef>
              <c:f>'87'!$B$9:$B$18</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'87'!$E$9:$E$18</c:f>
              <c:numCache>
                <c:formatCode>#,##0</c:formatCode>
                <c:ptCount val="10"/>
                <c:pt idx="0">
                  <c:v>698</c:v>
                </c:pt>
                <c:pt idx="1">
                  <c:v>720</c:v>
                </c:pt>
                <c:pt idx="2">
                  <c:v>664</c:v>
                </c:pt>
                <c:pt idx="3">
                  <c:v>694</c:v>
                </c:pt>
                <c:pt idx="4">
                  <c:v>303</c:v>
                </c:pt>
                <c:pt idx="5">
                  <c:v>452</c:v>
                </c:pt>
                <c:pt idx="6">
                  <c:v>519</c:v>
                </c:pt>
                <c:pt idx="7">
                  <c:v>576</c:v>
                </c:pt>
                <c:pt idx="8">
                  <c:v>608</c:v>
                </c:pt>
                <c:pt idx="9">
                  <c:v>568</c:v>
                </c:pt>
              </c:numCache>
            </c:numRef>
          </c:val>
          <c:smooth val="0"/>
        </c:ser>
        <c:dLbls>
          <c:showLegendKey val="0"/>
          <c:showVal val="0"/>
          <c:showCatName val="0"/>
          <c:showSerName val="0"/>
          <c:showPercent val="0"/>
          <c:showBubbleSize val="0"/>
        </c:dLbls>
        <c:marker val="1"/>
        <c:smooth val="0"/>
        <c:axId val="343102856"/>
        <c:axId val="343103248"/>
      </c:lineChart>
      <c:lineChart>
        <c:grouping val="standard"/>
        <c:varyColors val="0"/>
        <c:ser>
          <c:idx val="0"/>
          <c:order val="1"/>
          <c:tx>
            <c:v>Promedio  de  Camas</c:v>
          </c:tx>
          <c:spPr>
            <a:ln w="25400">
              <a:solidFill>
                <a:srgbClr val="000080"/>
              </a:solidFill>
              <a:prstDash val="solid"/>
            </a:ln>
          </c:spPr>
          <c:marker>
            <c:symbol val="none"/>
          </c:marker>
          <c:cat>
            <c:numRef>
              <c:f>'87'!$C$9:$C$18</c:f>
              <c:numCache>
                <c:formatCode>General</c:formatCode>
                <c:ptCount val="10"/>
                <c:pt idx="0">
                  <c:v>27</c:v>
                </c:pt>
                <c:pt idx="1">
                  <c:v>27</c:v>
                </c:pt>
                <c:pt idx="2">
                  <c:v>27</c:v>
                </c:pt>
                <c:pt idx="3">
                  <c:v>27</c:v>
                </c:pt>
                <c:pt idx="4">
                  <c:v>27</c:v>
                </c:pt>
                <c:pt idx="5">
                  <c:v>28</c:v>
                </c:pt>
                <c:pt idx="6">
                  <c:v>28</c:v>
                </c:pt>
                <c:pt idx="7">
                  <c:v>28</c:v>
                </c:pt>
                <c:pt idx="8">
                  <c:v>28</c:v>
                </c:pt>
                <c:pt idx="9">
                  <c:v>28</c:v>
                </c:pt>
              </c:numCache>
            </c:numRef>
          </c:cat>
          <c:val>
            <c:numRef>
              <c:f>'87'!$D$9:$D$18</c:f>
              <c:numCache>
                <c:formatCode>General</c:formatCode>
                <c:ptCount val="10"/>
                <c:pt idx="0">
                  <c:v>27</c:v>
                </c:pt>
                <c:pt idx="1">
                  <c:v>27</c:v>
                </c:pt>
                <c:pt idx="2">
                  <c:v>27</c:v>
                </c:pt>
                <c:pt idx="3">
                  <c:v>27</c:v>
                </c:pt>
                <c:pt idx="4">
                  <c:v>10</c:v>
                </c:pt>
                <c:pt idx="5">
                  <c:v>17</c:v>
                </c:pt>
                <c:pt idx="6">
                  <c:v>28</c:v>
                </c:pt>
                <c:pt idx="7">
                  <c:v>28</c:v>
                </c:pt>
                <c:pt idx="8" formatCode="0">
                  <c:v>28.076712328767123</c:v>
                </c:pt>
                <c:pt idx="9" formatCode="0">
                  <c:v>28</c:v>
                </c:pt>
              </c:numCache>
            </c:numRef>
          </c:val>
          <c:smooth val="0"/>
        </c:ser>
        <c:dLbls>
          <c:showLegendKey val="0"/>
          <c:showVal val="0"/>
          <c:showCatName val="0"/>
          <c:showSerName val="0"/>
          <c:showPercent val="0"/>
          <c:showBubbleSize val="0"/>
        </c:dLbls>
        <c:marker val="1"/>
        <c:smooth val="0"/>
        <c:axId val="343103640"/>
        <c:axId val="343104032"/>
      </c:lineChart>
      <c:catAx>
        <c:axId val="34310285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Egresos</a:t>
                </a:r>
              </a:p>
            </c:rich>
          </c:tx>
          <c:layout>
            <c:manualLayout>
              <c:xMode val="edge"/>
              <c:yMode val="edge"/>
              <c:x val="8.0775444264944048E-3"/>
              <c:y val="0.20327868852459041"/>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43103248"/>
        <c:crosses val="autoZero"/>
        <c:auto val="0"/>
        <c:lblAlgn val="ctr"/>
        <c:lblOffset val="100"/>
        <c:tickLblSkip val="1"/>
        <c:tickMarkSkip val="1"/>
        <c:noMultiLvlLbl val="0"/>
      </c:catAx>
      <c:valAx>
        <c:axId val="343103248"/>
        <c:scaling>
          <c:orientation val="minMax"/>
          <c:max val="750"/>
          <c:min val="280"/>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43102856"/>
        <c:crosses val="autoZero"/>
        <c:crossBetween val="between"/>
        <c:majorUnit val="50"/>
        <c:minorUnit val="50"/>
      </c:valAx>
      <c:catAx>
        <c:axId val="343103640"/>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Camas</a:t>
                </a:r>
              </a:p>
            </c:rich>
          </c:tx>
          <c:layout>
            <c:manualLayout>
              <c:xMode val="edge"/>
              <c:yMode val="edge"/>
              <c:x val="0.91437870750811634"/>
              <c:y val="0.19016393442623244"/>
            </c:manualLayout>
          </c:layout>
          <c:overlay val="0"/>
          <c:spPr>
            <a:noFill/>
            <a:ln w="25400">
              <a:noFill/>
            </a:ln>
          </c:spPr>
        </c:title>
        <c:numFmt formatCode="General" sourceLinked="1"/>
        <c:majorTickMark val="out"/>
        <c:minorTickMark val="none"/>
        <c:tickLblPos val="nextTo"/>
        <c:crossAx val="343104032"/>
        <c:crosses val="autoZero"/>
        <c:auto val="0"/>
        <c:lblAlgn val="ctr"/>
        <c:lblOffset val="100"/>
        <c:noMultiLvlLbl val="0"/>
      </c:catAx>
      <c:valAx>
        <c:axId val="343104032"/>
        <c:scaling>
          <c:orientation val="minMax"/>
          <c:max val="29"/>
          <c:min val="9"/>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43103640"/>
        <c:crosses val="max"/>
        <c:crossBetween val="between"/>
        <c:majorUnit val="4"/>
        <c:minorUnit val="1"/>
      </c:valAx>
      <c:spPr>
        <a:noFill/>
        <a:ln w="25400">
          <a:noFill/>
        </a:ln>
      </c:spPr>
    </c:plotArea>
    <c:legend>
      <c:legendPos val="r"/>
      <c:layout>
        <c:manualLayout>
          <c:xMode val="edge"/>
          <c:yMode val="edge"/>
          <c:x val="0.17932165587540674"/>
          <c:y val="0.83606557377049184"/>
          <c:w val="0.63327999185885364"/>
          <c:h val="0.13770491803278884"/>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0" verticalDpi="0"/>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Indice  Ocupacional y Promedio  dias estada
Hospital  Putaendo
</a:t>
            </a:r>
          </a:p>
        </c:rich>
      </c:tx>
      <c:layout>
        <c:manualLayout>
          <c:xMode val="edge"/>
          <c:yMode val="edge"/>
          <c:x val="0.22240276783583871"/>
          <c:y val="3.6544850498338874E-2"/>
        </c:manualLayout>
      </c:layout>
      <c:overlay val="0"/>
      <c:spPr>
        <a:noFill/>
        <a:ln w="25400">
          <a:noFill/>
        </a:ln>
      </c:spPr>
    </c:title>
    <c:autoTitleDeleted val="0"/>
    <c:plotArea>
      <c:layout>
        <c:manualLayout>
          <c:layoutTarget val="inner"/>
          <c:xMode val="edge"/>
          <c:yMode val="edge"/>
          <c:x val="7.7922139688181472E-2"/>
          <c:y val="0.29568154277658909"/>
          <c:w val="0.82792273418692786"/>
          <c:h val="0.46511703358115125"/>
        </c:manualLayout>
      </c:layout>
      <c:lineChart>
        <c:grouping val="standard"/>
        <c:varyColors val="0"/>
        <c:ser>
          <c:idx val="1"/>
          <c:order val="0"/>
          <c:tx>
            <c:v>indice</c:v>
          </c:tx>
          <c:spPr>
            <a:ln w="25400">
              <a:solidFill>
                <a:srgbClr val="FF0000"/>
              </a:solidFill>
              <a:prstDash val="solid"/>
            </a:ln>
          </c:spPr>
          <c:marker>
            <c:symbol val="none"/>
          </c:marker>
          <c:cat>
            <c:numRef>
              <c:f>'87'!$B$9:$B$18</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'87'!$F$9:$F$18</c:f>
              <c:numCache>
                <c:formatCode>#,##0.0</c:formatCode>
                <c:ptCount val="10"/>
                <c:pt idx="0">
                  <c:v>53</c:v>
                </c:pt>
                <c:pt idx="1">
                  <c:v>64.008117706747854</c:v>
                </c:pt>
                <c:pt idx="2">
                  <c:v>53.7</c:v>
                </c:pt>
                <c:pt idx="3">
                  <c:v>45.1</c:v>
                </c:pt>
                <c:pt idx="4">
                  <c:v>63.513513513513509</c:v>
                </c:pt>
                <c:pt idx="5">
                  <c:v>66.287818152713314</c:v>
                </c:pt>
                <c:pt idx="6">
                  <c:v>56.240234375</c:v>
                </c:pt>
                <c:pt idx="7">
                  <c:v>49.126766091051806</c:v>
                </c:pt>
                <c:pt idx="8">
                  <c:v>56.391491022638562</c:v>
                </c:pt>
                <c:pt idx="9">
                  <c:v>56.193737769080229</c:v>
                </c:pt>
              </c:numCache>
            </c:numRef>
          </c:val>
          <c:smooth val="0"/>
        </c:ser>
        <c:dLbls>
          <c:showLegendKey val="0"/>
          <c:showVal val="0"/>
          <c:showCatName val="0"/>
          <c:showSerName val="0"/>
          <c:showPercent val="0"/>
          <c:showBubbleSize val="0"/>
        </c:dLbls>
        <c:marker val="1"/>
        <c:smooth val="0"/>
        <c:axId val="343104816"/>
        <c:axId val="343105208"/>
      </c:lineChart>
      <c:lineChart>
        <c:grouping val="standard"/>
        <c:varyColors val="0"/>
        <c:ser>
          <c:idx val="0"/>
          <c:order val="1"/>
          <c:tx>
            <c:v>Promedio</c:v>
          </c:tx>
          <c:spPr>
            <a:ln w="25400">
              <a:solidFill>
                <a:srgbClr val="000080"/>
              </a:solidFill>
              <a:prstDash val="solid"/>
            </a:ln>
          </c:spPr>
          <c:marker>
            <c:symbol val="none"/>
          </c:marker>
          <c:cat>
            <c:numRef>
              <c:f>'87'!$G$9:$G$18</c:f>
              <c:numCache>
                <c:formatCode>0.00</c:formatCode>
                <c:ptCount val="10"/>
                <c:pt idx="0">
                  <c:v>7.39</c:v>
                </c:pt>
                <c:pt idx="1">
                  <c:v>8.8097222222222218</c:v>
                </c:pt>
                <c:pt idx="2">
                  <c:v>8.17</c:v>
                </c:pt>
                <c:pt idx="3">
                  <c:v>6.78</c:v>
                </c:pt>
                <c:pt idx="4">
                  <c:v>8.5742574257425748</c:v>
                </c:pt>
                <c:pt idx="5">
                  <c:v>9.0044247787610612</c:v>
                </c:pt>
                <c:pt idx="6">
                  <c:v>10.273603082851638</c:v>
                </c:pt>
                <c:pt idx="7">
                  <c:v>8.3524305555555554</c:v>
                </c:pt>
                <c:pt idx="8">
                  <c:v>8.1891447368421044</c:v>
                </c:pt>
                <c:pt idx="9">
                  <c:v>12.40669014084507</c:v>
                </c:pt>
              </c:numCache>
            </c:numRef>
          </c:cat>
          <c:val>
            <c:numRef>
              <c:f>'87'!$G$9:$G$18</c:f>
              <c:numCache>
                <c:formatCode>0.00</c:formatCode>
                <c:ptCount val="10"/>
                <c:pt idx="0">
                  <c:v>7.39</c:v>
                </c:pt>
                <c:pt idx="1">
                  <c:v>8.8097222222222218</c:v>
                </c:pt>
                <c:pt idx="2">
                  <c:v>8.17</c:v>
                </c:pt>
                <c:pt idx="3">
                  <c:v>6.78</c:v>
                </c:pt>
                <c:pt idx="4">
                  <c:v>8.5742574257425748</c:v>
                </c:pt>
                <c:pt idx="5">
                  <c:v>9.0044247787610612</c:v>
                </c:pt>
                <c:pt idx="6">
                  <c:v>10.273603082851638</c:v>
                </c:pt>
                <c:pt idx="7">
                  <c:v>8.3524305555555554</c:v>
                </c:pt>
                <c:pt idx="8">
                  <c:v>8.1891447368421044</c:v>
                </c:pt>
                <c:pt idx="9">
                  <c:v>12.40669014084507</c:v>
                </c:pt>
              </c:numCache>
            </c:numRef>
          </c:val>
          <c:smooth val="0"/>
        </c:ser>
        <c:dLbls>
          <c:showLegendKey val="0"/>
          <c:showVal val="0"/>
          <c:showCatName val="0"/>
          <c:showSerName val="0"/>
          <c:showPercent val="0"/>
          <c:showBubbleSize val="0"/>
        </c:dLbls>
        <c:marker val="1"/>
        <c:smooth val="0"/>
        <c:axId val="343105600"/>
        <c:axId val="343105992"/>
      </c:lineChart>
      <c:catAx>
        <c:axId val="34310481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I. Ocup.</a:t>
                </a:r>
              </a:p>
            </c:rich>
          </c:tx>
          <c:layout>
            <c:manualLayout>
              <c:xMode val="edge"/>
              <c:yMode val="edge"/>
              <c:x val="1.1363636363636367E-2"/>
              <c:y val="0.2059804152387929"/>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43105208"/>
        <c:crosses val="autoZero"/>
        <c:auto val="0"/>
        <c:lblAlgn val="ctr"/>
        <c:lblOffset val="100"/>
        <c:tickLblSkip val="1"/>
        <c:tickMarkSkip val="1"/>
        <c:noMultiLvlLbl val="0"/>
      </c:catAx>
      <c:valAx>
        <c:axId val="343105208"/>
        <c:scaling>
          <c:orientation val="minMax"/>
          <c:max val="67"/>
          <c:min val="45"/>
        </c:scaling>
        <c:delete val="0"/>
        <c:axPos val="l"/>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43104816"/>
        <c:crosses val="autoZero"/>
        <c:crossBetween val="between"/>
        <c:majorUnit val="5"/>
        <c:minorUnit val="5"/>
      </c:valAx>
      <c:catAx>
        <c:axId val="343105600"/>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 dias</a:t>
                </a:r>
              </a:p>
            </c:rich>
          </c:tx>
          <c:layout>
            <c:manualLayout>
              <c:xMode val="edge"/>
              <c:yMode val="edge"/>
              <c:x val="0.88149418822647152"/>
              <c:y val="0.19269137869394232"/>
            </c:manualLayout>
          </c:layout>
          <c:overlay val="0"/>
          <c:spPr>
            <a:noFill/>
            <a:ln w="25400">
              <a:noFill/>
            </a:ln>
          </c:spPr>
        </c:title>
        <c:numFmt formatCode="0.00" sourceLinked="1"/>
        <c:majorTickMark val="out"/>
        <c:minorTickMark val="none"/>
        <c:tickLblPos val="nextTo"/>
        <c:crossAx val="343105992"/>
        <c:crosses val="autoZero"/>
        <c:auto val="0"/>
        <c:lblAlgn val="ctr"/>
        <c:lblOffset val="100"/>
        <c:noMultiLvlLbl val="0"/>
      </c:catAx>
      <c:valAx>
        <c:axId val="343105992"/>
        <c:scaling>
          <c:orientation val="minMax"/>
          <c:max val="13"/>
          <c:min val="6"/>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43105600"/>
        <c:crosses val="max"/>
        <c:crossBetween val="between"/>
        <c:majorUnit val="2"/>
      </c:valAx>
      <c:spPr>
        <a:noFill/>
        <a:ln w="25400">
          <a:noFill/>
        </a:ln>
      </c:spPr>
    </c:plotArea>
    <c:legend>
      <c:legendPos val="r"/>
      <c:layout>
        <c:manualLayout>
          <c:xMode val="edge"/>
          <c:yMode val="edge"/>
          <c:x val="0.24513004056311141"/>
          <c:y val="0.85049973404490065"/>
          <c:w val="0.63636414766336014"/>
          <c:h val="0.1395352325145124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Numero  de Egresos  y  Promedio  de  Camas
Hospital  Psiquiatrico
</a:t>
            </a:r>
          </a:p>
        </c:rich>
      </c:tx>
      <c:layout>
        <c:manualLayout>
          <c:xMode val="edge"/>
          <c:yMode val="edge"/>
          <c:x val="0.22025740351587891"/>
          <c:y val="3.6065573770491806E-2"/>
        </c:manualLayout>
      </c:layout>
      <c:overlay val="0"/>
      <c:spPr>
        <a:noFill/>
        <a:ln w="25400">
          <a:noFill/>
        </a:ln>
      </c:spPr>
    </c:title>
    <c:autoTitleDeleted val="0"/>
    <c:plotArea>
      <c:layout>
        <c:manualLayout>
          <c:layoutTarget val="inner"/>
          <c:xMode val="edge"/>
          <c:yMode val="edge"/>
          <c:x val="8.6816788409983831E-2"/>
          <c:y val="0.29180327868852457"/>
          <c:w val="0.83440579971817863"/>
          <c:h val="0.47213114754098329"/>
        </c:manualLayout>
      </c:layout>
      <c:lineChart>
        <c:grouping val="standard"/>
        <c:varyColors val="0"/>
        <c:ser>
          <c:idx val="1"/>
          <c:order val="0"/>
          <c:tx>
            <c:v>N° de  Egresos</c:v>
          </c:tx>
          <c:spPr>
            <a:ln w="25400">
              <a:solidFill>
                <a:srgbClr val="FF0000"/>
              </a:solidFill>
              <a:prstDash val="solid"/>
            </a:ln>
          </c:spPr>
          <c:marker>
            <c:symbol val="none"/>
          </c:marker>
          <c:cat>
            <c:numRef>
              <c:f>'88'!$B$9:$B$18</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'88'!$E$9:$E$18</c:f>
              <c:numCache>
                <c:formatCode>#,##0</c:formatCode>
                <c:ptCount val="10"/>
                <c:pt idx="0">
                  <c:v>954</c:v>
                </c:pt>
                <c:pt idx="1">
                  <c:v>972</c:v>
                </c:pt>
                <c:pt idx="2">
                  <c:v>1072</c:v>
                </c:pt>
                <c:pt idx="3">
                  <c:v>1039</c:v>
                </c:pt>
                <c:pt idx="4">
                  <c:v>909</c:v>
                </c:pt>
                <c:pt idx="5">
                  <c:v>931</c:v>
                </c:pt>
                <c:pt idx="6">
                  <c:v>1001</c:v>
                </c:pt>
                <c:pt idx="7">
                  <c:v>970</c:v>
                </c:pt>
                <c:pt idx="8">
                  <c:v>919</c:v>
                </c:pt>
                <c:pt idx="9">
                  <c:v>873</c:v>
                </c:pt>
              </c:numCache>
            </c:numRef>
          </c:val>
          <c:smooth val="0"/>
        </c:ser>
        <c:dLbls>
          <c:showLegendKey val="0"/>
          <c:showVal val="0"/>
          <c:showCatName val="0"/>
          <c:showSerName val="0"/>
          <c:showPercent val="0"/>
          <c:showBubbleSize val="0"/>
        </c:dLbls>
        <c:marker val="1"/>
        <c:smooth val="0"/>
        <c:axId val="343106776"/>
        <c:axId val="343107168"/>
      </c:lineChart>
      <c:lineChart>
        <c:grouping val="standard"/>
        <c:varyColors val="0"/>
        <c:ser>
          <c:idx val="0"/>
          <c:order val="1"/>
          <c:tx>
            <c:v>Promedio  de  Camas</c:v>
          </c:tx>
          <c:spPr>
            <a:ln w="25400">
              <a:solidFill>
                <a:srgbClr val="000080"/>
              </a:solidFill>
              <a:prstDash val="solid"/>
            </a:ln>
          </c:spPr>
          <c:marker>
            <c:symbol val="none"/>
          </c:marker>
          <c:cat>
            <c:numRef>
              <c:f>'88'!$C$9:$C$18</c:f>
              <c:numCache>
                <c:formatCode>General</c:formatCode>
                <c:ptCount val="10"/>
                <c:pt idx="0">
                  <c:v>415</c:v>
                </c:pt>
                <c:pt idx="1">
                  <c:v>415</c:v>
                </c:pt>
                <c:pt idx="2">
                  <c:v>415</c:v>
                </c:pt>
                <c:pt idx="3">
                  <c:v>415</c:v>
                </c:pt>
                <c:pt idx="4">
                  <c:v>415</c:v>
                </c:pt>
                <c:pt idx="5">
                  <c:v>354</c:v>
                </c:pt>
                <c:pt idx="6">
                  <c:v>354</c:v>
                </c:pt>
                <c:pt idx="7">
                  <c:v>354</c:v>
                </c:pt>
                <c:pt idx="8">
                  <c:v>354</c:v>
                </c:pt>
                <c:pt idx="9">
                  <c:v>354</c:v>
                </c:pt>
              </c:numCache>
            </c:numRef>
          </c:cat>
          <c:val>
            <c:numRef>
              <c:f>'88'!$D$9:$D$18</c:f>
              <c:numCache>
                <c:formatCode>General</c:formatCode>
                <c:ptCount val="10"/>
                <c:pt idx="0">
                  <c:v>386</c:v>
                </c:pt>
                <c:pt idx="1">
                  <c:v>380</c:v>
                </c:pt>
                <c:pt idx="2">
                  <c:v>388</c:v>
                </c:pt>
                <c:pt idx="3">
                  <c:v>358</c:v>
                </c:pt>
                <c:pt idx="4">
                  <c:v>327</c:v>
                </c:pt>
                <c:pt idx="5">
                  <c:v>320</c:v>
                </c:pt>
                <c:pt idx="6">
                  <c:v>329</c:v>
                </c:pt>
                <c:pt idx="7">
                  <c:v>321</c:v>
                </c:pt>
                <c:pt idx="8" formatCode="0">
                  <c:v>321.42465753424659</c:v>
                </c:pt>
                <c:pt idx="9" formatCode="0">
                  <c:v>320.55616438356162</c:v>
                </c:pt>
              </c:numCache>
            </c:numRef>
          </c:val>
          <c:smooth val="0"/>
        </c:ser>
        <c:dLbls>
          <c:showLegendKey val="0"/>
          <c:showVal val="0"/>
          <c:showCatName val="0"/>
          <c:showSerName val="0"/>
          <c:showPercent val="0"/>
          <c:showBubbleSize val="0"/>
        </c:dLbls>
        <c:marker val="1"/>
        <c:smooth val="0"/>
        <c:axId val="343107560"/>
        <c:axId val="343107952"/>
      </c:lineChart>
      <c:catAx>
        <c:axId val="34310677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Egresos</a:t>
                </a:r>
              </a:p>
            </c:rich>
          </c:tx>
          <c:layout>
            <c:manualLayout>
              <c:xMode val="edge"/>
              <c:yMode val="edge"/>
              <c:x val="1.4469453376205787E-2"/>
              <c:y val="0.20327868852459041"/>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43107168"/>
        <c:crosses val="autoZero"/>
        <c:auto val="0"/>
        <c:lblAlgn val="ctr"/>
        <c:lblOffset val="100"/>
        <c:tickLblSkip val="1"/>
        <c:tickMarkSkip val="1"/>
        <c:noMultiLvlLbl val="0"/>
      </c:catAx>
      <c:valAx>
        <c:axId val="343107168"/>
        <c:scaling>
          <c:orientation val="minMax"/>
          <c:max val="1100"/>
          <c:min val="800"/>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43106776"/>
        <c:crosses val="autoZero"/>
        <c:crossBetween val="between"/>
        <c:majorUnit val="100"/>
        <c:minorUnit val="100"/>
      </c:valAx>
      <c:catAx>
        <c:axId val="343107560"/>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Camas</a:t>
                </a:r>
              </a:p>
            </c:rich>
          </c:tx>
          <c:layout>
            <c:manualLayout>
              <c:xMode val="edge"/>
              <c:yMode val="edge"/>
              <c:x val="0.90514536969052495"/>
              <c:y val="0.19016393442623244"/>
            </c:manualLayout>
          </c:layout>
          <c:overlay val="0"/>
          <c:spPr>
            <a:noFill/>
            <a:ln w="25400">
              <a:noFill/>
            </a:ln>
          </c:spPr>
        </c:title>
        <c:numFmt formatCode="General" sourceLinked="1"/>
        <c:majorTickMark val="out"/>
        <c:minorTickMark val="none"/>
        <c:tickLblPos val="nextTo"/>
        <c:crossAx val="343107952"/>
        <c:crosses val="autoZero"/>
        <c:auto val="0"/>
        <c:lblAlgn val="ctr"/>
        <c:lblOffset val="100"/>
        <c:noMultiLvlLbl val="0"/>
      </c:catAx>
      <c:valAx>
        <c:axId val="343107952"/>
        <c:scaling>
          <c:orientation val="minMax"/>
          <c:max val="400"/>
          <c:min val="315"/>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43107560"/>
        <c:crosses val="max"/>
        <c:crossBetween val="between"/>
        <c:majorUnit val="50"/>
      </c:valAx>
      <c:spPr>
        <a:noFill/>
        <a:ln w="25400">
          <a:noFill/>
        </a:ln>
      </c:spPr>
    </c:plotArea>
    <c:legend>
      <c:legendPos val="r"/>
      <c:layout>
        <c:manualLayout>
          <c:xMode val="edge"/>
          <c:yMode val="edge"/>
          <c:x val="0.18327991155447337"/>
          <c:y val="0.83606557377049184"/>
          <c:w val="0.63022558675343165"/>
          <c:h val="0.13770491803278884"/>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Indice  Ocupacional y Promedio  dias estada
Hospital  Psiquiatrico
</a:t>
            </a:r>
          </a:p>
        </c:rich>
      </c:tx>
      <c:layout>
        <c:manualLayout>
          <c:xMode val="edge"/>
          <c:yMode val="edge"/>
          <c:x val="0.22455590466377487"/>
          <c:y val="3.6544850498338874E-2"/>
        </c:manualLayout>
      </c:layout>
      <c:overlay val="0"/>
      <c:spPr>
        <a:noFill/>
        <a:ln w="25400">
          <a:noFill/>
        </a:ln>
      </c:spPr>
    </c:title>
    <c:autoTitleDeleted val="0"/>
    <c:plotArea>
      <c:layout>
        <c:manualLayout>
          <c:layoutTarget val="inner"/>
          <c:xMode val="edge"/>
          <c:yMode val="edge"/>
          <c:x val="8.7237548621097546E-2"/>
          <c:y val="0.29568154277658909"/>
          <c:w val="0.80937058998459999"/>
          <c:h val="0.46511703358115125"/>
        </c:manualLayout>
      </c:layout>
      <c:lineChart>
        <c:grouping val="standard"/>
        <c:varyColors val="0"/>
        <c:ser>
          <c:idx val="1"/>
          <c:order val="0"/>
          <c:tx>
            <c:v>indice</c:v>
          </c:tx>
          <c:spPr>
            <a:ln w="25400">
              <a:solidFill>
                <a:srgbClr val="FF0000"/>
              </a:solidFill>
              <a:prstDash val="solid"/>
            </a:ln>
          </c:spPr>
          <c:marker>
            <c:symbol val="none"/>
          </c:marker>
          <c:cat>
            <c:numRef>
              <c:f>'88'!$B$9:$B$18</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'88'!$F$9:$F$18</c:f>
              <c:numCache>
                <c:formatCode>#,##0.0</c:formatCode>
                <c:ptCount val="10"/>
                <c:pt idx="0">
                  <c:v>97.6</c:v>
                </c:pt>
                <c:pt idx="1">
                  <c:v>95.8</c:v>
                </c:pt>
                <c:pt idx="2">
                  <c:v>96.028594694704069</c:v>
                </c:pt>
                <c:pt idx="3">
                  <c:v>91.2</c:v>
                </c:pt>
                <c:pt idx="4">
                  <c:v>94.4</c:v>
                </c:pt>
                <c:pt idx="5">
                  <c:v>95.278808501906596</c:v>
                </c:pt>
                <c:pt idx="6">
                  <c:v>92.909454061251665</c:v>
                </c:pt>
                <c:pt idx="7">
                  <c:v>94.783931363919919</c:v>
                </c:pt>
                <c:pt idx="8">
                  <c:v>97.723320831912716</c:v>
                </c:pt>
                <c:pt idx="9">
                  <c:v>94.702699930771004</c:v>
                </c:pt>
              </c:numCache>
            </c:numRef>
          </c:val>
          <c:smooth val="0"/>
        </c:ser>
        <c:dLbls>
          <c:showLegendKey val="0"/>
          <c:showVal val="0"/>
          <c:showCatName val="0"/>
          <c:showSerName val="0"/>
          <c:showPercent val="0"/>
          <c:showBubbleSize val="0"/>
        </c:dLbls>
        <c:marker val="1"/>
        <c:smooth val="0"/>
        <c:axId val="343874328"/>
        <c:axId val="343874720"/>
      </c:lineChart>
      <c:lineChart>
        <c:grouping val="standard"/>
        <c:varyColors val="0"/>
        <c:ser>
          <c:idx val="0"/>
          <c:order val="1"/>
          <c:tx>
            <c:v>Promedio</c:v>
          </c:tx>
          <c:spPr>
            <a:ln w="25400">
              <a:solidFill>
                <a:srgbClr val="000080"/>
              </a:solidFill>
              <a:prstDash val="solid"/>
            </a:ln>
          </c:spPr>
          <c:marker>
            <c:symbol val="none"/>
          </c:marker>
          <c:cat>
            <c:numRef>
              <c:f>'88'!$G$9:$G$18</c:f>
              <c:numCache>
                <c:formatCode>0.00</c:formatCode>
                <c:ptCount val="10"/>
                <c:pt idx="0">
                  <c:v>276.60000000000002</c:v>
                </c:pt>
                <c:pt idx="1">
                  <c:v>195.48</c:v>
                </c:pt>
                <c:pt idx="2">
                  <c:v>127.92695473251028</c:v>
                </c:pt>
                <c:pt idx="3">
                  <c:v>138.77000000000001</c:v>
                </c:pt>
                <c:pt idx="4">
                  <c:v>95.23</c:v>
                </c:pt>
                <c:pt idx="5">
                  <c:v>136.72073039742213</c:v>
                </c:pt>
                <c:pt idx="6">
                  <c:v>117.18181818181819</c:v>
                </c:pt>
                <c:pt idx="7">
                  <c:v>121.99072164948454</c:v>
                </c:pt>
                <c:pt idx="8">
                  <c:v>127.86289445048966</c:v>
                </c:pt>
                <c:pt idx="9">
                  <c:v>124.78006872852234</c:v>
                </c:pt>
              </c:numCache>
            </c:numRef>
          </c:cat>
          <c:val>
            <c:numRef>
              <c:f>'88'!$G$9:$G$18</c:f>
              <c:numCache>
                <c:formatCode>0.00</c:formatCode>
                <c:ptCount val="10"/>
                <c:pt idx="0">
                  <c:v>276.60000000000002</c:v>
                </c:pt>
                <c:pt idx="1">
                  <c:v>195.48</c:v>
                </c:pt>
                <c:pt idx="2">
                  <c:v>127.92695473251028</c:v>
                </c:pt>
                <c:pt idx="3">
                  <c:v>138.77000000000001</c:v>
                </c:pt>
                <c:pt idx="4">
                  <c:v>95.23</c:v>
                </c:pt>
                <c:pt idx="5">
                  <c:v>136.72073039742213</c:v>
                </c:pt>
                <c:pt idx="6">
                  <c:v>117.18181818181819</c:v>
                </c:pt>
                <c:pt idx="7">
                  <c:v>121.99072164948454</c:v>
                </c:pt>
                <c:pt idx="8">
                  <c:v>127.86289445048966</c:v>
                </c:pt>
                <c:pt idx="9">
                  <c:v>124.78006872852234</c:v>
                </c:pt>
              </c:numCache>
            </c:numRef>
          </c:val>
          <c:smooth val="0"/>
        </c:ser>
        <c:dLbls>
          <c:showLegendKey val="0"/>
          <c:showVal val="0"/>
          <c:showCatName val="0"/>
          <c:showSerName val="0"/>
          <c:showPercent val="0"/>
          <c:showBubbleSize val="0"/>
        </c:dLbls>
        <c:marker val="1"/>
        <c:smooth val="0"/>
        <c:axId val="343875112"/>
        <c:axId val="343875504"/>
      </c:lineChart>
      <c:catAx>
        <c:axId val="34387432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I. Ocup.</a:t>
                </a:r>
              </a:p>
            </c:rich>
          </c:tx>
          <c:layout>
            <c:manualLayout>
              <c:xMode val="edge"/>
              <c:yMode val="edge"/>
              <c:x val="1.9386106623586741E-2"/>
              <c:y val="0.2059804152387929"/>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43874720"/>
        <c:crosses val="autoZero"/>
        <c:auto val="0"/>
        <c:lblAlgn val="ctr"/>
        <c:lblOffset val="100"/>
        <c:tickLblSkip val="1"/>
        <c:tickMarkSkip val="1"/>
        <c:noMultiLvlLbl val="0"/>
      </c:catAx>
      <c:valAx>
        <c:axId val="343874720"/>
        <c:scaling>
          <c:orientation val="minMax"/>
          <c:max val="100"/>
          <c:min val="80"/>
        </c:scaling>
        <c:delete val="0"/>
        <c:axPos val="l"/>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43874328"/>
        <c:crosses val="autoZero"/>
        <c:crossBetween val="between"/>
        <c:majorUnit val="5"/>
        <c:minorUnit val="5"/>
      </c:valAx>
      <c:catAx>
        <c:axId val="343875112"/>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 dias</a:t>
                </a:r>
              </a:p>
            </c:rich>
          </c:tx>
          <c:layout>
            <c:manualLayout>
              <c:xMode val="edge"/>
              <c:yMode val="edge"/>
              <c:x val="0.8723754764903594"/>
              <c:y val="0.19269137869394232"/>
            </c:manualLayout>
          </c:layout>
          <c:overlay val="0"/>
          <c:spPr>
            <a:noFill/>
            <a:ln w="25400">
              <a:noFill/>
            </a:ln>
          </c:spPr>
        </c:title>
        <c:numFmt formatCode="0.00" sourceLinked="1"/>
        <c:majorTickMark val="out"/>
        <c:minorTickMark val="none"/>
        <c:tickLblPos val="nextTo"/>
        <c:crossAx val="343875504"/>
        <c:crosses val="autoZero"/>
        <c:auto val="0"/>
        <c:lblAlgn val="ctr"/>
        <c:lblOffset val="100"/>
        <c:noMultiLvlLbl val="0"/>
      </c:catAx>
      <c:valAx>
        <c:axId val="343875504"/>
        <c:scaling>
          <c:orientation val="minMax"/>
          <c:max val="340"/>
          <c:min val="90"/>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43875112"/>
        <c:crosses val="max"/>
        <c:crossBetween val="between"/>
        <c:majorUnit val="50"/>
      </c:valAx>
      <c:spPr>
        <a:noFill/>
        <a:ln w="25400">
          <a:noFill/>
        </a:ln>
      </c:spPr>
    </c:plotArea>
    <c:legend>
      <c:legendPos val="r"/>
      <c:layout>
        <c:manualLayout>
          <c:xMode val="edge"/>
          <c:yMode val="edge"/>
          <c:x val="0.22778692243437271"/>
          <c:y val="0.85049973404490065"/>
          <c:w val="0.63327999185885364"/>
          <c:h val="0.1395352325145124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0" verticalDpi="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11.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12.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3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4"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3.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9.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chart" Target="../charts/chart58.xml"/><Relationship Id="rId1" Type="http://schemas.openxmlformats.org/officeDocument/2006/relationships/chart" Target="../charts/chart39.xml"/><Relationship Id="rId6" Type="http://schemas.openxmlformats.org/officeDocument/2006/relationships/chart" Target="../charts/chart44.xml"/><Relationship Id="rId11" Type="http://schemas.openxmlformats.org/officeDocument/2006/relationships/chart" Target="../charts/chart49.xml"/><Relationship Id="rId24" Type="http://schemas.openxmlformats.org/officeDocument/2006/relationships/chart" Target="../charts/chart62.xml"/><Relationship Id="rId5" Type="http://schemas.openxmlformats.org/officeDocument/2006/relationships/chart" Target="../charts/chart43.xml"/><Relationship Id="rId15" Type="http://schemas.openxmlformats.org/officeDocument/2006/relationships/chart" Target="../charts/chart53.xml"/><Relationship Id="rId23" Type="http://schemas.openxmlformats.org/officeDocument/2006/relationships/chart" Target="../charts/chart61.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 Id="rId22" Type="http://schemas.openxmlformats.org/officeDocument/2006/relationships/chart" Target="../charts/chart60.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chart" Target="../charts/chart65.xml"/><Relationship Id="rId1" Type="http://schemas.openxmlformats.org/officeDocument/2006/relationships/chart" Target="../charts/chart64.xml"/><Relationship Id="rId4" Type="http://schemas.openxmlformats.org/officeDocument/2006/relationships/chart" Target="../charts/chart67.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51.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 Id="rId4" Type="http://schemas.openxmlformats.org/officeDocument/2006/relationships/chart" Target="../charts/chart76.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chart" Target="../charts/chart77.xml"/><Relationship Id="rId4" Type="http://schemas.openxmlformats.org/officeDocument/2006/relationships/chart" Target="../charts/chart80.xml"/></Relationships>
</file>

<file path=xl/drawings/_rels/drawing53.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 Id="rId4" Type="http://schemas.openxmlformats.org/officeDocument/2006/relationships/chart" Target="../charts/chart84.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1</xdr:col>
      <xdr:colOff>51882</xdr:colOff>
      <xdr:row>1</xdr:row>
      <xdr:rowOff>64851</xdr:rowOff>
    </xdr:from>
    <xdr:to>
      <xdr:col>10</xdr:col>
      <xdr:colOff>518810</xdr:colOff>
      <xdr:row>29</xdr:row>
      <xdr:rowOff>169220</xdr:rowOff>
    </xdr:to>
    <xdr:sp macro="" textlink="">
      <xdr:nvSpPr>
        <xdr:cNvPr id="2" name="1 CuadroTexto"/>
        <xdr:cNvSpPr txBox="1"/>
      </xdr:nvSpPr>
      <xdr:spPr>
        <a:xfrm>
          <a:off x="424776" y="235085"/>
          <a:ext cx="8832715" cy="10026582"/>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spcAft>
              <a:spcPts val="0"/>
            </a:spcAft>
          </a:pPr>
          <a:r>
            <a:rPr lang="es-ES" sz="800">
              <a:effectLst/>
              <a:latin typeface="Arial"/>
              <a:ea typeface="Times New Roman"/>
              <a:cs typeface="Times New Roman"/>
            </a:rPr>
            <a:t>	   MINISTERIO DE SALUD</a:t>
          </a:r>
          <a:endParaRPr lang="es-CL" sz="800">
            <a:effectLst/>
            <a:latin typeface="Verdana"/>
            <a:ea typeface="Times New Roman"/>
            <a:cs typeface="Times New Roman"/>
          </a:endParaRPr>
        </a:p>
        <a:p>
          <a:pPr>
            <a:lnSpc>
              <a:spcPct val="150000"/>
            </a:lnSpc>
            <a:spcAft>
              <a:spcPts val="0"/>
            </a:spcAft>
          </a:pPr>
          <a:r>
            <a:rPr lang="es-ES" sz="800">
              <a:effectLst/>
              <a:latin typeface="Arial"/>
              <a:ea typeface="Times New Roman"/>
              <a:cs typeface="Times New Roman"/>
            </a:rPr>
            <a:t>	   SERVICIO DE SALUD ACONCAGUA</a:t>
          </a:r>
          <a:endParaRPr lang="es-CL" sz="800">
            <a:effectLst/>
            <a:latin typeface="Verdana"/>
            <a:ea typeface="Times New Roman"/>
            <a:cs typeface="Times New Roman"/>
          </a:endParaRPr>
        </a:p>
        <a:p>
          <a:pPr>
            <a:lnSpc>
              <a:spcPct val="150000"/>
            </a:lnSpc>
            <a:spcAft>
              <a:spcPts val="0"/>
            </a:spcAft>
          </a:pPr>
          <a:r>
            <a:rPr lang="es-ES" sz="800" b="0" u="none" strike="noStrike">
              <a:effectLst/>
              <a:latin typeface="Arial"/>
            </a:rPr>
            <a:t>	   SUBDIRECCION DE GESTION ESTRATEGICA</a:t>
          </a:r>
          <a:endParaRPr lang="es-CL" sz="800" b="1" u="sng">
            <a:effectLst/>
            <a:latin typeface="Verdana"/>
          </a:endParaRPr>
        </a:p>
        <a:p>
          <a:pPr>
            <a:lnSpc>
              <a:spcPct val="150000"/>
            </a:lnSpc>
            <a:spcAft>
              <a:spcPts val="0"/>
            </a:spcAft>
          </a:pPr>
          <a:r>
            <a:rPr lang="pt-BR" sz="800" b="1" u="sng">
              <a:effectLst/>
              <a:latin typeface="Arial"/>
            </a:rPr>
            <a:t>	   UNIDAD DE ESTADISTICA</a:t>
          </a:r>
          <a:endParaRPr lang="es-CL" sz="800" b="1" u="sng">
            <a:effectLst/>
            <a:latin typeface="Verdana"/>
          </a:endParaRPr>
        </a:p>
        <a:p>
          <a:pPr>
            <a:lnSpc>
              <a:spcPct val="150000"/>
            </a:lnSpc>
            <a:spcAft>
              <a:spcPts val="0"/>
            </a:spcAft>
          </a:pPr>
          <a:r>
            <a:rPr lang="es-ES_tradnl" sz="1800">
              <a:effectLst/>
              <a:latin typeface="Arial"/>
              <a:ea typeface="Calibri"/>
              <a:cs typeface="Times New Roman"/>
            </a:rPr>
            <a:t>  </a:t>
          </a:r>
          <a:endParaRPr lang="es-CL" sz="1400">
            <a:effectLst/>
            <a:latin typeface="Verdana"/>
            <a:ea typeface="Times New Roman"/>
            <a:cs typeface="Times New Roman"/>
          </a:endParaRPr>
        </a:p>
        <a:p>
          <a:pPr algn="ctr">
            <a:lnSpc>
              <a:spcPct val="150000"/>
            </a:lnSpc>
            <a:spcAft>
              <a:spcPts val="0"/>
            </a:spcAft>
          </a:pPr>
          <a:r>
            <a:rPr lang="es-ES_tradnl" sz="1200" b="1">
              <a:effectLst/>
              <a:latin typeface="Arial"/>
              <a:ea typeface="Calibri"/>
              <a:cs typeface="Times New Roman"/>
            </a:rPr>
            <a:t>MEMORIA ESTADISTICA SERVICIO DE SALUD ACONCAGUA 2006-2015</a:t>
          </a:r>
          <a:endParaRPr lang="es-CL" sz="1200">
            <a:effectLst/>
            <a:latin typeface="Verdana"/>
            <a:ea typeface="Times New Roman"/>
            <a:cs typeface="Times New Roman"/>
          </a:endParaRPr>
        </a:p>
        <a:p>
          <a:pPr algn="ctr">
            <a:lnSpc>
              <a:spcPct val="150000"/>
            </a:lnSpc>
            <a:spcAft>
              <a:spcPts val="0"/>
            </a:spcAft>
          </a:pPr>
          <a:r>
            <a:rPr lang="es-ES_tradnl" sz="1800" b="1">
              <a:effectLst/>
              <a:latin typeface="Arial"/>
              <a:ea typeface="Calibri"/>
              <a:cs typeface="Times New Roman"/>
            </a:rPr>
            <a:t> </a:t>
          </a:r>
          <a:endParaRPr lang="es-CL" sz="1400">
            <a:effectLst/>
            <a:latin typeface="Verdana"/>
            <a:ea typeface="Times New Roman"/>
            <a:cs typeface="Times New Roman"/>
          </a:endParaRPr>
        </a:p>
        <a:p>
          <a:pPr algn="ctr">
            <a:lnSpc>
              <a:spcPct val="150000"/>
            </a:lnSpc>
            <a:spcAft>
              <a:spcPts val="1000"/>
            </a:spcAft>
          </a:pPr>
          <a:r>
            <a:rPr lang="es-ES_tradnl" sz="1100" b="1">
              <a:effectLst/>
              <a:latin typeface="Arial"/>
              <a:ea typeface="Calibri"/>
              <a:cs typeface="Times New Roman"/>
            </a:rPr>
            <a:t>PROLOGO</a:t>
          </a:r>
          <a:endParaRPr lang="es-CL" sz="1100">
            <a:effectLst/>
            <a:latin typeface="Verdana"/>
            <a:ea typeface="Times New Roman"/>
            <a:cs typeface="Times New Roman"/>
          </a:endParaRPr>
        </a:p>
        <a:p>
          <a:pPr algn="ctr">
            <a:lnSpc>
              <a:spcPct val="150000"/>
            </a:lnSpc>
            <a:spcAft>
              <a:spcPts val="1000"/>
            </a:spcAft>
          </a:pPr>
          <a:r>
            <a:rPr lang="es-ES_tradnl" sz="1800" b="1">
              <a:effectLst/>
              <a:latin typeface="Arial"/>
              <a:ea typeface="Calibri"/>
              <a:cs typeface="Times New Roman"/>
            </a:rPr>
            <a:t> </a:t>
          </a:r>
          <a:endParaRPr lang="es-CL" sz="14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Valle del Aconcagua,  tierras de  sol y aire puro, de campos y cordillera,  de artesanos; de  vegetación silvestre, de uvas y duraznos que porfían al secano  y de nieves en estado virgen, trepadas en la cima de  las montañas. </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Es en este valle, que acoge al afuerino para quedarse, donde extiende sus redes el Servicio de Salud Aconcagua, uno de los  29 Servicios que conforman el Sistema Nacional de Salud y constituye uno de los tres Servicios de la  Región de Valparaíso,  los que, en conjunto, satisfacen la demanda de salud pública de casi dos millones de  habitantes.  	</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Corresponde a este   Servicio de Salud cubrir las necesidades de salud de las personas de  las 10 comunas del Valle del Aconcagua, las que conglomeradas en dos provincias: San Felipe y Los Andes, representan el 15% de la población de la Región y en una superficie de 5.700 kilómetros cuadrados, ocupan el 35% del territorio regional.</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Tiene por misión ser  “un Servicio Público que contribuye a mejorar el nivel de salud de las personas del Valle de Aconcagua, a través del desarrollo de una Red Asistencial coordinada e integrada” y concibe como visión   “ser una  Red Asistencial de excelencia, que otorgue servicios altamente valorados por  los  usuarios y su grupo familiar, con un equipo  de  trabajo competente, innovador, participativo e integrado con la comunidad."</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Para contribuir al cumplimiento de dicha misión y su perspectiva  hacia la excelencia, se desarrolla esta Memoria Estadística. </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Pretende ser  una valiosa herramienta para el necesario  diagnostico en salud, compilando información básica, antecedentes biogeográficos 2006-2015  y las atenciones de salud entregadas a las personas del valle en los últimos cuatro años. </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Cumplirá ese cometido, cada vez que el equipo de salud revise su contenido, extraiga datos, los convierta en información que fundamente su acción.</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 </a:t>
          </a:r>
          <a:endParaRPr lang="es-CL" sz="1100">
            <a:effectLst/>
            <a:latin typeface="Verdana"/>
            <a:ea typeface="Times New Roman"/>
            <a:cs typeface="Times New Roman"/>
          </a:endParaRPr>
        </a:p>
        <a:p>
          <a:pPr marL="2697480" indent="449580" algn="just">
            <a:spcAft>
              <a:spcPts val="0"/>
            </a:spcAft>
          </a:pPr>
          <a:r>
            <a:rPr lang="es-ES" sz="1100" b="1">
              <a:effectLst/>
              <a:latin typeface="Arial"/>
              <a:ea typeface="Calibri"/>
              <a:cs typeface="Times New Roman"/>
            </a:rPr>
            <a:t>EQUIPO DE ESTADÍSTICA </a:t>
          </a:r>
          <a:endParaRPr lang="es-CL" sz="1100">
            <a:effectLst/>
            <a:latin typeface="Verdana"/>
            <a:ea typeface="Times New Roman"/>
            <a:cs typeface="Times New Roman"/>
          </a:endParaRPr>
        </a:p>
        <a:p>
          <a:pPr marL="2247900" indent="449580" algn="just">
            <a:spcAft>
              <a:spcPts val="0"/>
            </a:spcAft>
          </a:pPr>
          <a:r>
            <a:rPr lang="es-ES" sz="1100" b="1">
              <a:effectLst/>
              <a:latin typeface="Arial"/>
              <a:ea typeface="Calibri"/>
              <a:cs typeface="Times New Roman"/>
            </a:rPr>
            <a:t>    SERVICIO DE SALUD ACONCAGUA</a:t>
          </a:r>
          <a:r>
            <a:rPr lang="es-ES" sz="1100">
              <a:effectLst/>
              <a:latin typeface="Arial"/>
              <a:ea typeface="Calibri"/>
              <a:cs typeface="Times New Roman"/>
            </a:rPr>
            <a:t> 	</a:t>
          </a:r>
          <a:endParaRPr lang="es-CL" sz="1100">
            <a:effectLst/>
            <a:latin typeface="Verdana"/>
            <a:ea typeface="Times New Roman"/>
            <a:cs typeface="Times New Roman"/>
          </a:endParaRPr>
        </a:p>
        <a:p>
          <a:pPr marL="2247900" indent="44958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San Felipe, Septiembre 2016.</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xdr:txBody>
    </xdr:sp>
    <xdr:clientData/>
  </xdr:twoCellAnchor>
  <xdr:twoCellAnchor editAs="oneCell">
    <xdr:from>
      <xdr:col>1</xdr:col>
      <xdr:colOff>64649</xdr:colOff>
      <xdr:row>1</xdr:row>
      <xdr:rowOff>90589</xdr:rowOff>
    </xdr:from>
    <xdr:to>
      <xdr:col>1</xdr:col>
      <xdr:colOff>1059302</xdr:colOff>
      <xdr:row>5</xdr:row>
      <xdr:rowOff>1217</xdr:rowOff>
    </xdr:to>
    <xdr:pic>
      <xdr:nvPicPr>
        <xdr:cNvPr id="4" name="3 Imagen" descr="logo gobierno"/>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7543" y="260823"/>
          <a:ext cx="994653" cy="745585"/>
        </a:xfrm>
        <a:prstGeom prst="rect">
          <a:avLst/>
        </a:prstGeom>
        <a:noFill/>
        <a:ln>
          <a:noFill/>
        </a:ln>
      </xdr:spPr>
    </xdr:pic>
    <xdr:clientData/>
  </xdr:twoCellAnchor>
</xdr:wsDr>
</file>

<file path=xl/drawings/drawing10.xml><?xml version="1.0" encoding="utf-8"?>
<c:userShapes xmlns:c="http://schemas.openxmlformats.org/drawingml/2006/chart">
  <cdr:relSizeAnchor xmlns:cdr="http://schemas.openxmlformats.org/drawingml/2006/chartDrawing">
    <cdr:from>
      <cdr:x>0.04576</cdr:x>
      <cdr:y>0.14496</cdr:y>
    </cdr:from>
    <cdr:to>
      <cdr:x>0.16244</cdr:x>
      <cdr:y>0.17807</cdr:y>
    </cdr:to>
    <cdr:sp macro="" textlink="">
      <cdr:nvSpPr>
        <cdr:cNvPr id="8193" name="Text Box 1"/>
        <cdr:cNvSpPr txBox="1">
          <a:spLocks xmlns:a="http://schemas.openxmlformats.org/drawingml/2006/main" noChangeArrowheads="1"/>
        </cdr:cNvSpPr>
      </cdr:nvSpPr>
      <cdr:spPr bwMode="auto">
        <a:xfrm xmlns:a="http://schemas.openxmlformats.org/drawingml/2006/main">
          <a:off x="205396" y="1180963"/>
          <a:ext cx="515678" cy="2689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1">
            <a:defRPr sz="1000"/>
          </a:pPr>
          <a:r>
            <a:rPr lang="es-ES" sz="1200" b="1" i="0" strike="noStrike">
              <a:solidFill>
                <a:srgbClr val="000000"/>
              </a:solidFill>
              <a:latin typeface="Arial"/>
              <a:cs typeface="Arial"/>
            </a:rPr>
            <a:t>2013</a:t>
          </a:r>
        </a:p>
      </cdr:txBody>
    </cdr:sp>
  </cdr:relSizeAnchor>
  <cdr:relSizeAnchor xmlns:cdr="http://schemas.openxmlformats.org/drawingml/2006/chartDrawing">
    <cdr:from>
      <cdr:x>0.04576</cdr:x>
      <cdr:y>0.5924</cdr:y>
    </cdr:from>
    <cdr:to>
      <cdr:x>0.16341</cdr:x>
      <cdr:y>0.62452</cdr:y>
    </cdr:to>
    <cdr:sp macro="" textlink="">
      <cdr:nvSpPr>
        <cdr:cNvPr id="8194" name="Text Box 2"/>
        <cdr:cNvSpPr txBox="1">
          <a:spLocks xmlns:a="http://schemas.openxmlformats.org/drawingml/2006/main" noChangeArrowheads="1"/>
        </cdr:cNvSpPr>
      </cdr:nvSpPr>
      <cdr:spPr bwMode="auto">
        <a:xfrm xmlns:a="http://schemas.openxmlformats.org/drawingml/2006/main">
          <a:off x="205396" y="4816353"/>
          <a:ext cx="520003" cy="2609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1">
            <a:defRPr sz="1000"/>
          </a:pPr>
          <a:r>
            <a:rPr lang="es-ES" sz="1200" b="1" i="0" strike="noStrike">
              <a:solidFill>
                <a:srgbClr val="000000"/>
              </a:solidFill>
              <a:latin typeface="Arial"/>
              <a:cs typeface="Arial"/>
            </a:rPr>
            <a:t>1990</a:t>
          </a:r>
        </a:p>
      </cdr:txBody>
    </cdr:sp>
  </cdr:relSizeAnchor>
  <cdr:relSizeAnchor xmlns:cdr="http://schemas.openxmlformats.org/drawingml/2006/chartDrawing">
    <cdr:from>
      <cdr:x>0.02374</cdr:x>
      <cdr:y>0.95807</cdr:y>
    </cdr:from>
    <cdr:to>
      <cdr:x>0.21503</cdr:x>
      <cdr:y>0.98796</cdr:y>
    </cdr:to>
    <cdr:sp macro="" textlink="">
      <cdr:nvSpPr>
        <cdr:cNvPr id="8195" name="Text Box 3"/>
        <cdr:cNvSpPr txBox="1">
          <a:spLocks xmlns:a="http://schemas.openxmlformats.org/drawingml/2006/main" noChangeArrowheads="1"/>
        </cdr:cNvSpPr>
      </cdr:nvSpPr>
      <cdr:spPr bwMode="auto">
        <a:xfrm xmlns:a="http://schemas.openxmlformats.org/drawingml/2006/main">
          <a:off x="108098" y="7787296"/>
          <a:ext cx="845410" cy="24289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1">
            <a:defRPr sz="1000"/>
          </a:pPr>
          <a:r>
            <a:rPr lang="es-ES" sz="950" b="1" i="0" strike="noStrike">
              <a:solidFill>
                <a:srgbClr val="000000"/>
              </a:solidFill>
              <a:latin typeface="Arial"/>
              <a:cs typeface="Arial"/>
            </a:rPr>
            <a:t>Fuente :  INE</a:t>
          </a:r>
        </a:p>
      </cdr:txBody>
    </cdr:sp>
  </cdr:relSizeAnchor>
  <cdr:relSizeAnchor xmlns:cdr="http://schemas.openxmlformats.org/drawingml/2006/chartDrawing">
    <cdr:from>
      <cdr:x>0.16439</cdr:x>
      <cdr:y>0.51309</cdr:y>
    </cdr:from>
    <cdr:to>
      <cdr:x>0.31091</cdr:x>
      <cdr:y>0.63614</cdr:y>
    </cdr:to>
    <cdr:pic>
      <cdr:nvPicPr>
        <cdr:cNvPr id="8196" name="Picture 4"/>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729723" y="4171979"/>
          <a:ext cx="647571" cy="999682"/>
        </a:xfrm>
        <a:prstGeom xmlns:a="http://schemas.openxmlformats.org/drawingml/2006/main" prst="rect">
          <a:avLst/>
        </a:prstGeom>
        <a:noFill xmlns:a="http://schemas.openxmlformats.org/drawingml/2006/main"/>
      </cdr:spPr>
    </cdr:pic>
  </cdr:relSizeAnchor>
  <cdr:relSizeAnchor xmlns:cdr="http://schemas.openxmlformats.org/drawingml/2006/chartDrawing">
    <cdr:from>
      <cdr:x>0.73948</cdr:x>
      <cdr:y>0.51309</cdr:y>
    </cdr:from>
    <cdr:to>
      <cdr:x>0.89676</cdr:x>
      <cdr:y>0.63614</cdr:y>
    </cdr:to>
    <cdr:pic>
      <cdr:nvPicPr>
        <cdr:cNvPr id="8197" name="Picture 5"/>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3271360" y="4171979"/>
          <a:ext cx="695139" cy="999682"/>
        </a:xfrm>
        <a:prstGeom xmlns:a="http://schemas.openxmlformats.org/drawingml/2006/main" prst="rect">
          <a:avLst/>
        </a:prstGeom>
        <a:noFill xmlns:a="http://schemas.openxmlformats.org/drawingml/2006/main"/>
      </cdr:spPr>
    </cdr:pic>
  </cdr:relSizeAnchor>
</c:userShapes>
</file>

<file path=xl/drawings/drawing11.xml><?xml version="1.0" encoding="utf-8"?>
<c:userShapes xmlns:c="http://schemas.openxmlformats.org/drawingml/2006/chart">
  <cdr:relSizeAnchor xmlns:cdr="http://schemas.openxmlformats.org/drawingml/2006/chartDrawing">
    <cdr:from>
      <cdr:x>0.04576</cdr:x>
      <cdr:y>0.14496</cdr:y>
    </cdr:from>
    <cdr:to>
      <cdr:x>0.16244</cdr:x>
      <cdr:y>0.17807</cdr:y>
    </cdr:to>
    <cdr:sp macro="" textlink="">
      <cdr:nvSpPr>
        <cdr:cNvPr id="8193" name="Text Box 1"/>
        <cdr:cNvSpPr txBox="1">
          <a:spLocks xmlns:a="http://schemas.openxmlformats.org/drawingml/2006/main" noChangeArrowheads="1"/>
        </cdr:cNvSpPr>
      </cdr:nvSpPr>
      <cdr:spPr bwMode="auto">
        <a:xfrm xmlns:a="http://schemas.openxmlformats.org/drawingml/2006/main">
          <a:off x="205396" y="1180963"/>
          <a:ext cx="515678" cy="2689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1">
            <a:defRPr sz="1000"/>
          </a:pPr>
          <a:r>
            <a:rPr lang="es-ES" sz="1200" b="1" i="0" strike="noStrike">
              <a:solidFill>
                <a:srgbClr val="000000"/>
              </a:solidFill>
              <a:latin typeface="Arial"/>
              <a:cs typeface="Arial"/>
            </a:rPr>
            <a:t>2015</a:t>
          </a:r>
        </a:p>
      </cdr:txBody>
    </cdr:sp>
  </cdr:relSizeAnchor>
  <cdr:relSizeAnchor xmlns:cdr="http://schemas.openxmlformats.org/drawingml/2006/chartDrawing">
    <cdr:from>
      <cdr:x>0.04576</cdr:x>
      <cdr:y>0.5924</cdr:y>
    </cdr:from>
    <cdr:to>
      <cdr:x>0.16341</cdr:x>
      <cdr:y>0.62452</cdr:y>
    </cdr:to>
    <cdr:sp macro="" textlink="">
      <cdr:nvSpPr>
        <cdr:cNvPr id="8194" name="Text Box 2"/>
        <cdr:cNvSpPr txBox="1">
          <a:spLocks xmlns:a="http://schemas.openxmlformats.org/drawingml/2006/main" noChangeArrowheads="1"/>
        </cdr:cNvSpPr>
      </cdr:nvSpPr>
      <cdr:spPr bwMode="auto">
        <a:xfrm xmlns:a="http://schemas.openxmlformats.org/drawingml/2006/main">
          <a:off x="205396" y="4816353"/>
          <a:ext cx="520003" cy="2609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1">
            <a:defRPr sz="1000"/>
          </a:pPr>
          <a:r>
            <a:rPr lang="es-ES" sz="1200" b="1" i="0" strike="noStrike">
              <a:solidFill>
                <a:srgbClr val="000000"/>
              </a:solidFill>
              <a:latin typeface="Arial"/>
              <a:cs typeface="Arial"/>
            </a:rPr>
            <a:t>1990</a:t>
          </a:r>
        </a:p>
      </cdr:txBody>
    </cdr:sp>
  </cdr:relSizeAnchor>
  <cdr:relSizeAnchor xmlns:cdr="http://schemas.openxmlformats.org/drawingml/2006/chartDrawing">
    <cdr:from>
      <cdr:x>0.02374</cdr:x>
      <cdr:y>0.95807</cdr:y>
    </cdr:from>
    <cdr:to>
      <cdr:x>0.21503</cdr:x>
      <cdr:y>1</cdr:y>
    </cdr:to>
    <cdr:sp macro="" textlink="">
      <cdr:nvSpPr>
        <cdr:cNvPr id="8195" name="Text Box 3"/>
        <cdr:cNvSpPr txBox="1">
          <a:spLocks xmlns:a="http://schemas.openxmlformats.org/drawingml/2006/main" noChangeArrowheads="1"/>
        </cdr:cNvSpPr>
      </cdr:nvSpPr>
      <cdr:spPr bwMode="auto">
        <a:xfrm xmlns:a="http://schemas.openxmlformats.org/drawingml/2006/main">
          <a:off x="104695" y="7775025"/>
          <a:ext cx="843603" cy="3402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1">
            <a:defRPr sz="1000"/>
          </a:pPr>
          <a:r>
            <a:rPr lang="es-ES" sz="800" b="1" i="0" strike="noStrike">
              <a:solidFill>
                <a:srgbClr val="000000"/>
              </a:solidFill>
              <a:latin typeface="Arial"/>
              <a:cs typeface="Arial"/>
            </a:rPr>
            <a:t>Fuente :  INE censo</a:t>
          </a:r>
          <a:r>
            <a:rPr lang="es-ES" sz="800" b="1" i="0" strike="noStrike" baseline="0">
              <a:solidFill>
                <a:srgbClr val="000000"/>
              </a:solidFill>
              <a:latin typeface="Arial"/>
              <a:cs typeface="Arial"/>
            </a:rPr>
            <a:t> 2002</a:t>
          </a:r>
          <a:endParaRPr lang="es-ES" sz="800" b="1" i="0" strike="noStrike">
            <a:solidFill>
              <a:srgbClr val="000000"/>
            </a:solidFill>
            <a:latin typeface="Arial"/>
            <a:cs typeface="Arial"/>
          </a:endParaRPr>
        </a:p>
      </cdr:txBody>
    </cdr:sp>
  </cdr:relSizeAnchor>
  <cdr:relSizeAnchor xmlns:cdr="http://schemas.openxmlformats.org/drawingml/2006/chartDrawing">
    <cdr:from>
      <cdr:x>0.16439</cdr:x>
      <cdr:y>0.51309</cdr:y>
    </cdr:from>
    <cdr:to>
      <cdr:x>0.31091</cdr:x>
      <cdr:y>0.63614</cdr:y>
    </cdr:to>
    <cdr:pic>
      <cdr:nvPicPr>
        <cdr:cNvPr id="8196" name="Picture 4"/>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729723" y="4171979"/>
          <a:ext cx="647571" cy="999682"/>
        </a:xfrm>
        <a:prstGeom xmlns:a="http://schemas.openxmlformats.org/drawingml/2006/main" prst="rect">
          <a:avLst/>
        </a:prstGeom>
        <a:noFill xmlns:a="http://schemas.openxmlformats.org/drawingml/2006/main"/>
      </cdr:spPr>
    </cdr:pic>
  </cdr:relSizeAnchor>
  <cdr:relSizeAnchor xmlns:cdr="http://schemas.openxmlformats.org/drawingml/2006/chartDrawing">
    <cdr:from>
      <cdr:x>0.73948</cdr:x>
      <cdr:y>0.51309</cdr:y>
    </cdr:from>
    <cdr:to>
      <cdr:x>0.89676</cdr:x>
      <cdr:y>0.63614</cdr:y>
    </cdr:to>
    <cdr:pic>
      <cdr:nvPicPr>
        <cdr:cNvPr id="8197" name="Picture 5"/>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3271360" y="4171979"/>
          <a:ext cx="695139" cy="999682"/>
        </a:xfrm>
        <a:prstGeom xmlns:a="http://schemas.openxmlformats.org/drawingml/2006/main" prst="rect">
          <a:avLst/>
        </a:prstGeom>
        <a:noFill xmlns:a="http://schemas.openxmlformats.org/drawingml/2006/main"/>
      </cdr:spPr>
    </cdr:pic>
  </cdr:relSizeAnchor>
</c:userShapes>
</file>

<file path=xl/drawings/drawing12.xml><?xml version="1.0" encoding="utf-8"?>
<xdr:wsDr xmlns:xdr="http://schemas.openxmlformats.org/drawingml/2006/spreadsheetDrawing" xmlns:a="http://schemas.openxmlformats.org/drawingml/2006/main">
  <xdr:twoCellAnchor>
    <xdr:from>
      <xdr:col>0</xdr:col>
      <xdr:colOff>381000</xdr:colOff>
      <xdr:row>28</xdr:row>
      <xdr:rowOff>0</xdr:rowOff>
    </xdr:from>
    <xdr:to>
      <xdr:col>10</xdr:col>
      <xdr:colOff>447675</xdr:colOff>
      <xdr:row>49</xdr:row>
      <xdr:rowOff>9525</xdr:rowOff>
    </xdr:to>
    <xdr:graphicFrame macro="">
      <xdr:nvGraphicFramePr>
        <xdr:cNvPr id="654950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381000</xdr:colOff>
      <xdr:row>28</xdr:row>
      <xdr:rowOff>0</xdr:rowOff>
    </xdr:from>
    <xdr:to>
      <xdr:col>10</xdr:col>
      <xdr:colOff>447675</xdr:colOff>
      <xdr:row>49</xdr:row>
      <xdr:rowOff>9525</xdr:rowOff>
    </xdr:to>
    <xdr:graphicFrame macro="">
      <xdr:nvGraphicFramePr>
        <xdr:cNvPr id="654950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676275</xdr:colOff>
      <xdr:row>37</xdr:row>
      <xdr:rowOff>152400</xdr:rowOff>
    </xdr:from>
    <xdr:to>
      <xdr:col>6</xdr:col>
      <xdr:colOff>304800</xdr:colOff>
      <xdr:row>50</xdr:row>
      <xdr:rowOff>152400</xdr:rowOff>
    </xdr:to>
    <xdr:graphicFrame macro="">
      <xdr:nvGraphicFramePr>
        <xdr:cNvPr id="6549918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685800</xdr:colOff>
      <xdr:row>22</xdr:row>
      <xdr:rowOff>19050</xdr:rowOff>
    </xdr:from>
    <xdr:to>
      <xdr:col>6</xdr:col>
      <xdr:colOff>285750</xdr:colOff>
      <xdr:row>35</xdr:row>
      <xdr:rowOff>19050</xdr:rowOff>
    </xdr:to>
    <xdr:graphicFrame macro="">
      <xdr:nvGraphicFramePr>
        <xdr:cNvPr id="6549918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676275</xdr:colOff>
      <xdr:row>37</xdr:row>
      <xdr:rowOff>152400</xdr:rowOff>
    </xdr:from>
    <xdr:to>
      <xdr:col>6</xdr:col>
      <xdr:colOff>304800</xdr:colOff>
      <xdr:row>50</xdr:row>
      <xdr:rowOff>152400</xdr:rowOff>
    </xdr:to>
    <xdr:graphicFrame macro="">
      <xdr:nvGraphicFramePr>
        <xdr:cNvPr id="6549918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685800</xdr:colOff>
      <xdr:row>22</xdr:row>
      <xdr:rowOff>19050</xdr:rowOff>
    </xdr:from>
    <xdr:to>
      <xdr:col>6</xdr:col>
      <xdr:colOff>285750</xdr:colOff>
      <xdr:row>35</xdr:row>
      <xdr:rowOff>19050</xdr:rowOff>
    </xdr:to>
    <xdr:graphicFrame macro="">
      <xdr:nvGraphicFramePr>
        <xdr:cNvPr id="6549919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0.0151</cdr:x>
      <cdr:y>0.12614</cdr:y>
    </cdr:from>
    <cdr:to>
      <cdr:x>0.13669</cdr:x>
      <cdr:y>0.1937</cdr:y>
    </cdr:to>
    <cdr:sp macro="" textlink="">
      <cdr:nvSpPr>
        <cdr:cNvPr id="10241" name="Texto 1"/>
        <cdr:cNvSpPr txBox="1">
          <a:spLocks xmlns:a="http://schemas.openxmlformats.org/drawingml/2006/main" noChangeArrowheads="1"/>
        </cdr:cNvSpPr>
      </cdr:nvSpPr>
      <cdr:spPr bwMode="auto">
        <a:xfrm xmlns:a="http://schemas.openxmlformats.org/drawingml/2006/main">
          <a:off x="64735" y="269894"/>
          <a:ext cx="495691" cy="14286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9144" tIns="18288" rIns="9144" bIns="18288" anchor="ctr" upright="1">
          <a:spAutoFit/>
        </a:bodyPr>
        <a:lstStyle xmlns:a="http://schemas.openxmlformats.org/drawingml/2006/main"/>
        <a:p xmlns:a="http://schemas.openxmlformats.org/drawingml/2006/main">
          <a:pPr algn="ctr" rtl="0">
            <a:defRPr sz="1000"/>
          </a:pPr>
          <a:r>
            <a:rPr lang="es-ES" sz="500" b="0" i="0" strike="noStrike">
              <a:solidFill>
                <a:srgbClr val="000000"/>
              </a:solidFill>
              <a:latin typeface="Arial"/>
              <a:cs typeface="Arial"/>
            </a:rPr>
            <a:t>PORCENTAJE</a:t>
          </a:r>
        </a:p>
      </cdr:txBody>
    </cdr:sp>
  </cdr:relSizeAnchor>
</c:userShapes>
</file>

<file path=xl/drawings/drawing15.xml><?xml version="1.0" encoding="utf-8"?>
<c:userShapes xmlns:c="http://schemas.openxmlformats.org/drawingml/2006/chart">
  <cdr:relSizeAnchor xmlns:cdr="http://schemas.openxmlformats.org/drawingml/2006/chartDrawing">
    <cdr:from>
      <cdr:x>0.0151</cdr:x>
      <cdr:y>0.12614</cdr:y>
    </cdr:from>
    <cdr:to>
      <cdr:x>0.13669</cdr:x>
      <cdr:y>0.1937</cdr:y>
    </cdr:to>
    <cdr:sp macro="" textlink="">
      <cdr:nvSpPr>
        <cdr:cNvPr id="10241" name="Texto 1"/>
        <cdr:cNvSpPr txBox="1">
          <a:spLocks xmlns:a="http://schemas.openxmlformats.org/drawingml/2006/main" noChangeArrowheads="1"/>
        </cdr:cNvSpPr>
      </cdr:nvSpPr>
      <cdr:spPr bwMode="auto">
        <a:xfrm xmlns:a="http://schemas.openxmlformats.org/drawingml/2006/main">
          <a:off x="64735" y="269894"/>
          <a:ext cx="495691" cy="14286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9144" tIns="18288" rIns="9144" bIns="18288" anchor="ctr" upright="1">
          <a:spAutoFit/>
        </a:bodyPr>
        <a:lstStyle xmlns:a="http://schemas.openxmlformats.org/drawingml/2006/main"/>
        <a:p xmlns:a="http://schemas.openxmlformats.org/drawingml/2006/main">
          <a:pPr algn="ctr" rtl="0">
            <a:defRPr sz="1000"/>
          </a:pPr>
          <a:r>
            <a:rPr lang="es-ES" sz="500" b="0" i="0" strike="noStrike">
              <a:solidFill>
                <a:srgbClr val="000000"/>
              </a:solidFill>
              <a:latin typeface="Arial"/>
              <a:cs typeface="Arial"/>
            </a:rPr>
            <a:t>PORCENTAJE</a:t>
          </a: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247650</xdr:colOff>
      <xdr:row>24</xdr:row>
      <xdr:rowOff>9525</xdr:rowOff>
    </xdr:from>
    <xdr:to>
      <xdr:col>5</xdr:col>
      <xdr:colOff>409575</xdr:colOff>
      <xdr:row>38</xdr:row>
      <xdr:rowOff>19050</xdr:rowOff>
    </xdr:to>
    <xdr:graphicFrame macro="">
      <xdr:nvGraphicFramePr>
        <xdr:cNvPr id="6550430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238125</xdr:colOff>
      <xdr:row>42</xdr:row>
      <xdr:rowOff>19050</xdr:rowOff>
    </xdr:from>
    <xdr:to>
      <xdr:col>5</xdr:col>
      <xdr:colOff>419100</xdr:colOff>
      <xdr:row>56</xdr:row>
      <xdr:rowOff>0</xdr:rowOff>
    </xdr:to>
    <xdr:graphicFrame macro="">
      <xdr:nvGraphicFramePr>
        <xdr:cNvPr id="6550430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247650</xdr:colOff>
      <xdr:row>24</xdr:row>
      <xdr:rowOff>9525</xdr:rowOff>
    </xdr:from>
    <xdr:to>
      <xdr:col>5</xdr:col>
      <xdr:colOff>409575</xdr:colOff>
      <xdr:row>38</xdr:row>
      <xdr:rowOff>19050</xdr:rowOff>
    </xdr:to>
    <xdr:graphicFrame macro="">
      <xdr:nvGraphicFramePr>
        <xdr:cNvPr id="6550430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238125</xdr:colOff>
      <xdr:row>42</xdr:row>
      <xdr:rowOff>19050</xdr:rowOff>
    </xdr:from>
    <xdr:to>
      <xdr:col>5</xdr:col>
      <xdr:colOff>419100</xdr:colOff>
      <xdr:row>56</xdr:row>
      <xdr:rowOff>0</xdr:rowOff>
    </xdr:to>
    <xdr:graphicFrame macro="">
      <xdr:nvGraphicFramePr>
        <xdr:cNvPr id="655043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0.03869</cdr:x>
      <cdr:y>0.12047</cdr:y>
    </cdr:from>
    <cdr:to>
      <cdr:x>0.03869</cdr:x>
      <cdr:y>0.12047</cdr:y>
    </cdr:to>
    <cdr:sp macro="" textlink="">
      <cdr:nvSpPr>
        <cdr:cNvPr id="12289" name="Texto 1"/>
        <cdr:cNvSpPr txBox="1">
          <a:spLocks xmlns:a="http://schemas.openxmlformats.org/drawingml/2006/main" noChangeArrowheads="1"/>
        </cdr:cNvSpPr>
      </cdr:nvSpPr>
      <cdr:spPr bwMode="auto">
        <a:xfrm xmlns:a="http://schemas.openxmlformats.org/drawingml/2006/main">
          <a:off x="182283" y="275126"/>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9144" tIns="18288" rIns="9144" bIns="18288" anchor="ctr" upright="1">
          <a:spAutoFit/>
        </a:bodyPr>
        <a:lstStyle xmlns:a="http://schemas.openxmlformats.org/drawingml/2006/main"/>
        <a:p xmlns:a="http://schemas.openxmlformats.org/drawingml/2006/main">
          <a:pPr algn="ctr" rtl="0">
            <a:defRPr sz="1000"/>
          </a:pPr>
          <a:r>
            <a:rPr lang="es-ES" sz="500" b="0" i="0" strike="noStrike">
              <a:solidFill>
                <a:srgbClr val="000000"/>
              </a:solidFill>
              <a:latin typeface="Arial"/>
              <a:cs typeface="Arial"/>
            </a:rPr>
            <a:t>PORCENTAJE</a:t>
          </a:r>
        </a:p>
      </cdr:txBody>
    </cdr:sp>
  </cdr:relSizeAnchor>
</c:userShapes>
</file>

<file path=xl/drawings/drawing18.xml><?xml version="1.0" encoding="utf-8"?>
<c:userShapes xmlns:c="http://schemas.openxmlformats.org/drawingml/2006/chart">
  <cdr:relSizeAnchor xmlns:cdr="http://schemas.openxmlformats.org/drawingml/2006/chartDrawing">
    <cdr:from>
      <cdr:x>0.03869</cdr:x>
      <cdr:y>0.12047</cdr:y>
    </cdr:from>
    <cdr:to>
      <cdr:x>0.03869</cdr:x>
      <cdr:y>0.12047</cdr:y>
    </cdr:to>
    <cdr:sp macro="" textlink="">
      <cdr:nvSpPr>
        <cdr:cNvPr id="12289" name="Texto 1"/>
        <cdr:cNvSpPr txBox="1">
          <a:spLocks xmlns:a="http://schemas.openxmlformats.org/drawingml/2006/main" noChangeArrowheads="1"/>
        </cdr:cNvSpPr>
      </cdr:nvSpPr>
      <cdr:spPr bwMode="auto">
        <a:xfrm xmlns:a="http://schemas.openxmlformats.org/drawingml/2006/main">
          <a:off x="182283" y="275126"/>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9144" tIns="18288" rIns="9144" bIns="18288" anchor="ctr" upright="1">
          <a:spAutoFit/>
        </a:bodyPr>
        <a:lstStyle xmlns:a="http://schemas.openxmlformats.org/drawingml/2006/main"/>
        <a:p xmlns:a="http://schemas.openxmlformats.org/drawingml/2006/main">
          <a:pPr algn="ctr" rtl="0">
            <a:defRPr sz="1000"/>
          </a:pPr>
          <a:r>
            <a:rPr lang="es-ES" sz="500" b="0" i="0" strike="noStrike">
              <a:solidFill>
                <a:srgbClr val="000000"/>
              </a:solidFill>
              <a:latin typeface="Arial"/>
              <a:cs typeface="Arial"/>
            </a:rPr>
            <a:t>PORCENTAJE</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563880</xdr:colOff>
      <xdr:row>1</xdr:row>
      <xdr:rowOff>76200</xdr:rowOff>
    </xdr:from>
    <xdr:to>
      <xdr:col>10</xdr:col>
      <xdr:colOff>30480</xdr:colOff>
      <xdr:row>64</xdr:row>
      <xdr:rowOff>152400</xdr:rowOff>
    </xdr:to>
    <xdr:sp macro="" textlink="">
      <xdr:nvSpPr>
        <xdr:cNvPr id="2" name="1 CuadroTexto"/>
        <xdr:cNvSpPr txBox="1"/>
      </xdr:nvSpPr>
      <xdr:spPr>
        <a:xfrm>
          <a:off x="563880" y="396240"/>
          <a:ext cx="8930640" cy="12489180"/>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spcAft>
              <a:spcPts val="0"/>
            </a:spcAft>
          </a:pPr>
          <a:endParaRPr lang="es-ES" sz="1100">
            <a:effectLst/>
            <a:latin typeface="Arial"/>
            <a:ea typeface="Times New Roman"/>
            <a:cs typeface="Times New Roman"/>
          </a:endParaRPr>
        </a:p>
        <a:p>
          <a:pPr>
            <a:lnSpc>
              <a:spcPct val="150000"/>
            </a:lnSpc>
            <a:spcAft>
              <a:spcPts val="0"/>
            </a:spcAft>
          </a:pPr>
          <a:r>
            <a:rPr lang="es-ES" sz="800">
              <a:effectLst/>
              <a:latin typeface="Arial"/>
              <a:ea typeface="Times New Roman"/>
              <a:cs typeface="Times New Roman"/>
            </a:rPr>
            <a:t>	MINISTERIO DE SALUD</a:t>
          </a:r>
          <a:endParaRPr lang="es-CL" sz="1000">
            <a:effectLst/>
            <a:latin typeface="Verdana"/>
            <a:ea typeface="Times New Roman"/>
            <a:cs typeface="Times New Roman"/>
          </a:endParaRPr>
        </a:p>
        <a:p>
          <a:pPr>
            <a:lnSpc>
              <a:spcPct val="150000"/>
            </a:lnSpc>
            <a:spcAft>
              <a:spcPts val="0"/>
            </a:spcAft>
          </a:pPr>
          <a:r>
            <a:rPr lang="es-ES" sz="800">
              <a:effectLst/>
              <a:latin typeface="Arial"/>
              <a:ea typeface="Times New Roman"/>
              <a:cs typeface="Times New Roman"/>
            </a:rPr>
            <a:t>	SERVICIO DE SALUD ACONCAGUA</a:t>
          </a:r>
          <a:endParaRPr lang="es-CL" sz="1000">
            <a:effectLst/>
            <a:latin typeface="Verdana"/>
            <a:ea typeface="Times New Roman"/>
            <a:cs typeface="Times New Roman"/>
          </a:endParaRPr>
        </a:p>
        <a:p>
          <a:pPr>
            <a:lnSpc>
              <a:spcPct val="150000"/>
            </a:lnSpc>
            <a:spcAft>
              <a:spcPts val="0"/>
            </a:spcAft>
          </a:pPr>
          <a:r>
            <a:rPr lang="es-ES" sz="800" b="0" u="none" strike="noStrike">
              <a:effectLst/>
              <a:latin typeface="Arial"/>
            </a:rPr>
            <a:t>	SUBDIRECCION DE GESTION ESTRATEGICA</a:t>
          </a:r>
          <a:endParaRPr lang="es-CL" sz="800" b="1" u="sng">
            <a:effectLst/>
            <a:latin typeface="Verdana"/>
          </a:endParaRPr>
        </a:p>
        <a:p>
          <a:pPr>
            <a:lnSpc>
              <a:spcPct val="150000"/>
            </a:lnSpc>
            <a:spcAft>
              <a:spcPts val="0"/>
            </a:spcAft>
          </a:pPr>
          <a:r>
            <a:rPr lang="pt-BR" sz="800" b="1" u="sng">
              <a:effectLst/>
              <a:latin typeface="Arial"/>
            </a:rPr>
            <a:t>	UNIDAD DE ESTADISTICA</a:t>
          </a:r>
          <a:endParaRPr lang="es-CL" sz="800" b="1" u="sng">
            <a:effectLst/>
            <a:latin typeface="Verdana"/>
          </a:endParaRPr>
        </a:p>
        <a:p>
          <a:pPr>
            <a:lnSpc>
              <a:spcPct val="150000"/>
            </a:lnSpc>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ctr">
            <a:lnSpc>
              <a:spcPct val="150000"/>
            </a:lnSpc>
            <a:spcAft>
              <a:spcPts val="0"/>
            </a:spcAft>
          </a:pPr>
          <a:r>
            <a:rPr lang="es-ES_tradnl" sz="1100">
              <a:effectLst/>
              <a:latin typeface="Arial"/>
              <a:ea typeface="Calibri"/>
              <a:cs typeface="Times New Roman"/>
            </a:rPr>
            <a:t> </a:t>
          </a:r>
          <a:r>
            <a:rPr lang="es-ES_tradnl" sz="1100" b="1">
              <a:effectLst/>
              <a:latin typeface="Arial"/>
              <a:ea typeface="Calibri"/>
              <a:cs typeface="Times New Roman"/>
            </a:rPr>
            <a:t>MEMORIA ESTADISTICA SERVICIO DE SALUD ACONCAGUA (SSA) 2006-2015</a:t>
          </a:r>
        </a:p>
        <a:p>
          <a:pPr algn="ctr">
            <a:lnSpc>
              <a:spcPct val="150000"/>
            </a:lnSpc>
            <a:spcAft>
              <a:spcPts val="0"/>
            </a:spcAft>
          </a:pPr>
          <a:endParaRPr lang="es-ES_tradnl" sz="1100" b="1">
            <a:effectLst/>
            <a:latin typeface="Arial"/>
            <a:ea typeface="Calibri"/>
            <a:cs typeface="Times New Roman"/>
          </a:endParaRPr>
        </a:p>
        <a:p>
          <a:pPr algn="ctr">
            <a:lnSpc>
              <a:spcPct val="150000"/>
            </a:lnSpc>
            <a:spcAft>
              <a:spcPts val="1000"/>
            </a:spcAft>
          </a:pPr>
          <a:r>
            <a:rPr lang="es-ES_tradnl" sz="1100" b="1">
              <a:effectLst/>
              <a:latin typeface="Arial"/>
              <a:ea typeface="Calibri"/>
              <a:cs typeface="Times New Roman"/>
            </a:rPr>
            <a:t>CAPITULO  II     INDICADORES BIODEMOGRAFICOS</a:t>
          </a:r>
          <a:r>
            <a:rPr lang="es-ES_tradnl"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NATALIDAD:</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Corresponde al número de nacidos vivos por cada 1000 habitantes. En nuestro Servicio de Salud se  observa un  descenso  significativo  de la natalidad  desde  el  año  2006 (14,2 %</a:t>
          </a:r>
          <a:r>
            <a:rPr lang="es-ES_tradnl" sz="800">
              <a:effectLst/>
              <a:latin typeface="Arial"/>
              <a:ea typeface="Calibri"/>
              <a:cs typeface="Times New Roman"/>
            </a:rPr>
            <a:t>o</a:t>
          </a:r>
          <a:r>
            <a:rPr lang="es-ES_tradnl" sz="1100">
              <a:effectLst/>
              <a:latin typeface="Arial"/>
              <a:ea typeface="Calibri"/>
              <a:cs typeface="Times New Roman"/>
            </a:rPr>
            <a:t>)  al  2015 (13,0 %</a:t>
          </a:r>
          <a:r>
            <a:rPr lang="es-ES_tradnl" sz="800">
              <a:effectLst/>
              <a:latin typeface="Arial"/>
              <a:ea typeface="Calibri"/>
              <a:cs typeface="Times New Roman"/>
            </a:rPr>
            <a:t>o</a:t>
          </a:r>
          <a:r>
            <a:rPr lang="es-ES_tradnl" sz="1100">
              <a:effectLst/>
              <a:latin typeface="Arial"/>
              <a:ea typeface="Calibri"/>
              <a:cs typeface="Times New Roman"/>
            </a:rPr>
            <a:t>). Lo  mismo  ocurre en   la  Región  de Valparaíso y el país. (pag.18)</a:t>
          </a:r>
        </a:p>
        <a:p>
          <a:pPr algn="just">
            <a:lnSpc>
              <a:spcPct val="150000"/>
            </a:lnSpc>
            <a:spcAft>
              <a:spcPts val="1000"/>
            </a:spcAft>
          </a:pPr>
          <a:r>
            <a:rPr lang="es-ES_tradnl" sz="1100">
              <a:effectLst/>
              <a:latin typeface="Arial"/>
              <a:ea typeface="Calibri"/>
              <a:cs typeface="Times New Roman"/>
            </a:rPr>
            <a:t>De acuerdo a las últimas publicaciones sobre estadísticas vitales, Chile se aleja de sus pares de la región y se acerca más a Europa en lo que se refiere a los niveles de natalidad, los que además están por debajo de la tasa de reposición (fertilidad).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MORTALIDAD NEONATAL:</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Corresponde al número de fallecidos  menores de 28 días/ por mil nacidos vivos.  En el  período  2006-2015  en  el  SSA, este indicador muestra una curva fluctuante, con tasas que se ubican por encima de las tasas nacionales. En el SSA la tasa más alta del período se produjo el 2012, alcanzando un 7,7%</a:t>
          </a:r>
          <a:r>
            <a:rPr lang="es-ES_tradnl" sz="800">
              <a:effectLst/>
              <a:latin typeface="Arial"/>
              <a:ea typeface="Calibri"/>
              <a:cs typeface="Times New Roman"/>
            </a:rPr>
            <a:t>o</a:t>
          </a:r>
          <a:r>
            <a:rPr lang="es-ES_tradnl" sz="1100">
              <a:effectLst/>
              <a:latin typeface="Arial"/>
              <a:ea typeface="Calibri"/>
              <a:cs typeface="Times New Roman"/>
            </a:rPr>
            <a:t>. El mismo año, la comuna con la mayor  tasa corresponde a San Esteban: 14,5%</a:t>
          </a:r>
          <a:r>
            <a:rPr lang="es-ES_tradnl" sz="800">
              <a:effectLst/>
              <a:latin typeface="Arial"/>
              <a:ea typeface="Calibri"/>
              <a:cs typeface="Times New Roman"/>
            </a:rPr>
            <a:t>o</a:t>
          </a:r>
          <a:r>
            <a:rPr lang="es-ES_tradnl" sz="1100">
              <a:effectLst/>
              <a:latin typeface="Arial"/>
              <a:ea typeface="Calibri"/>
              <a:cs typeface="Times New Roman"/>
            </a:rPr>
            <a:t> con tres neonatos fallecidos. (pag.22).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MORTALIDAD INFANTIL:</a:t>
          </a:r>
          <a:r>
            <a:rPr lang="es-ES_tradnl"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La tasa de  Mortalidad Infantil  se constituye por los fallecidos menores de 1 año, sobre el total de nacidos vivos. Se presenta en el periodo  2006-2015,  en  el  SSA, como una  curva fluctuante por encima de las tasas nacionales, sin embargo, se aprecia  una baja de un 1,1 %</a:t>
          </a:r>
          <a:r>
            <a:rPr lang="es-ES_tradnl" sz="800">
              <a:effectLst/>
              <a:latin typeface="Arial"/>
              <a:ea typeface="Calibri"/>
              <a:cs typeface="Times New Roman"/>
            </a:rPr>
            <a:t>o</a:t>
          </a:r>
          <a:r>
            <a:rPr lang="es-ES_tradnl" sz="1100">
              <a:effectLst/>
              <a:latin typeface="Arial"/>
              <a:ea typeface="Calibri"/>
              <a:cs typeface="Times New Roman"/>
            </a:rPr>
            <a:t> entre el inicio del periodo (8,8 %</a:t>
          </a:r>
          <a:r>
            <a:rPr lang="es-ES_tradnl" sz="800">
              <a:effectLst/>
              <a:latin typeface="Arial"/>
              <a:ea typeface="Calibri"/>
              <a:cs typeface="Times New Roman"/>
            </a:rPr>
            <a:t>o</a:t>
          </a:r>
          <a:r>
            <a:rPr lang="es-ES_tradnl" sz="1100">
              <a:effectLst/>
              <a:latin typeface="Arial"/>
              <a:ea typeface="Calibri"/>
              <a:cs typeface="Times New Roman"/>
            </a:rPr>
            <a:t>)  y el 2015 (7,7 %</a:t>
          </a:r>
          <a:r>
            <a:rPr lang="es-ES_tradnl" sz="800">
              <a:effectLst/>
              <a:latin typeface="Arial"/>
              <a:ea typeface="Calibri"/>
              <a:cs typeface="Times New Roman"/>
            </a:rPr>
            <a:t>o</a:t>
          </a:r>
          <a:r>
            <a:rPr lang="es-ES_tradnl" sz="1100">
              <a:effectLst/>
              <a:latin typeface="Arial"/>
              <a:ea typeface="Calibri"/>
              <a:cs typeface="Times New Roman"/>
            </a:rPr>
            <a:t>).  Se escapan las comunas de San Esteban (19,3%</a:t>
          </a:r>
          <a:r>
            <a:rPr lang="es-ES_tradnl" sz="800">
              <a:effectLst/>
              <a:latin typeface="Arial"/>
              <a:ea typeface="Calibri"/>
              <a:cs typeface="Times New Roman"/>
            </a:rPr>
            <a:t>o</a:t>
          </a:r>
          <a:r>
            <a:rPr lang="es-ES_tradnl" sz="1100">
              <a:effectLst/>
              <a:latin typeface="Arial"/>
              <a:ea typeface="Calibri"/>
              <a:cs typeface="Times New Roman"/>
            </a:rPr>
            <a:t>), Sta. María (14,6%</a:t>
          </a:r>
          <a:r>
            <a:rPr lang="es-ES_tradnl" sz="800">
              <a:effectLst/>
              <a:latin typeface="Arial"/>
              <a:ea typeface="Calibri"/>
              <a:cs typeface="Times New Roman"/>
            </a:rPr>
            <a:t>o</a:t>
          </a:r>
          <a:r>
            <a:rPr lang="es-ES_tradnl" sz="1100">
              <a:effectLst/>
              <a:latin typeface="Arial"/>
              <a:ea typeface="Calibri"/>
              <a:cs typeface="Times New Roman"/>
            </a:rPr>
            <a:t>),  y Putaendo (13,8%</a:t>
          </a:r>
          <a:r>
            <a:rPr lang="es-ES_tradnl" sz="800">
              <a:effectLst/>
              <a:latin typeface="Arial"/>
              <a:ea typeface="Calibri"/>
              <a:cs typeface="Times New Roman"/>
            </a:rPr>
            <a:t>o</a:t>
          </a:r>
          <a:r>
            <a:rPr lang="es-ES_tradnl" sz="1100">
              <a:effectLst/>
              <a:latin typeface="Arial"/>
              <a:ea typeface="Calibri"/>
              <a:cs typeface="Times New Roman"/>
            </a:rPr>
            <a:t>),   (pag.24).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 MORTALIDAD MATERNA:</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Número de mujeres fallecidas, en período de embarazo y perinatal (hasta 40 días) por cada  1.000 nacidos  vivos.  Si bien, se presenta oscilante en el período, con años sin ocurrencia de casos, se aprecia una baja significativa en el periodo en estudio, de un 8,5%</a:t>
          </a:r>
          <a:r>
            <a:rPr lang="es-ES" sz="800">
              <a:effectLst/>
              <a:latin typeface="Arial"/>
              <a:ea typeface="Calibri"/>
              <a:cs typeface="Times New Roman"/>
            </a:rPr>
            <a:t>o </a:t>
          </a:r>
          <a:r>
            <a:rPr lang="es-ES" sz="1100">
              <a:effectLst/>
              <a:latin typeface="Arial"/>
              <a:ea typeface="Calibri"/>
              <a:cs typeface="Times New Roman"/>
            </a:rPr>
            <a:t>el 2006</a:t>
          </a:r>
          <a:r>
            <a:rPr lang="es-ES" sz="800">
              <a:effectLst/>
              <a:latin typeface="Arial"/>
              <a:ea typeface="Calibri"/>
              <a:cs typeface="Times New Roman"/>
            </a:rPr>
            <a:t>  </a:t>
          </a:r>
          <a:r>
            <a:rPr lang="es-ES" sz="1100">
              <a:effectLst/>
              <a:latin typeface="Arial"/>
              <a:ea typeface="Calibri"/>
              <a:cs typeface="Times New Roman"/>
            </a:rPr>
            <a:t>a  un 2,8%</a:t>
          </a:r>
          <a:r>
            <a:rPr lang="es-ES" sz="800">
              <a:effectLst/>
              <a:latin typeface="Arial"/>
              <a:ea typeface="Calibri"/>
              <a:cs typeface="Times New Roman"/>
            </a:rPr>
            <a:t>o </a:t>
          </a:r>
          <a:r>
            <a:rPr lang="es-ES" sz="1100">
              <a:effectLst/>
              <a:latin typeface="Arial"/>
              <a:ea typeface="Calibri"/>
              <a:cs typeface="Times New Roman"/>
            </a:rPr>
            <a:t>el 2015.</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MORTALIDAD GENERAL:</a:t>
          </a:r>
          <a:r>
            <a:rPr lang="es-ES_tradnl"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La  Mortalidad General corresponde al total de fallecidos por cada mil habitantes. El   periodo  2006-2013  en  el  SSA, muestra una tendencia constante,  similar a la curva nacional. El   2014 se aprecia un  leve    incremento que alcanza a 6,2%</a:t>
          </a:r>
          <a:r>
            <a:rPr lang="es-ES_tradnl" sz="800">
              <a:effectLst/>
              <a:latin typeface="Arial"/>
              <a:ea typeface="Calibri"/>
              <a:cs typeface="Times New Roman"/>
            </a:rPr>
            <a:t>o</a:t>
          </a:r>
          <a:r>
            <a:rPr lang="es-ES_tradnl" sz="1100">
              <a:effectLst/>
              <a:latin typeface="Arial"/>
              <a:ea typeface="Calibri"/>
              <a:cs typeface="Times New Roman"/>
            </a:rPr>
            <a:t>, correspondiendo a la tasa más alta del período. </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Destaca la comuna de Putaendo con las tasas más alta del período, un 8,2 %</a:t>
          </a:r>
          <a:r>
            <a:rPr lang="es-ES_tradnl" sz="800">
              <a:effectLst/>
              <a:latin typeface="Arial"/>
              <a:ea typeface="Calibri"/>
              <a:cs typeface="Times New Roman"/>
            </a:rPr>
            <a:t>o</a:t>
          </a:r>
          <a:r>
            <a:rPr lang="es-ES_tradnl" sz="1100">
              <a:effectLst/>
              <a:latin typeface="Arial"/>
              <a:ea typeface="Calibri"/>
              <a:cs typeface="Times New Roman"/>
            </a:rPr>
            <a:t> el año 2012  y un 8,0 %</a:t>
          </a:r>
          <a:r>
            <a:rPr lang="es-ES_tradnl" sz="800">
              <a:effectLst/>
              <a:latin typeface="Arial"/>
              <a:ea typeface="Calibri"/>
              <a:cs typeface="Times New Roman"/>
            </a:rPr>
            <a:t>o</a:t>
          </a:r>
          <a:r>
            <a:rPr lang="es-ES_tradnl" sz="1100">
              <a:effectLst/>
              <a:latin typeface="Arial"/>
              <a:ea typeface="Calibri"/>
              <a:cs typeface="Times New Roman"/>
            </a:rPr>
            <a:t> el año 2015.   (pag.26)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MORTALIDAD POR GRUPOS DE CAUSAS:</a:t>
          </a:r>
          <a:r>
            <a:rPr lang="es-ES_tradnl"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Las causas de mortalidad con mayores tasas corresponden, en primer lugar al grupo de enfermedades del aparato circulatorio con 1,47%</a:t>
          </a:r>
          <a:r>
            <a:rPr lang="es-ES_tradnl" sz="800">
              <a:effectLst/>
              <a:latin typeface="Arial"/>
              <a:ea typeface="Calibri"/>
              <a:cs typeface="Times New Roman"/>
            </a:rPr>
            <a:t>o</a:t>
          </a:r>
          <a:r>
            <a:rPr lang="es-ES_tradnl" sz="1100">
              <a:effectLst/>
              <a:latin typeface="Arial"/>
              <a:ea typeface="Calibri"/>
              <a:cs typeface="Times New Roman"/>
            </a:rPr>
            <a:t>, luego, en segundo lugar, los tumores con un 1,35%</a:t>
          </a:r>
          <a:r>
            <a:rPr lang="es-ES_tradnl" sz="800">
              <a:effectLst/>
              <a:latin typeface="Arial"/>
              <a:ea typeface="Calibri"/>
              <a:cs typeface="Times New Roman"/>
            </a:rPr>
            <a:t>o.</a:t>
          </a:r>
          <a:r>
            <a:rPr lang="es-ES_tradnl"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El grupo de    enfermedades  mal  definidas ha incrementado  de  una  tasa de 0,10 %</a:t>
          </a:r>
          <a:r>
            <a:rPr lang="es-ES_tradnl" sz="800">
              <a:effectLst/>
              <a:latin typeface="Arial"/>
              <a:ea typeface="Calibri"/>
              <a:cs typeface="Times New Roman"/>
            </a:rPr>
            <a:t>o</a:t>
          </a:r>
          <a:r>
            <a:rPr lang="es-ES_tradnl" sz="1100">
              <a:effectLst/>
              <a:latin typeface="Arial"/>
              <a:ea typeface="Calibri"/>
              <a:cs typeface="Times New Roman"/>
            </a:rPr>
            <a:t>,  a  un 0,35 %</a:t>
          </a:r>
          <a:r>
            <a:rPr lang="es-ES_tradnl" sz="800">
              <a:effectLst/>
              <a:latin typeface="Arial"/>
              <a:ea typeface="Calibri"/>
              <a:cs typeface="Times New Roman"/>
            </a:rPr>
            <a:t>o</a:t>
          </a:r>
          <a:r>
            <a:rPr lang="es-ES_tradnl" sz="1100">
              <a:effectLst/>
              <a:latin typeface="Arial"/>
              <a:ea typeface="Calibri"/>
              <a:cs typeface="Times New Roman"/>
            </a:rPr>
            <a:t> en  este  periodo.(pag.28)										</a:t>
          </a:r>
          <a:endParaRPr lang="es-CL" sz="1000">
            <a:effectLst/>
            <a:latin typeface="Verdana"/>
            <a:ea typeface="Times New Roman"/>
            <a:cs typeface="Times New Roman"/>
          </a:endParaRPr>
        </a:p>
        <a:p>
          <a:pPr>
            <a:lnSpc>
              <a:spcPct val="150000"/>
            </a:lnSpc>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xdr:txBody>
    </xdr:sp>
    <xdr:clientData/>
  </xdr:twoCellAnchor>
  <xdr:twoCellAnchor editAs="oneCell">
    <xdr:from>
      <xdr:col>0</xdr:col>
      <xdr:colOff>632460</xdr:colOff>
      <xdr:row>3</xdr:row>
      <xdr:rowOff>60960</xdr:rowOff>
    </xdr:from>
    <xdr:to>
      <xdr:col>1</xdr:col>
      <xdr:colOff>754380</xdr:colOff>
      <xdr:row>5</xdr:row>
      <xdr:rowOff>221615</xdr:rowOff>
    </xdr:to>
    <xdr:pic>
      <xdr:nvPicPr>
        <xdr:cNvPr id="3" name="2 Imagen" descr="logo gobierno"/>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2460" y="716280"/>
          <a:ext cx="914400" cy="65595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556260</xdr:colOff>
      <xdr:row>1</xdr:row>
      <xdr:rowOff>114300</xdr:rowOff>
    </xdr:from>
    <xdr:to>
      <xdr:col>11</xdr:col>
      <xdr:colOff>45720</xdr:colOff>
      <xdr:row>136</xdr:row>
      <xdr:rowOff>7620</xdr:rowOff>
    </xdr:to>
    <xdr:sp macro="" textlink="">
      <xdr:nvSpPr>
        <xdr:cNvPr id="2" name="1 CuadroTexto"/>
        <xdr:cNvSpPr txBox="1"/>
      </xdr:nvSpPr>
      <xdr:spPr>
        <a:xfrm>
          <a:off x="556260" y="281940"/>
          <a:ext cx="8206740" cy="22524720"/>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spcAft>
              <a:spcPts val="0"/>
            </a:spcAft>
          </a:pPr>
          <a:endParaRPr lang="es-ES" sz="1100">
            <a:effectLst/>
            <a:latin typeface="Arial"/>
            <a:ea typeface="Times New Roman"/>
            <a:cs typeface="Times New Roman"/>
          </a:endParaRPr>
        </a:p>
        <a:p>
          <a:pPr>
            <a:lnSpc>
              <a:spcPct val="150000"/>
            </a:lnSpc>
            <a:spcAft>
              <a:spcPts val="0"/>
            </a:spcAft>
          </a:pPr>
          <a:r>
            <a:rPr lang="es-ES" sz="800">
              <a:effectLst/>
              <a:latin typeface="Arial"/>
              <a:ea typeface="Times New Roman"/>
              <a:cs typeface="Times New Roman"/>
            </a:rPr>
            <a:t>	MINISTERIO DE SALUD</a:t>
          </a:r>
          <a:endParaRPr lang="es-CL" sz="1000">
            <a:effectLst/>
            <a:latin typeface="Verdana"/>
            <a:ea typeface="Times New Roman"/>
            <a:cs typeface="Times New Roman"/>
          </a:endParaRPr>
        </a:p>
        <a:p>
          <a:pPr>
            <a:lnSpc>
              <a:spcPct val="150000"/>
            </a:lnSpc>
            <a:spcAft>
              <a:spcPts val="0"/>
            </a:spcAft>
          </a:pPr>
          <a:r>
            <a:rPr lang="es-ES" sz="800">
              <a:effectLst/>
              <a:latin typeface="Arial"/>
              <a:ea typeface="Times New Roman"/>
              <a:cs typeface="Times New Roman"/>
            </a:rPr>
            <a:t>	SERVICIO DE SALUD ACONCAGUA</a:t>
          </a:r>
          <a:endParaRPr lang="es-CL" sz="1000">
            <a:effectLst/>
            <a:latin typeface="Verdana"/>
            <a:ea typeface="Times New Roman"/>
            <a:cs typeface="Times New Roman"/>
          </a:endParaRPr>
        </a:p>
        <a:p>
          <a:pPr>
            <a:lnSpc>
              <a:spcPct val="150000"/>
            </a:lnSpc>
            <a:spcAft>
              <a:spcPts val="0"/>
            </a:spcAft>
          </a:pPr>
          <a:r>
            <a:rPr lang="es-ES" sz="800" b="0" u="none" strike="noStrike">
              <a:effectLst/>
              <a:latin typeface="Arial"/>
            </a:rPr>
            <a:t>	SUBDIRECCION DE GESTION ESTRATEGICA</a:t>
          </a:r>
          <a:endParaRPr lang="es-CL" sz="800" b="1" u="sng">
            <a:effectLst/>
            <a:latin typeface="Verdana"/>
          </a:endParaRPr>
        </a:p>
        <a:p>
          <a:pPr>
            <a:lnSpc>
              <a:spcPct val="150000"/>
            </a:lnSpc>
            <a:spcAft>
              <a:spcPts val="0"/>
            </a:spcAft>
          </a:pPr>
          <a:r>
            <a:rPr lang="pt-BR" sz="800" b="1" u="sng">
              <a:effectLst/>
              <a:latin typeface="Arial"/>
            </a:rPr>
            <a:t>	UNIDAD DE ESTADISTICA</a:t>
          </a:r>
          <a:endParaRPr lang="es-CL" sz="800" b="1" u="sng">
            <a:effectLst/>
            <a:latin typeface="Verdana"/>
          </a:endParaRPr>
        </a:p>
        <a:p>
          <a:pPr>
            <a:lnSpc>
              <a:spcPct val="150000"/>
            </a:lnSpc>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ctr">
            <a:lnSpc>
              <a:spcPct val="150000"/>
            </a:lnSpc>
            <a:spcAft>
              <a:spcPts val="0"/>
            </a:spcAft>
          </a:pPr>
          <a:r>
            <a:rPr lang="es-ES_tradnl" sz="1100" b="1">
              <a:effectLst/>
              <a:latin typeface="Arial"/>
              <a:ea typeface="Calibri"/>
              <a:cs typeface="Times New Roman"/>
            </a:rPr>
            <a:t>MEMORIA ESTADISTICA SERVICIO DE SALUD ACONCAGUA 2006-2015</a:t>
          </a:r>
        </a:p>
        <a:p>
          <a:pPr algn="ctr">
            <a:lnSpc>
              <a:spcPct val="150000"/>
            </a:lnSpc>
            <a:spcAft>
              <a:spcPts val="0"/>
            </a:spcAft>
          </a:pPr>
          <a:endParaRPr lang="es-CL" sz="1100">
            <a:effectLst/>
            <a:latin typeface="Verdana"/>
            <a:ea typeface="Times New Roman"/>
            <a:cs typeface="Times New Roman"/>
          </a:endParaRPr>
        </a:p>
        <a:p>
          <a:pPr algn="ctr">
            <a:lnSpc>
              <a:spcPct val="150000"/>
            </a:lnSpc>
            <a:spcAft>
              <a:spcPts val="1000"/>
            </a:spcAft>
          </a:pPr>
          <a:r>
            <a:rPr lang="es-ES_tradnl" sz="1100" b="1">
              <a:effectLst/>
              <a:latin typeface="Arial"/>
              <a:ea typeface="Calibri"/>
              <a:cs typeface="Times New Roman"/>
            </a:rPr>
            <a:t>CAPITULO  I     INFORMACION BASICA</a:t>
          </a:r>
        </a:p>
        <a:p>
          <a:pPr algn="ctr">
            <a:lnSpc>
              <a:spcPct val="150000"/>
            </a:lnSpc>
            <a:spcAft>
              <a:spcPts val="1000"/>
            </a:spcAft>
          </a:pP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El Servicio de Salud Aconcagua (SSA), se ubica en la Región de Valparaíso, a los pies de la cordillera de Los Andes a  80 kilómetros al noreste de Santiago y a 120 km al este de Valparaíso, en el hermoso  Valle del Aconcagua, tierra aún fértil  y generosa  a pesar de estos tiempos en que la naturaleza escatima el agua. Sus habitantes se dedican  a la fruticultura, la ganadería, la agroindustria, en especial a las faenas de packing de frutas de exportación (uvas, duraznos, ciruelas y  kiwis) y el secado de frutas. En menor escala,   a la elaboración industrial y artesanal de vinos y licores a través de plantas semi industriales y artesanales.</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Sigue siendo importante para este valle la actividad minera,  especialmente la extracción de cobre.   Por otro lado, ha tenido un  aumento de escuelas y universidades además de los comercios establecidos como bancos, supermercados y multitiendas.</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Con un clima de tipo mediterráneo, presenta dos  estaciones muy marcadas, un  frío invierno con temperaturas bajo 0° C, y un verano muy caluroso con máximas que alcanzan fácilmente los 32° C. </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Otro aspecto que caracteriza a esta tierra es haber acogido al ejercito libertador en la lucha por la independencia de Chile, testigo de ello  son los hoy declarados  monumentos nacionales como el árbol en donde Don José de San Martín amarró su caballo, hoy en día ubicado en plena plaza de armas de Putaendo, otros como el Salto del Soldado y el Combate de Guardia</a:t>
          </a:r>
          <a:r>
            <a:rPr lang="es-ES" sz="1000">
              <a:effectLst/>
              <a:latin typeface="Verdana"/>
              <a:ea typeface="Times New Roman"/>
              <a:cs typeface="Times New Roman"/>
            </a:rPr>
            <a:t> </a:t>
          </a:r>
          <a:r>
            <a:rPr lang="es-ES" sz="1100">
              <a:effectLst/>
              <a:latin typeface="Arial"/>
              <a:ea typeface="Calibri"/>
              <a:cs typeface="Times New Roman"/>
            </a:rPr>
            <a:t>Vieja,  ubicados camino a la cordillera de Los Andes y, en plena cumbre, el significativo Cristo Redentor, señala el límite fronterizo con Argentina.</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Posee una buena red de accesibilidad que  lo ubica en una situación privilegiada, desarrollando interrelaciones funcionales especialmente con Santiago y en un grado menor con Valparaíso y también posee una directa conexión con la república Argentina.</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Territorialmente, el SSA comprende las provincias de Los Andes y San Felipe, reuniendo en conjunto 10 comunas, cuatro pertenecientes a la Provincia de Los Andes: Calle Larga, Rinconada. San Esteban y Los Andes y seis comunas que conforman la Provincia de San Felipe: Catemu, Llay Llay, Panquehue, Putaendo, Santa María y San Felipe.</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0"/>
            </a:spcAft>
          </a:pPr>
          <a:r>
            <a:rPr lang="es-ES" sz="1100" b="1">
              <a:effectLst/>
              <a:latin typeface="Arial"/>
              <a:ea typeface="Calibri"/>
              <a:cs typeface="Times New Roman"/>
            </a:rPr>
            <a:t>AREA GEOGRAFICA Y DISTANCIAS</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Se extiende en   una superficie de 5.676,4  kilómetros cuadrados, correspondiendo a un 35% de la superficie total de la Región de Valparaíso. La provincia de Los Andes ocupa un área levemente mayor (3.077,6 km</a:t>
          </a:r>
          <a:r>
            <a:rPr lang="es-ES" sz="800">
              <a:effectLst/>
              <a:latin typeface="Arial"/>
              <a:ea typeface="Calibri"/>
              <a:cs typeface="Times New Roman"/>
            </a:rPr>
            <a:t>2</a:t>
          </a:r>
          <a:r>
            <a:rPr lang="es-ES" sz="1100">
              <a:effectLst/>
              <a:latin typeface="Arial"/>
              <a:ea typeface="Calibri"/>
              <a:cs typeface="Times New Roman"/>
            </a:rPr>
            <a:t>) que la de San Felipe (2.598,8 km</a:t>
          </a:r>
          <a:r>
            <a:rPr lang="es-ES" sz="800">
              <a:effectLst/>
              <a:latin typeface="Arial"/>
              <a:ea typeface="Calibri"/>
              <a:cs typeface="Times New Roman"/>
            </a:rPr>
            <a:t>2</a:t>
          </a: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En este territorio geográfico, la localidad más distante a un centro de salud corresponde a Rio Blanco en la provincia de Los Andes, la que se ubica a 30 kilómetros del CESFAM Centenario y a 31 del hospital San Juan de Dios de Los Andes. Le siguen en distancia, Quebrada Herrera a 27 km del hospital San Camilo de San Felipe y Cerrillos a 21 km del hospital  San francisco de Llay Llay. (pág. 5-6)Todas cuentan con redes viales apropiadas.</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0"/>
            </a:spcAft>
          </a:pPr>
          <a:r>
            <a:rPr lang="es-ES" sz="1100" b="1">
              <a:effectLst/>
              <a:latin typeface="Arial"/>
              <a:ea typeface="Calibri"/>
              <a:cs typeface="Times New Roman"/>
            </a:rPr>
            <a:t>CARACTERISTICAS DE LA POBLACION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Con 276.985 habitantes,  el SSA posee el 15% de la población de la Región de Valparaíso. Distribuidos por provincia: 117.496 en Los Andes y 159.489 en San Felipe.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Comprende un total de 10 comunas, siendo la más pequeña en cuanto a población, la comuna de Panquehue con 7.743 habitantes y la más grande, San Felipe con 81.500 habitantes.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El índice de ruralidad alcanza al 22,1% y la densidad a 48,8 (hab. / Km</a:t>
          </a:r>
          <a:r>
            <a:rPr lang="es-ES" sz="800">
              <a:effectLst/>
              <a:latin typeface="Arial"/>
              <a:ea typeface="Calibri"/>
              <a:cs typeface="Times New Roman"/>
            </a:rPr>
            <a:t>2</a:t>
          </a:r>
          <a:r>
            <a:rPr lang="es-ES" sz="1100">
              <a:effectLst/>
              <a:latin typeface="Arial"/>
              <a:ea typeface="Calibri"/>
              <a:cs typeface="Times New Roman"/>
            </a:rPr>
            <a:t>).</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La población por grupos de edad, se distribuye con un perfil similar a la población nacional,</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en 25 años, “de pirámide a jarrón”, en donde las mayores proporciones se ubican en los grupos de 20 a 44 años (36%), 45 a 64 años (24%) y 65 y más (11%).  El grupo menor a cinco años alcanza al 8,4%.</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El crecimiento vegetativo (diferencia entre la tasa de natalidad y de mortalidad) ha descendido de 0,88 a 0,74% en el período 2006-2015. Se observan diferencias importantes por comunas, es así como la comuna de Putaendo presenta los índices de  crecimiento más bajos, alcanzando el 2015 a un 0,42%. La comuna de Calle Larga  por su parte, ostenta los índices más alto (1,31% el 2015). (Pag.11).	</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El índice de vejez (población &gt;65 / población &lt;15) ha incrementado un 30% desde el 2009 al 2015, configurando este último año un 52.14%.(Pág. 12)</a:t>
          </a:r>
          <a:endParaRPr lang="es-CL" sz="1000">
            <a:effectLst/>
            <a:latin typeface="Verdana"/>
            <a:ea typeface="Times New Roman"/>
            <a:cs typeface="Times New Roman"/>
          </a:endParaRPr>
        </a:p>
        <a:p>
          <a:pPr algn="just">
            <a:lnSpc>
              <a:spcPct val="115000"/>
            </a:lnSpc>
            <a:spcBef>
              <a:spcPts val="1200"/>
            </a:spcBef>
            <a:spcAft>
              <a:spcPts val="1000"/>
            </a:spcAft>
          </a:pPr>
          <a:r>
            <a:rPr lang="es-ES" sz="1100">
              <a:effectLst/>
              <a:latin typeface="Arial"/>
              <a:ea typeface="Calibri"/>
              <a:cs typeface="Times New Roman"/>
            </a:rPr>
            <a:t>La fecundidad (partos/mujeres de 15 a 49 años) presenta una mediana del 52,6%</a:t>
          </a:r>
          <a:r>
            <a:rPr lang="es-ES" sz="800">
              <a:effectLst/>
              <a:latin typeface="Arial"/>
              <a:ea typeface="Calibri"/>
              <a:cs typeface="Times New Roman"/>
            </a:rPr>
            <a:t>o</a:t>
          </a:r>
          <a:r>
            <a:rPr lang="es-ES" sz="1100">
              <a:effectLst/>
              <a:latin typeface="Arial"/>
              <a:ea typeface="Calibri"/>
              <a:cs typeface="Times New Roman"/>
            </a:rPr>
            <a:t> en el período (Pág. 13). Para el 2015 la tasa más alta se registró en la comuna de Calle Larga: 72.4%</a:t>
          </a:r>
          <a:r>
            <a:rPr lang="es-ES" sz="800">
              <a:effectLst/>
              <a:latin typeface="Arial"/>
              <a:ea typeface="Calibri"/>
              <a:cs typeface="Times New Roman"/>
            </a:rPr>
            <a:t>o</a:t>
          </a:r>
          <a:r>
            <a:rPr lang="es-ES" sz="1100">
              <a:effectLst/>
              <a:latin typeface="Arial"/>
              <a:ea typeface="Calibri"/>
              <a:cs typeface="Times New Roman"/>
            </a:rPr>
            <a:t> y la más baja, en el comuna de San Esteban: 44,9%</a:t>
          </a:r>
          <a:r>
            <a:rPr lang="es-ES" sz="800">
              <a:effectLst/>
              <a:latin typeface="Arial"/>
              <a:ea typeface="Calibri"/>
              <a:cs typeface="Times New Roman"/>
            </a:rPr>
            <a:t>o</a:t>
          </a: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15000"/>
            </a:lnSpc>
            <a:spcBef>
              <a:spcPts val="1200"/>
            </a:spcBef>
            <a:spcAft>
              <a:spcPts val="1000"/>
            </a:spcAft>
          </a:pPr>
          <a:r>
            <a:rPr lang="es-ES" sz="1100">
              <a:effectLst/>
              <a:latin typeface="Arial"/>
              <a:ea typeface="Calibri"/>
              <a:cs typeface="Times New Roman"/>
            </a:rPr>
            <a:t> </a:t>
          </a:r>
          <a:r>
            <a:rPr lang="es-ES" sz="1100" b="1">
              <a:effectLst/>
              <a:latin typeface="Arial"/>
              <a:ea typeface="Calibri"/>
              <a:cs typeface="Times New Roman"/>
            </a:rPr>
            <a:t>RECURSOS DE LA RED ACONCAGUA</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INFRAESTRUCTURA:</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Conformada por 33 entidades   distribuidas en las siguientes categorías, de menor a mayor complejidad: 10 Postas de Salud Rural, 5 CECOF, 8 CESFAM Rural, 5 CESFAM Urbano, 2 Hospitales tipo 4, 1 Hospital tipo 3 y 2 Hospitales tipo 2.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Los hospitales tipo 2: San Camilo de San Felipe (HSC)  y San Juan de Dios de Los Andes (HLA) cuentan con las especialidades básicas (Medicina, Pediatría, Cirugía y Ginecobstetricia) además con</a:t>
          </a:r>
          <a:r>
            <a:rPr lang="es-ES" sz="1000">
              <a:effectLst/>
              <a:latin typeface="Verdana"/>
              <a:ea typeface="Times New Roman"/>
              <a:cs typeface="Times New Roman"/>
            </a:rPr>
            <a:t> </a:t>
          </a:r>
          <a:r>
            <a:rPr lang="es-ES" sz="1100">
              <a:effectLst/>
              <a:latin typeface="Arial"/>
              <a:ea typeface="Calibri"/>
              <a:cs typeface="Times New Roman"/>
            </a:rPr>
            <a:t>Cardiología, Otorrinolaringología, Gastroenterología, Odontología  y  diferentes especialidades distribuidas como polos de desarrollo: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En HSC: Neurología, Neurocirugía, Neonatología y Oftalmología. Además, cuenta con Unidades de Cuidados Intensivos Adultos, Pediátrica y de Neonatología y Unidad de Anatomía Patológica.</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En HLA: Dermatología, Urología, Traumatología y Cirugía Maxilofacial. Además con una Unidad de Intermedios Adultos.</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Complementa esta estructura, el Servicio de atención pre hospitalaria de urgencia SAMU, en Red para toda la jurisdicción del SSA.</a:t>
          </a:r>
          <a:endParaRPr lang="es-CL" sz="1000">
            <a:effectLst/>
            <a:latin typeface="Verdana"/>
            <a:ea typeface="Times New Roman"/>
            <a:cs typeface="Times New Roman"/>
          </a:endParaRPr>
        </a:p>
        <a:p>
          <a:pPr algn="just">
            <a:lnSpc>
              <a:spcPct val="150000"/>
            </a:lnSpc>
            <a:spcAft>
              <a:spcPts val="0"/>
            </a:spcAft>
          </a:pPr>
          <a:r>
            <a:rPr lang="es-ES" sz="1100">
              <a:solidFill>
                <a:sysClr val="windowText" lastClr="000000"/>
              </a:solidFill>
              <a:effectLst/>
              <a:latin typeface="Arial"/>
              <a:ea typeface="Calibri"/>
              <a:cs typeface="Times New Roman"/>
            </a:rPr>
            <a:t>La dotación de camas alcanza a 829 distribuidas eLa dotación de camas alcanza a 829, de las cuales 231 corresponden a Medico Quirúrgicas Básicas, 62 a Maternidad, 24 a Pediatría Básica Y 18 a Recién Nacido Cuna. </a:t>
          </a:r>
        </a:p>
        <a:p>
          <a:pPr algn="just">
            <a:lnSpc>
              <a:spcPct val="150000"/>
            </a:lnSpc>
            <a:spcAft>
              <a:spcPts val="0"/>
            </a:spcAft>
          </a:pPr>
          <a:r>
            <a:rPr lang="es-ES" sz="1100">
              <a:solidFill>
                <a:sysClr val="windowText" lastClr="000000"/>
              </a:solidFill>
              <a:effectLst/>
              <a:latin typeface="Arial"/>
              <a:ea typeface="Calibri"/>
              <a:cs typeface="Times New Roman"/>
            </a:rPr>
            <a:t>En relación a camas críticas: </a:t>
          </a:r>
        </a:p>
        <a:p>
          <a:pPr algn="just">
            <a:lnSpc>
              <a:spcPct val="150000"/>
            </a:lnSpc>
            <a:spcAft>
              <a:spcPts val="0"/>
            </a:spcAft>
          </a:pPr>
          <a:r>
            <a:rPr lang="es-ES" sz="1100">
              <a:solidFill>
                <a:sysClr val="windowText" lastClr="000000"/>
              </a:solidFill>
              <a:effectLst/>
              <a:latin typeface="Arial"/>
              <a:ea typeface="Calibri"/>
              <a:cs typeface="Times New Roman"/>
            </a:rPr>
            <a:t>18 a Unidad de Paciente Critico (UPC)  Adulto, de las cuales 6 son de UCI.</a:t>
          </a:r>
        </a:p>
        <a:p>
          <a:pPr algn="just">
            <a:lnSpc>
              <a:spcPct val="150000"/>
            </a:lnSpc>
            <a:spcAft>
              <a:spcPts val="0"/>
            </a:spcAft>
          </a:pPr>
          <a:r>
            <a:rPr lang="es-ES" sz="1100">
              <a:solidFill>
                <a:sysClr val="windowText" lastClr="000000"/>
              </a:solidFill>
              <a:effectLst/>
              <a:latin typeface="Arial"/>
              <a:ea typeface="Calibri"/>
              <a:cs typeface="Times New Roman"/>
            </a:rPr>
            <a:t>11 a UPC de Neonatología, de ellas 5 son de UCI.</a:t>
          </a:r>
        </a:p>
        <a:p>
          <a:pPr algn="just">
            <a:lnSpc>
              <a:spcPct val="150000"/>
            </a:lnSpc>
            <a:spcAft>
              <a:spcPts val="0"/>
            </a:spcAft>
          </a:pP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RECURSOS HUMANOS:</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La dotación de funcionarios del Servicio de Salud Aconcagua, comprende al 2015  un total de 2.404 funcionarios. De ellos, 2.030 corresponden a la Ley 18.834, 286 a la Ley 19.664 y 88 a la Ley 15.076. </a:t>
          </a:r>
        </a:p>
        <a:p>
          <a:pPr algn="just">
            <a:lnSpc>
              <a:spcPct val="150000"/>
            </a:lnSpc>
            <a:spcAft>
              <a:spcPts val="0"/>
            </a:spcAft>
          </a:pPr>
          <a:r>
            <a:rPr lang="es-ES" sz="1100">
              <a:effectLst/>
              <a:latin typeface="Arial"/>
              <a:ea typeface="Calibri"/>
              <a:cs typeface="Times New Roman"/>
            </a:rPr>
            <a:t>El mayor número de funcionarios corresponde a Técnicos: 825 (34%)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La dotación de funcionarios de la Red Municipal  alcanza el 2015  a 816 personas de los diferentes estamentos.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El número total de médicos, considerando la dotación del SSA y la Red Municipal, alcanza el 2015 a  369 profesionales.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 </a:t>
          </a:r>
          <a:endParaRPr lang="es-CL" sz="1000">
            <a:effectLst/>
            <a:latin typeface="Verdana"/>
            <a:ea typeface="Times New Roman"/>
            <a:cs typeface="Times New Roman"/>
          </a:endParaRPr>
        </a:p>
      </xdr:txBody>
    </xdr:sp>
    <xdr:clientData/>
  </xdr:twoCellAnchor>
  <xdr:twoCellAnchor editAs="oneCell">
    <xdr:from>
      <xdr:col>0</xdr:col>
      <xdr:colOff>579120</xdr:colOff>
      <xdr:row>3</xdr:row>
      <xdr:rowOff>121920</xdr:rowOff>
    </xdr:from>
    <xdr:to>
      <xdr:col>1</xdr:col>
      <xdr:colOff>701040</xdr:colOff>
      <xdr:row>7</xdr:row>
      <xdr:rowOff>106680</xdr:rowOff>
    </xdr:to>
    <xdr:pic>
      <xdr:nvPicPr>
        <xdr:cNvPr id="3" name="2 Imagen" descr="logo gobierno"/>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9120" y="624840"/>
          <a:ext cx="914400" cy="65532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3</xdr:col>
      <xdr:colOff>28575</xdr:colOff>
      <xdr:row>29</xdr:row>
      <xdr:rowOff>133350</xdr:rowOff>
    </xdr:from>
    <xdr:to>
      <xdr:col>19</xdr:col>
      <xdr:colOff>47625</xdr:colOff>
      <xdr:row>55</xdr:row>
      <xdr:rowOff>19050</xdr:rowOff>
    </xdr:to>
    <xdr:graphicFrame macro="">
      <xdr:nvGraphicFramePr>
        <xdr:cNvPr id="6550837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0.1149</cdr:x>
      <cdr:y>0.01171</cdr:y>
    </cdr:from>
    <cdr:to>
      <cdr:x>0.97127</cdr:x>
      <cdr:y>0.2093</cdr:y>
    </cdr:to>
    <cdr:sp macro="" textlink="">
      <cdr:nvSpPr>
        <cdr:cNvPr id="23553" name="Text Box 1"/>
        <cdr:cNvSpPr txBox="1">
          <a:spLocks xmlns:a="http://schemas.openxmlformats.org/drawingml/2006/main" noChangeArrowheads="1"/>
        </cdr:cNvSpPr>
      </cdr:nvSpPr>
      <cdr:spPr bwMode="auto">
        <a:xfrm xmlns:a="http://schemas.openxmlformats.org/drawingml/2006/main">
          <a:off x="609600" y="47960"/>
          <a:ext cx="4543425" cy="80928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1">
            <a:defRPr sz="1000"/>
          </a:pPr>
          <a:r>
            <a:rPr lang="es-ES" sz="1600" b="1" i="0" strike="noStrike">
              <a:solidFill>
                <a:srgbClr val="000000"/>
              </a:solidFill>
              <a:latin typeface="Arial"/>
              <a:cs typeface="Arial"/>
            </a:rPr>
            <a:t>TASA </a:t>
          </a:r>
          <a:r>
            <a:rPr lang="es-ES" sz="1400" b="1" i="0" strike="noStrike">
              <a:solidFill>
                <a:srgbClr val="000000"/>
              </a:solidFill>
              <a:latin typeface="Arial"/>
              <a:cs typeface="Arial"/>
            </a:rPr>
            <a:t>NATALIDAD</a:t>
          </a:r>
          <a:r>
            <a:rPr lang="es-ES" sz="1600" b="1" i="0" strike="noStrike">
              <a:solidFill>
                <a:srgbClr val="000000"/>
              </a:solidFill>
              <a:latin typeface="Arial"/>
              <a:cs typeface="Arial"/>
            </a:rPr>
            <a:t> PAIS </a:t>
          </a:r>
          <a:r>
            <a:rPr lang="es-ES" sz="1400" b="1" i="0" strike="noStrike">
              <a:solidFill>
                <a:srgbClr val="000000"/>
              </a:solidFill>
              <a:latin typeface="Arial"/>
              <a:cs typeface="Arial"/>
            </a:rPr>
            <a:t>REGION</a:t>
          </a:r>
          <a:r>
            <a:rPr lang="es-ES" sz="1600" b="1" i="0" strike="noStrike">
              <a:solidFill>
                <a:srgbClr val="000000"/>
              </a:solidFill>
              <a:latin typeface="Arial"/>
              <a:cs typeface="Arial"/>
            </a:rPr>
            <a:t> SERV. SALUD</a:t>
          </a:r>
        </a:p>
        <a:p xmlns:a="http://schemas.openxmlformats.org/drawingml/2006/main">
          <a:pPr algn="ctr" rtl="1">
            <a:defRPr sz="1000"/>
          </a:pPr>
          <a:r>
            <a:rPr lang="es-ES" sz="1600" b="1" i="0" strike="noStrike">
              <a:solidFill>
                <a:srgbClr val="000000"/>
              </a:solidFill>
              <a:latin typeface="Arial"/>
              <a:cs typeface="Arial"/>
            </a:rPr>
            <a:t>AÑOS  2006 - 2015 (tasas  x 1000 hb.)</a:t>
          </a:r>
        </a:p>
      </cdr:txBody>
    </cdr:sp>
  </cdr:relSizeAnchor>
</c:userShapes>
</file>

<file path=xl/drawings/drawing22.xml><?xml version="1.0" encoding="utf-8"?>
<xdr:wsDr xmlns:xdr="http://schemas.openxmlformats.org/drawingml/2006/spreadsheetDrawing" xmlns:a="http://schemas.openxmlformats.org/drawingml/2006/main">
  <xdr:twoCellAnchor>
    <xdr:from>
      <xdr:col>2</xdr:col>
      <xdr:colOff>371475</xdr:colOff>
      <xdr:row>32</xdr:row>
      <xdr:rowOff>142875</xdr:rowOff>
    </xdr:from>
    <xdr:to>
      <xdr:col>20</xdr:col>
      <xdr:colOff>9525</xdr:colOff>
      <xdr:row>58</xdr:row>
      <xdr:rowOff>0</xdr:rowOff>
    </xdr:to>
    <xdr:graphicFrame macro="">
      <xdr:nvGraphicFramePr>
        <xdr:cNvPr id="6551145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390525</xdr:colOff>
      <xdr:row>30</xdr:row>
      <xdr:rowOff>38100</xdr:rowOff>
    </xdr:from>
    <xdr:to>
      <xdr:col>18</xdr:col>
      <xdr:colOff>333375</xdr:colOff>
      <xdr:row>56</xdr:row>
      <xdr:rowOff>66675</xdr:rowOff>
    </xdr:to>
    <xdr:graphicFrame macro="">
      <xdr:nvGraphicFramePr>
        <xdr:cNvPr id="655145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9525</xdr:colOff>
      <xdr:row>31</xdr:row>
      <xdr:rowOff>152400</xdr:rowOff>
    </xdr:from>
    <xdr:to>
      <xdr:col>18</xdr:col>
      <xdr:colOff>209550</xdr:colOff>
      <xdr:row>55</xdr:row>
      <xdr:rowOff>0</xdr:rowOff>
    </xdr:to>
    <xdr:graphicFrame macro="">
      <xdr:nvGraphicFramePr>
        <xdr:cNvPr id="6551759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3</xdr:col>
      <xdr:colOff>0</xdr:colOff>
      <xdr:row>31</xdr:row>
      <xdr:rowOff>142875</xdr:rowOff>
    </xdr:from>
    <xdr:to>
      <xdr:col>21</xdr:col>
      <xdr:colOff>152400</xdr:colOff>
      <xdr:row>55</xdr:row>
      <xdr:rowOff>19050</xdr:rowOff>
    </xdr:to>
    <xdr:graphicFrame macro="">
      <xdr:nvGraphicFramePr>
        <xdr:cNvPr id="655206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2</xdr:col>
      <xdr:colOff>333374</xdr:colOff>
      <xdr:row>31</xdr:row>
      <xdr:rowOff>114300</xdr:rowOff>
    </xdr:from>
    <xdr:to>
      <xdr:col>21</xdr:col>
      <xdr:colOff>19049</xdr:colOff>
      <xdr:row>55</xdr:row>
      <xdr:rowOff>0</xdr:rowOff>
    </xdr:to>
    <xdr:graphicFrame macro="">
      <xdr:nvGraphicFramePr>
        <xdr:cNvPr id="6552373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3</xdr:col>
      <xdr:colOff>0</xdr:colOff>
      <xdr:row>29</xdr:row>
      <xdr:rowOff>142875</xdr:rowOff>
    </xdr:from>
    <xdr:to>
      <xdr:col>20</xdr:col>
      <xdr:colOff>361950</xdr:colOff>
      <xdr:row>53</xdr:row>
      <xdr:rowOff>38100</xdr:rowOff>
    </xdr:to>
    <xdr:graphicFrame macro="">
      <xdr:nvGraphicFramePr>
        <xdr:cNvPr id="655268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3</xdr:col>
      <xdr:colOff>19051</xdr:colOff>
      <xdr:row>31</xdr:row>
      <xdr:rowOff>9525</xdr:rowOff>
    </xdr:from>
    <xdr:to>
      <xdr:col>18</xdr:col>
      <xdr:colOff>171451</xdr:colOff>
      <xdr:row>54</xdr:row>
      <xdr:rowOff>28575</xdr:rowOff>
    </xdr:to>
    <xdr:graphicFrame macro="">
      <xdr:nvGraphicFramePr>
        <xdr:cNvPr id="6552988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3</xdr:col>
      <xdr:colOff>0</xdr:colOff>
      <xdr:row>32</xdr:row>
      <xdr:rowOff>152400</xdr:rowOff>
    </xdr:from>
    <xdr:to>
      <xdr:col>19</xdr:col>
      <xdr:colOff>238125</xdr:colOff>
      <xdr:row>55</xdr:row>
      <xdr:rowOff>152400</xdr:rowOff>
    </xdr:to>
    <xdr:graphicFrame macro="">
      <xdr:nvGraphicFramePr>
        <xdr:cNvPr id="655329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761999</xdr:colOff>
      <xdr:row>1</xdr:row>
      <xdr:rowOff>0</xdr:rowOff>
    </xdr:from>
    <xdr:to>
      <xdr:col>10</xdr:col>
      <xdr:colOff>393698</xdr:colOff>
      <xdr:row>27</xdr:row>
      <xdr:rowOff>28575</xdr:rowOff>
    </xdr:to>
    <xdr:pic>
      <xdr:nvPicPr>
        <xdr:cNvPr id="2" name="Imagen 1"/>
        <xdr:cNvPicPr>
          <a:picLocks noChangeAspect="1"/>
        </xdr:cNvPicPr>
      </xdr:nvPicPr>
      <xdr:blipFill>
        <a:blip xmlns:r="http://schemas.openxmlformats.org/officeDocument/2006/relationships" r:embed="rId1"/>
        <a:stretch>
          <a:fillRect/>
        </a:stretch>
      </xdr:blipFill>
      <xdr:spPr>
        <a:xfrm>
          <a:off x="761999" y="161925"/>
          <a:ext cx="7251699" cy="5438775"/>
        </a:xfrm>
        <a:prstGeom prst="rect">
          <a:avLst/>
        </a:prstGeom>
      </xdr:spPr>
    </xdr:pic>
    <xdr:clientData/>
  </xdr:twoCellAnchor>
</xdr:wsDr>
</file>

<file path=xl/drawings/drawing30.xml><?xml version="1.0" encoding="utf-8"?>
<c:userShapes xmlns:c="http://schemas.openxmlformats.org/drawingml/2006/chart">
  <cdr:relSizeAnchor xmlns:cdr="http://schemas.openxmlformats.org/drawingml/2006/chartDrawing">
    <cdr:from>
      <cdr:x>0.11399</cdr:x>
      <cdr:y>0.01279</cdr:y>
    </cdr:from>
    <cdr:to>
      <cdr:x>0.95509</cdr:x>
      <cdr:y>0.17647</cdr:y>
    </cdr:to>
    <cdr:sp macro="" textlink="">
      <cdr:nvSpPr>
        <cdr:cNvPr id="39937" name="Text Box 1"/>
        <cdr:cNvSpPr txBox="1">
          <a:spLocks xmlns:a="http://schemas.openxmlformats.org/drawingml/2006/main" noChangeArrowheads="1"/>
        </cdr:cNvSpPr>
      </cdr:nvSpPr>
      <cdr:spPr bwMode="auto">
        <a:xfrm xmlns:a="http://schemas.openxmlformats.org/drawingml/2006/main">
          <a:off x="628652" y="47633"/>
          <a:ext cx="4638645" cy="60959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1">
            <a:defRPr sz="1000"/>
          </a:pPr>
          <a:r>
            <a:rPr lang="es-ES" sz="1200" b="1" i="0" strike="noStrike">
              <a:solidFill>
                <a:srgbClr val="000000"/>
              </a:solidFill>
              <a:latin typeface="Arial"/>
              <a:cs typeface="Arial"/>
            </a:rPr>
            <a:t>TASA MORT. GENERAL  PAIS REGION SERV. SALUD</a:t>
          </a:r>
        </a:p>
        <a:p xmlns:a="http://schemas.openxmlformats.org/drawingml/2006/main">
          <a:pPr algn="ctr" rtl="1">
            <a:defRPr sz="1000"/>
          </a:pPr>
          <a:r>
            <a:rPr lang="es-ES" sz="1200" b="1" i="0" strike="noStrike">
              <a:solidFill>
                <a:srgbClr val="000000"/>
              </a:solidFill>
              <a:latin typeface="Arial"/>
              <a:cs typeface="Arial"/>
            </a:rPr>
            <a:t>AÑOS  2006 - 2015 (tasa x mil hb.)</a:t>
          </a:r>
        </a:p>
      </cdr:txBody>
    </cdr:sp>
  </cdr:relSizeAnchor>
</c:userShapes>
</file>

<file path=xl/drawings/drawing31.xml><?xml version="1.0" encoding="utf-8"?>
<xdr:wsDr xmlns:xdr="http://schemas.openxmlformats.org/drawingml/2006/spreadsheetDrawing" xmlns:a="http://schemas.openxmlformats.org/drawingml/2006/main">
  <xdr:twoCellAnchor>
    <xdr:from>
      <xdr:col>2</xdr:col>
      <xdr:colOff>400050</xdr:colOff>
      <xdr:row>62</xdr:row>
      <xdr:rowOff>0</xdr:rowOff>
    </xdr:from>
    <xdr:to>
      <xdr:col>16</xdr:col>
      <xdr:colOff>165100</xdr:colOff>
      <xdr:row>91</xdr:row>
      <xdr:rowOff>88900</xdr:rowOff>
    </xdr:to>
    <xdr:graphicFrame macro="">
      <xdr:nvGraphicFramePr>
        <xdr:cNvPr id="6553707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1806575</xdr:colOff>
      <xdr:row>120</xdr:row>
      <xdr:rowOff>92075</xdr:rowOff>
    </xdr:from>
    <xdr:to>
      <xdr:col>15</xdr:col>
      <xdr:colOff>276225</xdr:colOff>
      <xdr:row>150</xdr:row>
      <xdr:rowOff>12700</xdr:rowOff>
    </xdr:to>
    <xdr:graphicFrame macro="">
      <xdr:nvGraphicFramePr>
        <xdr:cNvPr id="6553707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0.01849</cdr:x>
      <cdr:y>0.83816</cdr:y>
    </cdr:from>
    <cdr:to>
      <cdr:x>0.14434</cdr:x>
      <cdr:y>0.87589</cdr:y>
    </cdr:to>
    <cdr:sp macro="" textlink="">
      <cdr:nvSpPr>
        <cdr:cNvPr id="41985" name="Text Box 1"/>
        <cdr:cNvSpPr txBox="1">
          <a:spLocks xmlns:a="http://schemas.openxmlformats.org/drawingml/2006/main" noChangeArrowheads="1"/>
        </cdr:cNvSpPr>
      </cdr:nvSpPr>
      <cdr:spPr bwMode="auto">
        <a:xfrm xmlns:a="http://schemas.openxmlformats.org/drawingml/2006/main">
          <a:off x="160929" y="4087522"/>
          <a:ext cx="1095631" cy="18400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TUMORES</a:t>
          </a:r>
        </a:p>
      </cdr:txBody>
    </cdr:sp>
  </cdr:relSizeAnchor>
  <cdr:relSizeAnchor xmlns:cdr="http://schemas.openxmlformats.org/drawingml/2006/chartDrawing">
    <cdr:from>
      <cdr:x>0.01849</cdr:x>
      <cdr:y>0.76587</cdr:y>
    </cdr:from>
    <cdr:to>
      <cdr:x>0.19478</cdr:x>
      <cdr:y>0.82149</cdr:y>
    </cdr:to>
    <cdr:sp macro="" textlink="">
      <cdr:nvSpPr>
        <cdr:cNvPr id="41986" name="Text Box 2"/>
        <cdr:cNvSpPr txBox="1">
          <a:spLocks xmlns:a="http://schemas.openxmlformats.org/drawingml/2006/main" noChangeArrowheads="1"/>
        </cdr:cNvSpPr>
      </cdr:nvSpPr>
      <cdr:spPr bwMode="auto">
        <a:xfrm xmlns:a="http://schemas.openxmlformats.org/drawingml/2006/main">
          <a:off x="160929" y="3734979"/>
          <a:ext cx="1534754" cy="2712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AP. RESPIRATORIO</a:t>
          </a:r>
        </a:p>
      </cdr:txBody>
    </cdr:sp>
  </cdr:relSizeAnchor>
  <cdr:relSizeAnchor xmlns:cdr="http://schemas.openxmlformats.org/drawingml/2006/chartDrawing">
    <cdr:from>
      <cdr:x>0.01703</cdr:x>
      <cdr:y>0.69383</cdr:y>
    </cdr:from>
    <cdr:to>
      <cdr:x>0.18245</cdr:x>
      <cdr:y>0.73438</cdr:y>
    </cdr:to>
    <cdr:sp macro="" textlink="">
      <cdr:nvSpPr>
        <cdr:cNvPr id="41987" name="Text Box 3"/>
        <cdr:cNvSpPr txBox="1">
          <a:spLocks xmlns:a="http://schemas.openxmlformats.org/drawingml/2006/main" noChangeArrowheads="1"/>
        </cdr:cNvSpPr>
      </cdr:nvSpPr>
      <cdr:spPr bwMode="auto">
        <a:xfrm xmlns:a="http://schemas.openxmlformats.org/drawingml/2006/main">
          <a:off x="148229" y="3383654"/>
          <a:ext cx="1440122" cy="19774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TRAUMA Y ENVEN.</a:t>
          </a:r>
        </a:p>
      </cdr:txBody>
    </cdr:sp>
  </cdr:relSizeAnchor>
  <cdr:relSizeAnchor xmlns:cdr="http://schemas.openxmlformats.org/drawingml/2006/chartDrawing">
    <cdr:from>
      <cdr:x>0.01994</cdr:x>
      <cdr:y>0.63944</cdr:y>
    </cdr:from>
    <cdr:to>
      <cdr:x>0.15692</cdr:x>
      <cdr:y>0.67717</cdr:y>
    </cdr:to>
    <cdr:sp macro="" textlink="">
      <cdr:nvSpPr>
        <cdr:cNvPr id="41988" name="Text Box 4"/>
        <cdr:cNvSpPr txBox="1">
          <a:spLocks xmlns:a="http://schemas.openxmlformats.org/drawingml/2006/main" noChangeArrowheads="1"/>
        </cdr:cNvSpPr>
      </cdr:nvSpPr>
      <cdr:spPr bwMode="auto">
        <a:xfrm xmlns:a="http://schemas.openxmlformats.org/drawingml/2006/main">
          <a:off x="173629" y="3118405"/>
          <a:ext cx="1192527" cy="18400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AP. DIGESTIVO</a:t>
          </a:r>
        </a:p>
      </cdr:txBody>
    </cdr:sp>
  </cdr:relSizeAnchor>
  <cdr:relSizeAnchor xmlns:cdr="http://schemas.openxmlformats.org/drawingml/2006/chartDrawing">
    <cdr:from>
      <cdr:x>0.01557</cdr:x>
      <cdr:y>0.57524</cdr:y>
    </cdr:from>
    <cdr:to>
      <cdr:x>0.18197</cdr:x>
      <cdr:y>0.62302</cdr:y>
    </cdr:to>
    <cdr:sp macro="" textlink="">
      <cdr:nvSpPr>
        <cdr:cNvPr id="41989" name="Text Box 5"/>
        <cdr:cNvSpPr txBox="1">
          <a:spLocks xmlns:a="http://schemas.openxmlformats.org/drawingml/2006/main" noChangeArrowheads="1"/>
        </cdr:cNvSpPr>
      </cdr:nvSpPr>
      <cdr:spPr bwMode="auto">
        <a:xfrm xmlns:a="http://schemas.openxmlformats.org/drawingml/2006/main">
          <a:off x="135529" y="2805314"/>
          <a:ext cx="1448653" cy="23301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INFECC. Y PARASIT</a:t>
          </a:r>
        </a:p>
      </cdr:txBody>
    </cdr:sp>
  </cdr:relSizeAnchor>
  <cdr:relSizeAnchor xmlns:cdr="http://schemas.openxmlformats.org/drawingml/2006/chartDrawing">
    <cdr:from>
      <cdr:x>0.01265</cdr:x>
      <cdr:y>0.38133</cdr:y>
    </cdr:from>
    <cdr:to>
      <cdr:x>0.18796</cdr:x>
      <cdr:y>0.42298</cdr:y>
    </cdr:to>
    <cdr:sp macro="" textlink="">
      <cdr:nvSpPr>
        <cdr:cNvPr id="41990" name="Text Box 6"/>
        <cdr:cNvSpPr txBox="1">
          <a:spLocks xmlns:a="http://schemas.openxmlformats.org/drawingml/2006/main" noChangeArrowheads="1"/>
        </cdr:cNvSpPr>
      </cdr:nvSpPr>
      <cdr:spPr bwMode="auto">
        <a:xfrm xmlns:a="http://schemas.openxmlformats.org/drawingml/2006/main">
          <a:off x="110129" y="1859674"/>
          <a:ext cx="1526223" cy="20311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GLANDULAS ENDOCR</a:t>
          </a:r>
        </a:p>
      </cdr:txBody>
    </cdr:sp>
  </cdr:relSizeAnchor>
  <cdr:relSizeAnchor xmlns:cdr="http://schemas.openxmlformats.org/drawingml/2006/chartDrawing">
    <cdr:from>
      <cdr:x>0.00548</cdr:x>
      <cdr:y>0.20278</cdr:y>
    </cdr:from>
    <cdr:to>
      <cdr:x>0.08534</cdr:x>
      <cdr:y>0.21871</cdr:y>
    </cdr:to>
    <cdr:sp macro="" textlink="">
      <cdr:nvSpPr>
        <cdr:cNvPr id="41991" name="Text Box 7"/>
        <cdr:cNvSpPr txBox="1">
          <a:spLocks xmlns:a="http://schemas.openxmlformats.org/drawingml/2006/main" noChangeArrowheads="1"/>
        </cdr:cNvSpPr>
      </cdr:nvSpPr>
      <cdr:spPr bwMode="auto">
        <a:xfrm xmlns:a="http://schemas.openxmlformats.org/drawingml/2006/main">
          <a:off x="50800" y="974704"/>
          <a:ext cx="694537" cy="76307"/>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0.01703</cdr:x>
      <cdr:y>0.50556</cdr:y>
    </cdr:from>
    <cdr:to>
      <cdr:x>0.18343</cdr:x>
      <cdr:y>0.55922</cdr:y>
    </cdr:to>
    <cdr:sp macro="" textlink="">
      <cdr:nvSpPr>
        <cdr:cNvPr id="41992" name="Text Box 8"/>
        <cdr:cNvSpPr txBox="1">
          <a:spLocks xmlns:a="http://schemas.openxmlformats.org/drawingml/2006/main" noChangeArrowheads="1"/>
        </cdr:cNvSpPr>
      </cdr:nvSpPr>
      <cdr:spPr bwMode="auto">
        <a:xfrm xmlns:a="http://schemas.openxmlformats.org/drawingml/2006/main">
          <a:off x="148229" y="2465519"/>
          <a:ext cx="1448653" cy="26168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MAL DEFINIDAS</a:t>
          </a:r>
        </a:p>
      </cdr:txBody>
    </cdr:sp>
  </cdr:relSizeAnchor>
  <cdr:relSizeAnchor xmlns:cdr="http://schemas.openxmlformats.org/drawingml/2006/chartDrawing">
    <cdr:from>
      <cdr:x>0.01411</cdr:x>
      <cdr:y>0.44837</cdr:y>
    </cdr:from>
    <cdr:to>
      <cdr:x>0.20128</cdr:x>
      <cdr:y>0.49616</cdr:y>
    </cdr:to>
    <cdr:sp macro="" textlink="">
      <cdr:nvSpPr>
        <cdr:cNvPr id="41993" name="Text Box 9"/>
        <cdr:cNvSpPr txBox="1">
          <a:spLocks xmlns:a="http://schemas.openxmlformats.org/drawingml/2006/main" noChangeArrowheads="1"/>
        </cdr:cNvSpPr>
      </cdr:nvSpPr>
      <cdr:spPr bwMode="auto">
        <a:xfrm xmlns:a="http://schemas.openxmlformats.org/drawingml/2006/main">
          <a:off x="122829" y="2186635"/>
          <a:ext cx="1629474" cy="23301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AP. GENITOURINARIO</a:t>
          </a:r>
        </a:p>
      </cdr:txBody>
    </cdr:sp>
  </cdr:relSizeAnchor>
  <cdr:relSizeAnchor xmlns:cdr="http://schemas.openxmlformats.org/drawingml/2006/chartDrawing">
    <cdr:from>
      <cdr:x>0.01703</cdr:x>
      <cdr:y>0.3167</cdr:y>
    </cdr:from>
    <cdr:to>
      <cdr:x>0.2042</cdr:x>
      <cdr:y>0.36448</cdr:y>
    </cdr:to>
    <cdr:sp macro="" textlink="">
      <cdr:nvSpPr>
        <cdr:cNvPr id="41994" name="Text Box 10"/>
        <cdr:cNvSpPr txBox="1">
          <a:spLocks xmlns:a="http://schemas.openxmlformats.org/drawingml/2006/main" noChangeArrowheads="1"/>
        </cdr:cNvSpPr>
      </cdr:nvSpPr>
      <cdr:spPr bwMode="auto">
        <a:xfrm xmlns:a="http://schemas.openxmlformats.org/drawingml/2006/main">
          <a:off x="148229" y="1544478"/>
          <a:ext cx="1629474" cy="23301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AFEC. PERIODO PER</a:t>
          </a:r>
        </a:p>
      </cdr:txBody>
    </cdr:sp>
  </cdr:relSizeAnchor>
  <cdr:relSizeAnchor xmlns:cdr="http://schemas.openxmlformats.org/drawingml/2006/chartDrawing">
    <cdr:from>
      <cdr:x>0.01703</cdr:x>
      <cdr:y>0.24377</cdr:y>
    </cdr:from>
    <cdr:to>
      <cdr:x>0.2272</cdr:x>
      <cdr:y>0.28959</cdr:y>
    </cdr:to>
    <cdr:sp macro="" textlink="">
      <cdr:nvSpPr>
        <cdr:cNvPr id="41995" name="Text Box 11"/>
        <cdr:cNvSpPr txBox="1">
          <a:spLocks xmlns:a="http://schemas.openxmlformats.org/drawingml/2006/main" noChangeArrowheads="1"/>
        </cdr:cNvSpPr>
      </cdr:nvSpPr>
      <cdr:spPr bwMode="auto">
        <a:xfrm xmlns:a="http://schemas.openxmlformats.org/drawingml/2006/main">
          <a:off x="148229" y="1188826"/>
          <a:ext cx="1829708" cy="2234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ANOMALIAS  CONG.</a:t>
          </a:r>
        </a:p>
        <a:p xmlns:a="http://schemas.openxmlformats.org/drawingml/2006/main">
          <a:pPr algn="l" rtl="0">
            <a:defRPr sz="1000"/>
          </a:pPr>
          <a:endParaRPr lang="es-ES" sz="800" b="1" i="0" strike="noStrike">
            <a:solidFill>
              <a:srgbClr val="000000"/>
            </a:solidFill>
            <a:latin typeface="Arial"/>
            <a:cs typeface="Arial"/>
          </a:endParaRPr>
        </a:p>
      </cdr:txBody>
    </cdr:sp>
  </cdr:relSizeAnchor>
  <cdr:relSizeAnchor xmlns:cdr="http://schemas.openxmlformats.org/drawingml/2006/chartDrawing">
    <cdr:from>
      <cdr:x>0.01559</cdr:x>
      <cdr:y>0.17973</cdr:y>
    </cdr:from>
    <cdr:to>
      <cdr:x>0.12513</cdr:x>
      <cdr:y>0.21942</cdr:y>
    </cdr:to>
    <cdr:sp macro="" textlink="">
      <cdr:nvSpPr>
        <cdr:cNvPr id="41996" name="Text Box 12"/>
        <cdr:cNvSpPr txBox="1">
          <a:spLocks xmlns:a="http://schemas.openxmlformats.org/drawingml/2006/main" noChangeArrowheads="1"/>
        </cdr:cNvSpPr>
      </cdr:nvSpPr>
      <cdr:spPr bwMode="auto">
        <a:xfrm xmlns:a="http://schemas.openxmlformats.org/drawingml/2006/main">
          <a:off x="135714" y="876487"/>
          <a:ext cx="953638" cy="1935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RESTO</a:t>
          </a:r>
        </a:p>
      </cdr:txBody>
    </cdr:sp>
  </cdr:relSizeAnchor>
  <cdr:relSizeAnchor xmlns:cdr="http://schemas.openxmlformats.org/drawingml/2006/chartDrawing">
    <cdr:from>
      <cdr:x>0.91247</cdr:x>
      <cdr:y>0.90104</cdr:y>
    </cdr:from>
    <cdr:to>
      <cdr:x>1</cdr:x>
      <cdr:y>0.93519</cdr:y>
    </cdr:to>
    <cdr:sp macro="" textlink="">
      <cdr:nvSpPr>
        <cdr:cNvPr id="41997" name="Text Box 13"/>
        <cdr:cNvSpPr txBox="1">
          <a:spLocks xmlns:a="http://schemas.openxmlformats.org/drawingml/2006/main" noChangeArrowheads="1"/>
        </cdr:cNvSpPr>
      </cdr:nvSpPr>
      <cdr:spPr bwMode="auto">
        <a:xfrm xmlns:a="http://schemas.openxmlformats.org/drawingml/2006/main">
          <a:off x="7943850" y="4394200"/>
          <a:ext cx="762000" cy="16651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Nº fallecidos</a:t>
          </a:r>
        </a:p>
      </cdr:txBody>
    </cdr:sp>
  </cdr:relSizeAnchor>
</c:userShapes>
</file>

<file path=xl/drawings/drawing33.xml><?xml version="1.0" encoding="utf-8"?>
<c:userShapes xmlns:c="http://schemas.openxmlformats.org/drawingml/2006/chart">
  <cdr:relSizeAnchor xmlns:cdr="http://schemas.openxmlformats.org/drawingml/2006/chartDrawing">
    <cdr:from>
      <cdr:x>0.02427</cdr:x>
      <cdr:y>0.81952</cdr:y>
    </cdr:from>
    <cdr:to>
      <cdr:x>0.15012</cdr:x>
      <cdr:y>0.85725</cdr:y>
    </cdr:to>
    <cdr:sp macro="" textlink="">
      <cdr:nvSpPr>
        <cdr:cNvPr id="43009" name="Text Box 1"/>
        <cdr:cNvSpPr txBox="1">
          <a:spLocks xmlns:a="http://schemas.openxmlformats.org/drawingml/2006/main" noChangeArrowheads="1"/>
        </cdr:cNvSpPr>
      </cdr:nvSpPr>
      <cdr:spPr bwMode="auto">
        <a:xfrm xmlns:a="http://schemas.openxmlformats.org/drawingml/2006/main">
          <a:off x="214220" y="3929551"/>
          <a:ext cx="1094487" cy="1807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TUMORES</a:t>
          </a:r>
        </a:p>
      </cdr:txBody>
    </cdr:sp>
  </cdr:relSizeAnchor>
  <cdr:relSizeAnchor xmlns:cdr="http://schemas.openxmlformats.org/drawingml/2006/chartDrawing">
    <cdr:from>
      <cdr:x>0.01413</cdr:x>
      <cdr:y>0.74478</cdr:y>
    </cdr:from>
    <cdr:to>
      <cdr:x>0.19043</cdr:x>
      <cdr:y>0.80041</cdr:y>
    </cdr:to>
    <cdr:sp macro="" textlink="">
      <cdr:nvSpPr>
        <cdr:cNvPr id="43010" name="Text Box 2"/>
        <cdr:cNvSpPr txBox="1">
          <a:spLocks xmlns:a="http://schemas.openxmlformats.org/drawingml/2006/main" noChangeArrowheads="1"/>
        </cdr:cNvSpPr>
      </cdr:nvSpPr>
      <cdr:spPr bwMode="auto">
        <a:xfrm xmlns:a="http://schemas.openxmlformats.org/drawingml/2006/main">
          <a:off x="126059" y="3571495"/>
          <a:ext cx="1533142" cy="26648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AP. RESPIRATORIO</a:t>
          </a:r>
        </a:p>
      </cdr:txBody>
    </cdr:sp>
  </cdr:relSizeAnchor>
  <cdr:relSizeAnchor xmlns:cdr="http://schemas.openxmlformats.org/drawingml/2006/chartDrawing">
    <cdr:from>
      <cdr:x>0.01289</cdr:x>
      <cdr:y>0.67226</cdr:y>
    </cdr:from>
    <cdr:to>
      <cdr:x>0.17831</cdr:x>
      <cdr:y>0.72788</cdr:y>
    </cdr:to>
    <cdr:sp macro="" textlink="">
      <cdr:nvSpPr>
        <cdr:cNvPr id="43011" name="Text Box 3"/>
        <cdr:cNvSpPr txBox="1">
          <a:spLocks xmlns:a="http://schemas.openxmlformats.org/drawingml/2006/main" noChangeArrowheads="1"/>
        </cdr:cNvSpPr>
      </cdr:nvSpPr>
      <cdr:spPr bwMode="auto">
        <a:xfrm xmlns:a="http://schemas.openxmlformats.org/drawingml/2006/main">
          <a:off x="115308" y="3224004"/>
          <a:ext cx="1438530" cy="26648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TRAUMA Y ENVEN.</a:t>
          </a:r>
        </a:p>
      </cdr:txBody>
    </cdr:sp>
  </cdr:relSizeAnchor>
  <cdr:relSizeAnchor xmlns:cdr="http://schemas.openxmlformats.org/drawingml/2006/chartDrawing">
    <cdr:from>
      <cdr:x>0.01289</cdr:x>
      <cdr:y>0.59997</cdr:y>
    </cdr:from>
    <cdr:to>
      <cdr:x>0.14988</cdr:x>
      <cdr:y>0.63771</cdr:y>
    </cdr:to>
    <cdr:sp macro="" textlink="">
      <cdr:nvSpPr>
        <cdr:cNvPr id="43012" name="Text Box 4"/>
        <cdr:cNvSpPr txBox="1">
          <a:spLocks xmlns:a="http://schemas.openxmlformats.org/drawingml/2006/main" noChangeArrowheads="1"/>
        </cdr:cNvSpPr>
      </cdr:nvSpPr>
      <cdr:spPr bwMode="auto">
        <a:xfrm xmlns:a="http://schemas.openxmlformats.org/drawingml/2006/main">
          <a:off x="115308" y="2877687"/>
          <a:ext cx="1191249" cy="18078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AP. DIGESTIVO</a:t>
          </a:r>
        </a:p>
      </cdr:txBody>
    </cdr:sp>
  </cdr:relSizeAnchor>
  <cdr:relSizeAnchor xmlns:cdr="http://schemas.openxmlformats.org/drawingml/2006/chartDrawing">
    <cdr:from>
      <cdr:x>0.01289</cdr:x>
      <cdr:y>0.53528</cdr:y>
    </cdr:from>
    <cdr:to>
      <cdr:x>0.1793</cdr:x>
      <cdr:y>0.58307</cdr:y>
    </cdr:to>
    <cdr:sp macro="" textlink="">
      <cdr:nvSpPr>
        <cdr:cNvPr id="43013" name="Text Box 5"/>
        <cdr:cNvSpPr txBox="1">
          <a:spLocks xmlns:a="http://schemas.openxmlformats.org/drawingml/2006/main" noChangeArrowheads="1"/>
        </cdr:cNvSpPr>
      </cdr:nvSpPr>
      <cdr:spPr bwMode="auto">
        <a:xfrm xmlns:a="http://schemas.openxmlformats.org/drawingml/2006/main">
          <a:off x="115308" y="2567762"/>
          <a:ext cx="1447131" cy="22892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INFECC. Y PARASIT</a:t>
          </a:r>
        </a:p>
      </cdr:txBody>
    </cdr:sp>
  </cdr:relSizeAnchor>
  <cdr:relSizeAnchor xmlns:cdr="http://schemas.openxmlformats.org/drawingml/2006/chartDrawing">
    <cdr:from>
      <cdr:x>0.01289</cdr:x>
      <cdr:y>0.33926</cdr:y>
    </cdr:from>
    <cdr:to>
      <cdr:x>0.1882</cdr:x>
      <cdr:y>0.38092</cdr:y>
    </cdr:to>
    <cdr:sp macro="" textlink="">
      <cdr:nvSpPr>
        <cdr:cNvPr id="43014" name="Text Box 6"/>
        <cdr:cNvSpPr txBox="1">
          <a:spLocks xmlns:a="http://schemas.openxmlformats.org/drawingml/2006/main" noChangeArrowheads="1"/>
        </cdr:cNvSpPr>
      </cdr:nvSpPr>
      <cdr:spPr bwMode="auto">
        <a:xfrm xmlns:a="http://schemas.openxmlformats.org/drawingml/2006/main">
          <a:off x="115308" y="1628597"/>
          <a:ext cx="1524541" cy="19957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GLANDULAS ENDOCR</a:t>
          </a:r>
        </a:p>
      </cdr:txBody>
    </cdr:sp>
  </cdr:relSizeAnchor>
  <cdr:relSizeAnchor xmlns:cdr="http://schemas.openxmlformats.org/drawingml/2006/chartDrawing">
    <cdr:from>
      <cdr:x>0.00548</cdr:x>
      <cdr:y>0.20547</cdr:y>
    </cdr:from>
    <cdr:to>
      <cdr:x>0.08534</cdr:x>
      <cdr:y>0.2214</cdr:y>
    </cdr:to>
    <cdr:sp macro="" textlink="">
      <cdr:nvSpPr>
        <cdr:cNvPr id="43015" name="Text Box 7"/>
        <cdr:cNvSpPr txBox="1">
          <a:spLocks xmlns:a="http://schemas.openxmlformats.org/drawingml/2006/main" noChangeArrowheads="1"/>
        </cdr:cNvSpPr>
      </cdr:nvSpPr>
      <cdr:spPr bwMode="auto">
        <a:xfrm xmlns:a="http://schemas.openxmlformats.org/drawingml/2006/main">
          <a:off x="50800" y="987617"/>
          <a:ext cx="694537" cy="76307"/>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0.01289</cdr:x>
      <cdr:y>0.46594</cdr:y>
    </cdr:from>
    <cdr:to>
      <cdr:x>0.1793</cdr:x>
      <cdr:y>0.5196</cdr:y>
    </cdr:to>
    <cdr:sp macro="" textlink="">
      <cdr:nvSpPr>
        <cdr:cNvPr id="43016" name="Text Box 8"/>
        <cdr:cNvSpPr txBox="1">
          <a:spLocks xmlns:a="http://schemas.openxmlformats.org/drawingml/2006/main" noChangeArrowheads="1"/>
        </cdr:cNvSpPr>
      </cdr:nvSpPr>
      <cdr:spPr bwMode="auto">
        <a:xfrm xmlns:a="http://schemas.openxmlformats.org/drawingml/2006/main">
          <a:off x="115308" y="2235533"/>
          <a:ext cx="1447131" cy="25709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MAL DEFINIDAS</a:t>
          </a:r>
        </a:p>
      </cdr:txBody>
    </cdr:sp>
  </cdr:relSizeAnchor>
  <cdr:relSizeAnchor xmlns:cdr="http://schemas.openxmlformats.org/drawingml/2006/chartDrawing">
    <cdr:from>
      <cdr:x>0.01289</cdr:x>
      <cdr:y>0.40615</cdr:y>
    </cdr:from>
    <cdr:to>
      <cdr:x>0.20007</cdr:x>
      <cdr:y>0.45393</cdr:y>
    </cdr:to>
    <cdr:sp macro="" textlink="">
      <cdr:nvSpPr>
        <cdr:cNvPr id="43017" name="Text Box 9"/>
        <cdr:cNvSpPr txBox="1">
          <a:spLocks xmlns:a="http://schemas.openxmlformats.org/drawingml/2006/main" noChangeArrowheads="1"/>
        </cdr:cNvSpPr>
      </cdr:nvSpPr>
      <cdr:spPr bwMode="auto">
        <a:xfrm xmlns:a="http://schemas.openxmlformats.org/drawingml/2006/main">
          <a:off x="115308" y="1949087"/>
          <a:ext cx="1627754" cy="22892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AP. GENITOURINARIO</a:t>
          </a:r>
        </a:p>
      </cdr:txBody>
    </cdr:sp>
  </cdr:relSizeAnchor>
  <cdr:relSizeAnchor xmlns:cdr="http://schemas.openxmlformats.org/drawingml/2006/chartDrawing">
    <cdr:from>
      <cdr:x>0.01289</cdr:x>
      <cdr:y>0.27237</cdr:y>
    </cdr:from>
    <cdr:to>
      <cdr:x>0.20007</cdr:x>
      <cdr:y>0.32015</cdr:y>
    </cdr:to>
    <cdr:sp macro="" textlink="">
      <cdr:nvSpPr>
        <cdr:cNvPr id="43018" name="Text Box 10"/>
        <cdr:cNvSpPr txBox="1">
          <a:spLocks xmlns:a="http://schemas.openxmlformats.org/drawingml/2006/main" noChangeArrowheads="1"/>
        </cdr:cNvSpPr>
      </cdr:nvSpPr>
      <cdr:spPr bwMode="auto">
        <a:xfrm xmlns:a="http://schemas.openxmlformats.org/drawingml/2006/main">
          <a:off x="115308" y="1308107"/>
          <a:ext cx="1627754" cy="22892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AFEC. PERIODO PER</a:t>
          </a:r>
        </a:p>
      </cdr:txBody>
    </cdr:sp>
  </cdr:relSizeAnchor>
  <cdr:relSizeAnchor xmlns:cdr="http://schemas.openxmlformats.org/drawingml/2006/chartDrawing">
    <cdr:from>
      <cdr:x>0.01388</cdr:x>
      <cdr:y>0.14005</cdr:y>
    </cdr:from>
    <cdr:to>
      <cdr:x>0.12342</cdr:x>
      <cdr:y>0.17975</cdr:y>
    </cdr:to>
    <cdr:sp macro="" textlink="">
      <cdr:nvSpPr>
        <cdr:cNvPr id="43019" name="Text Box 11"/>
        <cdr:cNvSpPr txBox="1">
          <a:spLocks xmlns:a="http://schemas.openxmlformats.org/drawingml/2006/main" noChangeArrowheads="1"/>
        </cdr:cNvSpPr>
      </cdr:nvSpPr>
      <cdr:spPr bwMode="auto">
        <a:xfrm xmlns:a="http://schemas.openxmlformats.org/drawingml/2006/main">
          <a:off x="123909" y="674171"/>
          <a:ext cx="952569" cy="19018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RESTO</a:t>
          </a:r>
        </a:p>
      </cdr:txBody>
    </cdr:sp>
  </cdr:relSizeAnchor>
  <cdr:relSizeAnchor xmlns:cdr="http://schemas.openxmlformats.org/drawingml/2006/chartDrawing">
    <cdr:from>
      <cdr:x>0.86891</cdr:x>
      <cdr:y>0.85799</cdr:y>
    </cdr:from>
    <cdr:to>
      <cdr:x>0.97845</cdr:x>
      <cdr:y>0.89768</cdr:y>
    </cdr:to>
    <cdr:sp macro="" textlink="">
      <cdr:nvSpPr>
        <cdr:cNvPr id="43020" name="Text Box 12"/>
        <cdr:cNvSpPr txBox="1">
          <a:spLocks xmlns:a="http://schemas.openxmlformats.org/drawingml/2006/main" noChangeArrowheads="1"/>
        </cdr:cNvSpPr>
      </cdr:nvSpPr>
      <cdr:spPr bwMode="auto">
        <a:xfrm xmlns:a="http://schemas.openxmlformats.org/drawingml/2006/main">
          <a:off x="7559538" y="4113863"/>
          <a:ext cx="952570" cy="19018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Porcentaje</a:t>
          </a:r>
        </a:p>
      </cdr:txBody>
    </cdr:sp>
  </cdr:relSizeAnchor>
  <cdr:relSizeAnchor xmlns:cdr="http://schemas.openxmlformats.org/drawingml/2006/chartDrawing">
    <cdr:from>
      <cdr:x>0.01116</cdr:x>
      <cdr:y>0.20547</cdr:y>
    </cdr:from>
    <cdr:to>
      <cdr:x>0.25249</cdr:x>
      <cdr:y>0.24639</cdr:y>
    </cdr:to>
    <cdr:sp macro="" textlink="">
      <cdr:nvSpPr>
        <cdr:cNvPr id="43021" name="Text Box 13"/>
        <cdr:cNvSpPr txBox="1">
          <a:spLocks xmlns:a="http://schemas.openxmlformats.org/drawingml/2006/main" noChangeArrowheads="1"/>
        </cdr:cNvSpPr>
      </cdr:nvSpPr>
      <cdr:spPr bwMode="auto">
        <a:xfrm xmlns:a="http://schemas.openxmlformats.org/drawingml/2006/main">
          <a:off x="100256" y="987617"/>
          <a:ext cx="2098662" cy="19605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es-ES" sz="800" b="1" i="0" strike="noStrike">
              <a:solidFill>
                <a:srgbClr val="000000"/>
              </a:solidFill>
              <a:latin typeface="Arial"/>
              <a:cs typeface="Arial"/>
            </a:rPr>
            <a:t>ANOMALIAS CONG</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254000</xdr:colOff>
      <xdr:row>42</xdr:row>
      <xdr:rowOff>0</xdr:rowOff>
    </xdr:from>
    <xdr:to>
      <xdr:col>6</xdr:col>
      <xdr:colOff>254000</xdr:colOff>
      <xdr:row>66</xdr:row>
      <xdr:rowOff>76200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596900</xdr:colOff>
      <xdr:row>42</xdr:row>
      <xdr:rowOff>12700</xdr:rowOff>
    </xdr:from>
    <xdr:to>
      <xdr:col>15</xdr:col>
      <xdr:colOff>63500</xdr:colOff>
      <xdr:row>66</xdr:row>
      <xdr:rowOff>88900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cdr:x>
      <cdr:y>0</cdr:y>
    </cdr:from>
    <cdr:to>
      <cdr:x>0.11741</cdr:x>
      <cdr:y>0.07813</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599439" cy="317500"/>
        </a:xfrm>
        <a:prstGeom xmlns:a="http://schemas.openxmlformats.org/drawingml/2006/main" prst="rect">
          <a:avLst/>
        </a:prstGeom>
      </cdr:spPr>
    </cdr:pic>
  </cdr:relSizeAnchor>
  <cdr:relSizeAnchor xmlns:cdr="http://schemas.openxmlformats.org/drawingml/2006/chartDrawing">
    <cdr:from>
      <cdr:x>0.22886</cdr:x>
      <cdr:y>0</cdr:y>
    </cdr:from>
    <cdr:to>
      <cdr:x>0.86727</cdr:x>
      <cdr:y>0.08438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1168400" y="0"/>
          <a:ext cx="3259367" cy="342900"/>
        </a:xfrm>
        <a:prstGeom xmlns:a="http://schemas.openxmlformats.org/drawingml/2006/main" prst="rect">
          <a:avLst/>
        </a:prstGeom>
      </cdr:spPr>
    </cdr:pic>
  </cdr:relSizeAnchor>
</c:userShapes>
</file>

<file path=xl/drawings/drawing36.xml><?xml version="1.0" encoding="utf-8"?>
<c:userShapes xmlns:c="http://schemas.openxmlformats.org/drawingml/2006/chart">
  <cdr:relSizeAnchor xmlns:cdr="http://schemas.openxmlformats.org/drawingml/2006/chartDrawing">
    <cdr:from>
      <cdr:x>0.21642</cdr:x>
      <cdr:y>0</cdr:y>
    </cdr:from>
    <cdr:to>
      <cdr:x>0.92932</cdr:x>
      <cdr:y>0.08101</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104900" y="0"/>
          <a:ext cx="3639627" cy="329213"/>
        </a:xfrm>
        <a:prstGeom xmlns:a="http://schemas.openxmlformats.org/drawingml/2006/main" prst="rect">
          <a:avLst/>
        </a:prstGeom>
      </cdr:spPr>
    </cdr:pic>
  </cdr:relSizeAnchor>
  <cdr:relSizeAnchor xmlns:cdr="http://schemas.openxmlformats.org/drawingml/2006/chartDrawing">
    <cdr:from>
      <cdr:x>0</cdr:x>
      <cdr:y>0</cdr:y>
    </cdr:from>
    <cdr:to>
      <cdr:x>0.08837</cdr:x>
      <cdr:y>0.07801</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0" y="0"/>
          <a:ext cx="451143" cy="317019"/>
        </a:xfrm>
        <a:prstGeom xmlns:a="http://schemas.openxmlformats.org/drawingml/2006/main" prst="rect">
          <a:avLst/>
        </a:prstGeom>
      </cdr:spPr>
    </cdr:pic>
  </cdr:relSizeAnchor>
</c:userShapes>
</file>

<file path=xl/drawings/drawing37.xml><?xml version="1.0" encoding="utf-8"?>
<xdr:wsDr xmlns:xdr="http://schemas.openxmlformats.org/drawingml/2006/spreadsheetDrawing" xmlns:a="http://schemas.openxmlformats.org/drawingml/2006/main">
  <xdr:twoCellAnchor>
    <xdr:from>
      <xdr:col>1</xdr:col>
      <xdr:colOff>640080</xdr:colOff>
      <xdr:row>1</xdr:row>
      <xdr:rowOff>22860</xdr:rowOff>
    </xdr:from>
    <xdr:to>
      <xdr:col>10</xdr:col>
      <xdr:colOff>678180</xdr:colOff>
      <xdr:row>105</xdr:row>
      <xdr:rowOff>7620</xdr:rowOff>
    </xdr:to>
    <xdr:sp macro="" textlink="">
      <xdr:nvSpPr>
        <xdr:cNvPr id="2" name="1 CuadroTexto"/>
        <xdr:cNvSpPr txBox="1"/>
      </xdr:nvSpPr>
      <xdr:spPr>
        <a:xfrm>
          <a:off x="1432560" y="304800"/>
          <a:ext cx="8770620" cy="2075688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spcAft>
              <a:spcPts val="0"/>
            </a:spcAft>
          </a:pPr>
          <a:endParaRPr lang="es-ES" sz="1100">
            <a:effectLst/>
            <a:latin typeface="Arial"/>
            <a:ea typeface="Times New Roman"/>
            <a:cs typeface="Times New Roman"/>
          </a:endParaRPr>
        </a:p>
        <a:p>
          <a:pPr algn="just">
            <a:spcAft>
              <a:spcPts val="0"/>
            </a:spcAft>
          </a:pPr>
          <a:r>
            <a:rPr lang="es-ES" sz="800">
              <a:effectLst/>
              <a:latin typeface="Arial"/>
              <a:ea typeface="Times New Roman"/>
              <a:cs typeface="Times New Roman"/>
            </a:rPr>
            <a:t>	MINISTERIO DE SALUD</a:t>
          </a:r>
          <a:endParaRPr lang="es-CL" sz="1000">
            <a:effectLst/>
            <a:latin typeface="Verdana"/>
            <a:ea typeface="Times New Roman"/>
            <a:cs typeface="Times New Roman"/>
          </a:endParaRPr>
        </a:p>
        <a:p>
          <a:pPr algn="just">
            <a:spcAft>
              <a:spcPts val="0"/>
            </a:spcAft>
          </a:pPr>
          <a:r>
            <a:rPr lang="es-ES" sz="800">
              <a:effectLst/>
              <a:latin typeface="Arial"/>
              <a:ea typeface="Times New Roman"/>
              <a:cs typeface="Times New Roman"/>
            </a:rPr>
            <a:t>	SERVICIO DE SALUD ACONCAGUA</a:t>
          </a:r>
          <a:endParaRPr lang="es-CL" sz="1000">
            <a:effectLst/>
            <a:latin typeface="Verdana"/>
            <a:ea typeface="Times New Roman"/>
            <a:cs typeface="Times New Roman"/>
          </a:endParaRPr>
        </a:p>
        <a:p>
          <a:pPr algn="just">
            <a:spcAft>
              <a:spcPts val="0"/>
            </a:spcAft>
          </a:pPr>
          <a:r>
            <a:rPr lang="es-ES" sz="800" b="0" u="none" strike="noStrike">
              <a:effectLst/>
              <a:latin typeface="Arial"/>
            </a:rPr>
            <a:t>	SUBDIRECCION DE GESTION ESTRATEGICA</a:t>
          </a:r>
          <a:endParaRPr lang="es-CL" sz="800" b="1" u="sng">
            <a:effectLst/>
            <a:latin typeface="Verdana"/>
          </a:endParaRPr>
        </a:p>
        <a:p>
          <a:pPr algn="just">
            <a:spcAft>
              <a:spcPts val="0"/>
            </a:spcAft>
          </a:pPr>
          <a:r>
            <a:rPr lang="pt-BR" sz="800" b="1" u="sng">
              <a:effectLst/>
              <a:latin typeface="Arial"/>
            </a:rPr>
            <a:t>	UNIDAD DE ESTADISTICA</a:t>
          </a:r>
          <a:endParaRPr lang="es-CL" sz="800" b="1" u="sng">
            <a:effectLst/>
            <a:latin typeface="Verdana"/>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ctr">
            <a:spcAft>
              <a:spcPts val="0"/>
            </a:spcAft>
          </a:pPr>
          <a:r>
            <a:rPr lang="es-ES_tradnl" sz="1100" b="1">
              <a:effectLst/>
              <a:latin typeface="Arial"/>
              <a:ea typeface="Calibri"/>
              <a:cs typeface="Times New Roman"/>
            </a:rPr>
            <a:t>MEMORIA ESTADISTICA SERVICIO DE SALUD ACONCAGUA 2006-2015</a:t>
          </a:r>
          <a:endParaRPr lang="es-CL" sz="1000">
            <a:effectLst/>
            <a:latin typeface="Verdana"/>
            <a:ea typeface="Times New Roman"/>
            <a:cs typeface="Times New Roman"/>
          </a:endParaRPr>
        </a:p>
        <a:p>
          <a:pPr algn="ctr">
            <a:spcAft>
              <a:spcPts val="0"/>
            </a:spcAft>
          </a:pPr>
          <a:r>
            <a:rPr lang="es-ES_tradnl" sz="1100" b="1">
              <a:effectLst/>
              <a:latin typeface="Arial"/>
              <a:ea typeface="Calibri"/>
              <a:cs typeface="Times New Roman"/>
            </a:rPr>
            <a:t> </a:t>
          </a:r>
          <a:endParaRPr lang="es-CL" sz="1000">
            <a:effectLst/>
            <a:latin typeface="Verdana"/>
            <a:ea typeface="Times New Roman"/>
            <a:cs typeface="Times New Roman"/>
          </a:endParaRPr>
        </a:p>
        <a:p>
          <a:pPr algn="ctr">
            <a:spcAft>
              <a:spcPts val="0"/>
            </a:spcAft>
          </a:pPr>
          <a:r>
            <a:rPr lang="es-ES_tradnl" sz="1100" b="1">
              <a:effectLst/>
              <a:latin typeface="Arial"/>
              <a:ea typeface="Calibri"/>
              <a:cs typeface="Times New Roman"/>
            </a:rPr>
            <a:t> </a:t>
          </a:r>
          <a:endParaRPr lang="es-CL" sz="1000">
            <a:effectLst/>
            <a:latin typeface="Verdana"/>
            <a:ea typeface="Times New Roman"/>
            <a:cs typeface="Times New Roman"/>
          </a:endParaRPr>
        </a:p>
        <a:p>
          <a:pPr algn="ctr">
            <a:spcAft>
              <a:spcPts val="1000"/>
            </a:spcAft>
          </a:pPr>
          <a:r>
            <a:rPr lang="es-ES_tradnl" sz="1100" b="1">
              <a:effectLst/>
              <a:latin typeface="Arial"/>
              <a:ea typeface="Calibri"/>
              <a:cs typeface="Times New Roman"/>
            </a:rPr>
            <a:t>CAPITULO  III     ACTIVIDADES</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Este capítulo presenta las actividades sobre las personas, desarrolladas por el equipo de salud en los establecimientos, tanto de Atención Primaria como Secundaria, de la Red Aconcagua.</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1000"/>
            </a:spcAft>
          </a:pPr>
          <a:r>
            <a:rPr lang="es-ES_tradnl" sz="1100" b="1">
              <a:effectLst/>
              <a:latin typeface="Arial"/>
              <a:ea typeface="Calibri"/>
              <a:cs typeface="Times New Roman"/>
            </a:rPr>
            <a:t>EVALUACION NUTRICIONAL:</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20.294 menores de 6 años bajo control,   se observa un descenso sostenido  en  el  indicador  Peso/Talla   en  el  periodo  2012-2015,  los  indicadores peso/edad y talla/edad no  presentan variación (pag.34)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relación al diagnóstico  nutricional  integrado  de este grupo  menor  de 6  años se observa  un  incremento  de  un  23%  en  el  riesgo  de  desnutrición (pág.. 35)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el grupo de   embarazadas bajo control (1.771</a:t>
          </a:r>
          <a:r>
            <a:rPr lang="es-ES_tradnl" sz="1000">
              <a:effectLst/>
              <a:latin typeface="Verdana"/>
              <a:ea typeface="Times New Roman"/>
              <a:cs typeface="Times New Roman"/>
            </a:rPr>
            <a:t> </a:t>
          </a:r>
          <a:r>
            <a:rPr lang="es-ES_tradnl" sz="1100">
              <a:effectLst/>
              <a:latin typeface="Arial"/>
              <a:ea typeface="Calibri"/>
              <a:cs typeface="Times New Roman"/>
            </a:rPr>
            <a:t>usuarias) se  observa, en  comparación  al  año  anterior,  un  incremento  en  las obesas  de 27,9 a 30,9%  y  sobrepeso  de 33,1 a 35,5% (pág. 36)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 </a:t>
          </a:r>
          <a:r>
            <a:rPr lang="es-ES_tradnl" sz="1100" b="1">
              <a:effectLst/>
              <a:latin typeface="Arial"/>
              <a:ea typeface="Calibri"/>
              <a:cs typeface="Times New Roman"/>
            </a:rPr>
            <a:t>NACIMIENTOS Y PARTOS: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Durante el 2015 se produjeron en el SSA  3.669 partos,  el 62% de ellos se atendió en el HSC, el 37% en el HLA y un 0,9% en la clínica Rio Blanco. Dos nacimientos ocurrieron sin  atención profesional.</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El 2,2% de los recién nacidos registraron un peso de nacimiento menor a 2000 gramos.</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El 14,1% de las madres tenía una edad menor a 20 años. La incidencia de partos en menores de 15 años aumentó en relación al 2014 de 0,4 a 0,6%.</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El 55.5% de los partos se resolvió por cesárea. (pag.38)	</a:t>
          </a:r>
          <a:endParaRPr lang="es-CL" sz="1000">
            <a:effectLst/>
            <a:latin typeface="Verdana"/>
            <a:ea typeface="Times New Roman"/>
            <a:cs typeface="Times New Roman"/>
          </a:endParaRPr>
        </a:p>
        <a:p>
          <a:pPr algn="just">
            <a:spcAft>
              <a:spcPts val="1000"/>
            </a:spcAft>
          </a:pPr>
          <a:endParaRPr lang="es-ES_tradnl" sz="1100" b="1">
            <a:effectLst/>
            <a:latin typeface="Arial"/>
            <a:ea typeface="Calibri"/>
            <a:cs typeface="Times New Roman"/>
          </a:endParaRPr>
        </a:p>
        <a:p>
          <a:pPr algn="just">
            <a:spcAft>
              <a:spcPts val="1000"/>
            </a:spcAft>
          </a:pPr>
          <a:r>
            <a:rPr lang="es-ES_tradnl" sz="1100" b="1">
              <a:effectLst/>
              <a:latin typeface="Arial"/>
              <a:ea typeface="Calibri"/>
              <a:cs typeface="Times New Roman"/>
            </a:rPr>
            <a:t>CONSULTAS Y CONTROLES NIVEL PRIMARIO:</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el Programa Infantil del nivel Primario, se observa  un  descenso constante  de  las consultas y controles en  el  periodo 2012-2015 (13%), contribuyendo ambas provincias   (pág. 41) Igual comportamiento se aprecia en el Programa del Adolescente, las que se han reducido en un 19%.	(pág. 42) y en el Programa del Adulto, con un descenso de un 14%.</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el Programa del Adulto Mayor se ha producido un aumento de las consultas y controles, alcanzando a un 8,5% en el período 2012-2015.</a:t>
          </a:r>
          <a:r>
            <a:rPr lang="es-ES_tradnl" sz="1000">
              <a:effectLst/>
              <a:latin typeface="Verdana"/>
              <a:ea typeface="Times New Roman"/>
              <a:cs typeface="Times New Roman"/>
            </a:rPr>
            <a:t> </a:t>
          </a:r>
          <a:r>
            <a:rPr lang="es-ES_tradnl" sz="1100">
              <a:effectLst/>
              <a:latin typeface="Arial"/>
              <a:ea typeface="Calibri"/>
              <a:cs typeface="Times New Roman"/>
            </a:rPr>
            <a:t>(pág. 45)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La consulta psicólogo, profesional integrado a todos los programas precedentes,   para  el  periodo 2012 -2015,  presentan  una  disminución  de un 16% (pág. 47). Situación similar se observa en la consulta por médico, con un descenso de un 12%.	(pág. 48.)						</a:t>
          </a:r>
          <a:endParaRPr lang="es-CL" sz="1000">
            <a:effectLst/>
            <a:latin typeface="Verdana"/>
            <a:ea typeface="Times New Roman"/>
            <a:cs typeface="Times New Roman"/>
          </a:endParaRPr>
        </a:p>
        <a:p>
          <a:pPr algn="just">
            <a:spcAft>
              <a:spcPts val="1000"/>
            </a:spcAft>
          </a:pPr>
          <a:endParaRPr lang="es-ES_tradnl" sz="1100" b="1">
            <a:effectLst/>
            <a:latin typeface="Arial"/>
            <a:ea typeface="Calibri"/>
            <a:cs typeface="Times New Roman"/>
          </a:endParaRPr>
        </a:p>
        <a:p>
          <a:pPr algn="just">
            <a:spcAft>
              <a:spcPts val="1000"/>
            </a:spcAft>
          </a:pPr>
          <a:r>
            <a:rPr lang="es-ES_tradnl" sz="1100" b="1">
              <a:effectLst/>
              <a:latin typeface="Arial"/>
              <a:ea typeface="Calibri"/>
              <a:cs typeface="Times New Roman"/>
            </a:rPr>
            <a:t>CONSULTAS  ESPECIALIDADES:</a:t>
          </a: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La  consultas de  especialidades  el  2015 alcanzaron a un total de 131.743, mostrando  un  incremento en  un 10% respecto  al  año  anterior. El mayor porcentaje (18,7%)  correspondió a la especialidad de Medicina Interna, el segundo lugar lo ocupa Cirugía Adultos con un 11,2% (pág. 53)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Del  22,4 % de  las  consultas  nuevas  atendidas,  el 15,1% corresponden  a  la  APS.</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El  nivel  secundario,  atendió el 2015  un  55,1% de  las  interconsultas  generadas  en  la  APS. (pág. 56), observándose un incremento  del    27,6%  en las  interconsultas  generadas  en  el  2015 respecto  al  año  2014 (pág. 57)													</a:t>
          </a:r>
          <a:endParaRPr lang="es-CL" sz="1000">
            <a:effectLst/>
            <a:latin typeface="Verdana"/>
            <a:ea typeface="Times New Roman"/>
            <a:cs typeface="Times New Roman"/>
          </a:endParaRPr>
        </a:p>
        <a:p>
          <a:pPr algn="just">
            <a:spcAft>
              <a:spcPts val="1000"/>
            </a:spcAft>
          </a:pPr>
          <a:r>
            <a:rPr lang="es-ES_tradnl" sz="1100" b="1">
              <a:effectLst/>
              <a:latin typeface="Arial"/>
              <a:ea typeface="Calibri"/>
              <a:cs typeface="Times New Roman"/>
            </a:rPr>
            <a:t>CONSULTAS  DE  URGENCIA:</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Durante el 2015 se generó un total de 329.815 consultas médicas de urgencia en los establecimientos de la Red, el 26,2% de ellas en el HLA y el 23,2% en el HSC.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los  dos  Hospitales  auto gestionados, se  observa  una  leve  disminución  en  las  consultas 2015 en relación al 2014 (pág. 69)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El 18% de las consultas de urgencia 2015 se generaron en los Servicios de Atención Primaria de Urgencia (SAPU)  de los Andes y San Felipe.</a:t>
          </a:r>
        </a:p>
        <a:p>
          <a:pPr algn="just">
            <a:spcAft>
              <a:spcPts val="100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1000"/>
            </a:spcAft>
          </a:pPr>
          <a:r>
            <a:rPr lang="es-ES_tradnl" sz="1100" b="1">
              <a:effectLst/>
              <a:latin typeface="Arial"/>
              <a:ea typeface="Calibri"/>
              <a:cs typeface="Times New Roman"/>
            </a:rPr>
            <a:t>INTERVENCIONES QUIRÚRGICAS:</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Esta  actividad   para  el  periodo 2006 - 2010, no  muestra  cambios  significativos, sin embargo,  a  partir  del  año 2011 se  incrementa significativamente para  estabilizarse el  año 2015 (pág. 71)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El 2015 se realizaron un total de 21.616 cirugías, el 77% de ellas correspondieron a urgencias.</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De total de cirugías,12.692 fueron  cirugías mayores, de las cuales un 16,6% (2.109) se realizó en forma ambulatoria.										</a:t>
          </a:r>
          <a:endParaRPr lang="es-CL" sz="1000">
            <a:effectLst/>
            <a:latin typeface="Verdana"/>
            <a:ea typeface="Times New Roman"/>
            <a:cs typeface="Times New Roman"/>
          </a:endParaRPr>
        </a:p>
        <a:p>
          <a:pPr algn="just">
            <a:spcAft>
              <a:spcPts val="1000"/>
            </a:spcAft>
          </a:pPr>
          <a:r>
            <a:rPr lang="es-ES_tradnl" sz="1100" b="1">
              <a:effectLst/>
              <a:latin typeface="Arial"/>
              <a:ea typeface="Calibri"/>
              <a:cs typeface="Times New Roman"/>
            </a:rPr>
            <a:t>USO DE CAMAS  HOSPITALARIAS:</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Con 829 camas disponibles el 2015 en la Red Aconcagua, un 13% menos que al inicio del período (2006), se registró un total de  86.170 días de estada. El 90% de los pacientes hospitalizados  fueron  categorizados.</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los  dos  hospitales auto gestionados,  el  13,3%  concernieron  a  la  categorización D2 y D3, correspondientes a   pacientes  hospitalizados  de  baja  complejidad y dependencia (pág. 75) 										</a:t>
          </a:r>
          <a:endParaRPr lang="es-CL" sz="1000">
            <a:effectLst/>
            <a:latin typeface="Verdana"/>
            <a:ea typeface="Times New Roman"/>
            <a:cs typeface="Times New Roman"/>
          </a:endParaRPr>
        </a:p>
        <a:p>
          <a:pPr algn="just">
            <a:spcAft>
              <a:spcPts val="1000"/>
            </a:spcAft>
          </a:pPr>
          <a:r>
            <a:rPr lang="es-ES_tradnl" sz="1100" b="1">
              <a:effectLst/>
              <a:latin typeface="Arial"/>
              <a:ea typeface="Calibri"/>
              <a:cs typeface="Times New Roman"/>
            </a:rPr>
            <a:t>Con relación a los indicadores de uso de camas en la Red, se observa la siguiente distribución:</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HSC: 234 camas, 11.421 egresos, 64,5% de índice ocupacional y 4,8 días estada promedio.</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HLA: 168 camas, 9.361 egresos, 80,6% de índice ocupacional y 5,0 días estada promedio.</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HLL LL: 45 camas, 1.442 egresos, 52,7% de índice ocupacional y 6,0 días estada promedio.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HSA: 28 camas, 568 egresos, 56,2% de índice ocupacional y 12,4 días estada promedio.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HPP: 354 camas, 873 egresos, 94,7% de índice ocupacional y 124,8 días estada promedio.</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(págs. 83-88)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b="1">
              <a:effectLst/>
              <a:latin typeface="Arial"/>
              <a:ea typeface="Calibri"/>
              <a:cs typeface="Times New Roman"/>
            </a:rPr>
            <a:t>EGRESOS HOSPITALARIOS POR GRUPOS DIAGNOSTICOS:	</a:t>
          </a:r>
          <a:endParaRPr lang="es-CL" sz="1000">
            <a:effectLst/>
            <a:latin typeface="Verdana"/>
            <a:ea typeface="Times New Roman"/>
            <a:cs typeface="Times New Roman"/>
          </a:endParaRPr>
        </a:p>
        <a:p>
          <a:pPr algn="just">
            <a:spcAft>
              <a:spcPts val="0"/>
            </a:spcAft>
          </a:pPr>
          <a:r>
            <a:rPr lang="es-ES_tradnl" sz="1100" b="1">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Se describen los grupos de diagnósticos de acuerdo al Código Internacional de Enfermedades (CIE 10).</a:t>
          </a:r>
        </a:p>
        <a:p>
          <a:pPr algn="just">
            <a:spcAft>
              <a:spcPts val="0"/>
            </a:spcAft>
          </a:pPr>
          <a:endParaRPr lang="es-ES_tradnl" sz="1100">
            <a:effectLst/>
            <a:latin typeface="Arial"/>
            <a:ea typeface="Calibri"/>
            <a:cs typeface="Times New Roman"/>
          </a:endParaRPr>
        </a:p>
        <a:p>
          <a:pPr algn="just">
            <a:spcAft>
              <a:spcPts val="0"/>
            </a:spcAft>
          </a:pPr>
          <a:r>
            <a:rPr lang="es-ES_tradnl" sz="1100">
              <a:effectLst/>
              <a:latin typeface="Arial"/>
              <a:ea typeface="Calibri"/>
              <a:cs typeface="Times New Roman"/>
            </a:rPr>
            <a:t>Se originaron 	23.665 egresos hospitalarios el año 2015 en los hospitales de la Red. Las primeras cuatro causas tuvieron la siguiente distribución:</a:t>
          </a:r>
        </a:p>
        <a:p>
          <a:pPr algn="just">
            <a:spcAft>
              <a:spcPts val="0"/>
            </a:spcAft>
          </a:pPr>
          <a:r>
            <a:rPr lang="es-ES_tradnl" sz="1100">
              <a:effectLst/>
              <a:latin typeface="Arial"/>
              <a:ea typeface="Calibri"/>
              <a:cs typeface="Times New Roman"/>
            </a:rPr>
            <a:t> </a:t>
          </a:r>
        </a:p>
        <a:p>
          <a:pPr algn="just">
            <a:spcAft>
              <a:spcPts val="0"/>
            </a:spcAft>
          </a:pPr>
          <a:r>
            <a:rPr lang="es-ES_tradnl" sz="1100">
              <a:effectLst/>
              <a:latin typeface="Arial"/>
              <a:ea typeface="Calibri"/>
              <a:cs typeface="Times New Roman"/>
            </a:rPr>
            <a:t>Embarazo Parto y Puerperio: 4792 egresos, 20,2%.</a:t>
          </a:r>
        </a:p>
        <a:p>
          <a:pPr algn="just">
            <a:spcAft>
              <a:spcPts val="0"/>
            </a:spcAft>
          </a:pPr>
          <a:r>
            <a:rPr lang="es-ES_tradnl" sz="1100">
              <a:effectLst/>
              <a:latin typeface="Arial"/>
              <a:ea typeface="Calibri"/>
              <a:cs typeface="Times New Roman"/>
            </a:rPr>
            <a:t>Aparato Digestivo: 3.658 egresos, 15,5%.</a:t>
          </a:r>
        </a:p>
        <a:p>
          <a:pPr algn="just">
            <a:spcAft>
              <a:spcPts val="0"/>
            </a:spcAft>
          </a:pPr>
          <a:r>
            <a:rPr lang="es-ES_tradnl" sz="1100">
              <a:effectLst/>
              <a:latin typeface="Arial"/>
              <a:ea typeface="Calibri"/>
              <a:cs typeface="Times New Roman"/>
            </a:rPr>
            <a:t>Aparato Genitourinario: 2.290 egresos, 9,7%.</a:t>
          </a:r>
        </a:p>
        <a:p>
          <a:pPr algn="just">
            <a:spcAft>
              <a:spcPts val="0"/>
            </a:spcAft>
          </a:pPr>
          <a:r>
            <a:rPr lang="es-ES_tradnl" sz="1100">
              <a:effectLst/>
              <a:latin typeface="Arial"/>
              <a:ea typeface="Calibri"/>
              <a:cs typeface="Times New Roman"/>
            </a:rPr>
            <a:t>Aparato Circulatorio: 2.112 egresos, 9,7%.		</a:t>
          </a: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xdr:txBody>
    </xdr:sp>
    <xdr:clientData/>
  </xdr:twoCellAnchor>
  <xdr:twoCellAnchor editAs="oneCell">
    <xdr:from>
      <xdr:col>1</xdr:col>
      <xdr:colOff>723900</xdr:colOff>
      <xdr:row>1</xdr:row>
      <xdr:rowOff>114300</xdr:rowOff>
    </xdr:from>
    <xdr:to>
      <xdr:col>1</xdr:col>
      <xdr:colOff>1615440</xdr:colOff>
      <xdr:row>4</xdr:row>
      <xdr:rowOff>60960</xdr:rowOff>
    </xdr:to>
    <xdr:pic>
      <xdr:nvPicPr>
        <xdr:cNvPr id="4" name="3 Imagen" descr="logo gobierno"/>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16380" y="396240"/>
          <a:ext cx="891540" cy="594360"/>
        </a:xfrm>
        <a:prstGeom prst="rect">
          <a:avLst/>
        </a:prstGeom>
        <a:no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590550</xdr:colOff>
      <xdr:row>42</xdr:row>
      <xdr:rowOff>0</xdr:rowOff>
    </xdr:from>
    <xdr:to>
      <xdr:col>8</xdr:col>
      <xdr:colOff>200025</xdr:colOff>
      <xdr:row>59</xdr:row>
      <xdr:rowOff>0</xdr:rowOff>
    </xdr:to>
    <xdr:graphicFrame macro="">
      <xdr:nvGraphicFramePr>
        <xdr:cNvPr id="6554114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42</xdr:row>
      <xdr:rowOff>0</xdr:rowOff>
    </xdr:from>
    <xdr:to>
      <xdr:col>8</xdr:col>
      <xdr:colOff>200025</xdr:colOff>
      <xdr:row>59</xdr:row>
      <xdr:rowOff>0</xdr:rowOff>
    </xdr:to>
    <xdr:graphicFrame macro="">
      <xdr:nvGraphicFramePr>
        <xdr:cNvPr id="6554114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xdr:col>
      <xdr:colOff>371475</xdr:colOff>
      <xdr:row>101</xdr:row>
      <xdr:rowOff>19050</xdr:rowOff>
    </xdr:from>
    <xdr:to>
      <xdr:col>10</xdr:col>
      <xdr:colOff>114300</xdr:colOff>
      <xdr:row>116</xdr:row>
      <xdr:rowOff>152400</xdr:rowOff>
    </xdr:to>
    <xdr:graphicFrame macro="">
      <xdr:nvGraphicFramePr>
        <xdr:cNvPr id="655452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371475</xdr:colOff>
      <xdr:row>119</xdr:row>
      <xdr:rowOff>19050</xdr:rowOff>
    </xdr:from>
    <xdr:to>
      <xdr:col>10</xdr:col>
      <xdr:colOff>114300</xdr:colOff>
      <xdr:row>134</xdr:row>
      <xdr:rowOff>152400</xdr:rowOff>
    </xdr:to>
    <xdr:graphicFrame macro="">
      <xdr:nvGraphicFramePr>
        <xdr:cNvPr id="6554526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371475</xdr:colOff>
      <xdr:row>101</xdr:row>
      <xdr:rowOff>19050</xdr:rowOff>
    </xdr:from>
    <xdr:to>
      <xdr:col>10</xdr:col>
      <xdr:colOff>114300</xdr:colOff>
      <xdr:row>116</xdr:row>
      <xdr:rowOff>152400</xdr:rowOff>
    </xdr:to>
    <xdr:graphicFrame macro="">
      <xdr:nvGraphicFramePr>
        <xdr:cNvPr id="6554526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371475</xdr:colOff>
      <xdr:row>119</xdr:row>
      <xdr:rowOff>19050</xdr:rowOff>
    </xdr:from>
    <xdr:to>
      <xdr:col>10</xdr:col>
      <xdr:colOff>114300</xdr:colOff>
      <xdr:row>134</xdr:row>
      <xdr:rowOff>152400</xdr:rowOff>
    </xdr:to>
    <xdr:graphicFrame macro="">
      <xdr:nvGraphicFramePr>
        <xdr:cNvPr id="6554527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761999</xdr:colOff>
      <xdr:row>2</xdr:row>
      <xdr:rowOff>161924</xdr:rowOff>
    </xdr:from>
    <xdr:to>
      <xdr:col>10</xdr:col>
      <xdr:colOff>695325</xdr:colOff>
      <xdr:row>30</xdr:row>
      <xdr:rowOff>92869</xdr:rowOff>
    </xdr:to>
    <xdr:pic>
      <xdr:nvPicPr>
        <xdr:cNvPr id="2" name="Imagen 1"/>
        <xdr:cNvPicPr>
          <a:picLocks noChangeAspect="1"/>
        </xdr:cNvPicPr>
      </xdr:nvPicPr>
      <xdr:blipFill>
        <a:blip xmlns:r="http://schemas.openxmlformats.org/officeDocument/2006/relationships" r:embed="rId1"/>
        <a:stretch>
          <a:fillRect/>
        </a:stretch>
      </xdr:blipFill>
      <xdr:spPr>
        <a:xfrm>
          <a:off x="761999" y="485774"/>
          <a:ext cx="7553326" cy="566499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533400</xdr:colOff>
      <xdr:row>18</xdr:row>
      <xdr:rowOff>19050</xdr:rowOff>
    </xdr:from>
    <xdr:to>
      <xdr:col>9</xdr:col>
      <xdr:colOff>266700</xdr:colOff>
      <xdr:row>35</xdr:row>
      <xdr:rowOff>133350</xdr:rowOff>
    </xdr:to>
    <xdr:graphicFrame macro="">
      <xdr:nvGraphicFramePr>
        <xdr:cNvPr id="6554933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533400</xdr:colOff>
      <xdr:row>18</xdr:row>
      <xdr:rowOff>19050</xdr:rowOff>
    </xdr:from>
    <xdr:to>
      <xdr:col>9</xdr:col>
      <xdr:colOff>266700</xdr:colOff>
      <xdr:row>35</xdr:row>
      <xdr:rowOff>133350</xdr:rowOff>
    </xdr:to>
    <xdr:graphicFrame macro="">
      <xdr:nvGraphicFramePr>
        <xdr:cNvPr id="6554933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xdr:col>
      <xdr:colOff>0</xdr:colOff>
      <xdr:row>16</xdr:row>
      <xdr:rowOff>38100</xdr:rowOff>
    </xdr:from>
    <xdr:to>
      <xdr:col>19</xdr:col>
      <xdr:colOff>57150</xdr:colOff>
      <xdr:row>34</xdr:row>
      <xdr:rowOff>142875</xdr:rowOff>
    </xdr:to>
    <xdr:graphicFrame macro="">
      <xdr:nvGraphicFramePr>
        <xdr:cNvPr id="6542236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16</xdr:row>
      <xdr:rowOff>38100</xdr:rowOff>
    </xdr:from>
    <xdr:to>
      <xdr:col>19</xdr:col>
      <xdr:colOff>57150</xdr:colOff>
      <xdr:row>34</xdr:row>
      <xdr:rowOff>142875</xdr:rowOff>
    </xdr:to>
    <xdr:graphicFrame macro="">
      <xdr:nvGraphicFramePr>
        <xdr:cNvPr id="6542236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1019175</xdr:colOff>
      <xdr:row>24</xdr:row>
      <xdr:rowOff>28575</xdr:rowOff>
    </xdr:from>
    <xdr:to>
      <xdr:col>5</xdr:col>
      <xdr:colOff>190500</xdr:colOff>
      <xdr:row>35</xdr:row>
      <xdr:rowOff>247650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419100</xdr:colOff>
      <xdr:row>64</xdr:row>
      <xdr:rowOff>0</xdr:rowOff>
    </xdr:from>
    <xdr:to>
      <xdr:col>6</xdr:col>
      <xdr:colOff>628650</xdr:colOff>
      <xdr:row>80</xdr:row>
      <xdr:rowOff>123825</xdr:rowOff>
    </xdr:to>
    <xdr:graphicFrame macro="">
      <xdr:nvGraphicFramePr>
        <xdr:cNvPr id="6557009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419100</xdr:colOff>
      <xdr:row>85</xdr:row>
      <xdr:rowOff>0</xdr:rowOff>
    </xdr:from>
    <xdr:to>
      <xdr:col>6</xdr:col>
      <xdr:colOff>628650</xdr:colOff>
      <xdr:row>101</xdr:row>
      <xdr:rowOff>123825</xdr:rowOff>
    </xdr:to>
    <xdr:graphicFrame macro="">
      <xdr:nvGraphicFramePr>
        <xdr:cNvPr id="6557009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104775</xdr:colOff>
      <xdr:row>136</xdr:row>
      <xdr:rowOff>142875</xdr:rowOff>
    </xdr:from>
    <xdr:to>
      <xdr:col>3</xdr:col>
      <xdr:colOff>152400</xdr:colOff>
      <xdr:row>150</xdr:row>
      <xdr:rowOff>19050</xdr:rowOff>
    </xdr:to>
    <xdr:graphicFrame macro="">
      <xdr:nvGraphicFramePr>
        <xdr:cNvPr id="6557009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361950</xdr:colOff>
      <xdr:row>137</xdr:row>
      <xdr:rowOff>0</xdr:rowOff>
    </xdr:from>
    <xdr:to>
      <xdr:col>7</xdr:col>
      <xdr:colOff>571500</xdr:colOff>
      <xdr:row>150</xdr:row>
      <xdr:rowOff>9525</xdr:rowOff>
    </xdr:to>
    <xdr:graphicFrame macro="">
      <xdr:nvGraphicFramePr>
        <xdr:cNvPr id="6557009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104775</xdr:colOff>
      <xdr:row>153</xdr:row>
      <xdr:rowOff>142875</xdr:rowOff>
    </xdr:from>
    <xdr:to>
      <xdr:col>3</xdr:col>
      <xdr:colOff>152400</xdr:colOff>
      <xdr:row>167</xdr:row>
      <xdr:rowOff>19050</xdr:rowOff>
    </xdr:to>
    <xdr:graphicFrame macro="">
      <xdr:nvGraphicFramePr>
        <xdr:cNvPr id="6557009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361950</xdr:colOff>
      <xdr:row>154</xdr:row>
      <xdr:rowOff>0</xdr:rowOff>
    </xdr:from>
    <xdr:to>
      <xdr:col>7</xdr:col>
      <xdr:colOff>571500</xdr:colOff>
      <xdr:row>167</xdr:row>
      <xdr:rowOff>9525</xdr:rowOff>
    </xdr:to>
    <xdr:graphicFrame macro="">
      <xdr:nvGraphicFramePr>
        <xdr:cNvPr id="65570098"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104775</xdr:colOff>
      <xdr:row>209</xdr:row>
      <xdr:rowOff>142875</xdr:rowOff>
    </xdr:from>
    <xdr:to>
      <xdr:col>3</xdr:col>
      <xdr:colOff>152400</xdr:colOff>
      <xdr:row>223</xdr:row>
      <xdr:rowOff>19050</xdr:rowOff>
    </xdr:to>
    <xdr:graphicFrame macro="">
      <xdr:nvGraphicFramePr>
        <xdr:cNvPr id="65570099"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361950</xdr:colOff>
      <xdr:row>210</xdr:row>
      <xdr:rowOff>0</xdr:rowOff>
    </xdr:from>
    <xdr:to>
      <xdr:col>7</xdr:col>
      <xdr:colOff>571500</xdr:colOff>
      <xdr:row>223</xdr:row>
      <xdr:rowOff>9525</xdr:rowOff>
    </xdr:to>
    <xdr:graphicFrame macro="">
      <xdr:nvGraphicFramePr>
        <xdr:cNvPr id="65570100"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104775</xdr:colOff>
      <xdr:row>226</xdr:row>
      <xdr:rowOff>142875</xdr:rowOff>
    </xdr:from>
    <xdr:to>
      <xdr:col>3</xdr:col>
      <xdr:colOff>152400</xdr:colOff>
      <xdr:row>240</xdr:row>
      <xdr:rowOff>19050</xdr:rowOff>
    </xdr:to>
    <xdr:graphicFrame macro="">
      <xdr:nvGraphicFramePr>
        <xdr:cNvPr id="65570101"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361950</xdr:colOff>
      <xdr:row>227</xdr:row>
      <xdr:rowOff>0</xdr:rowOff>
    </xdr:from>
    <xdr:to>
      <xdr:col>7</xdr:col>
      <xdr:colOff>571500</xdr:colOff>
      <xdr:row>240</xdr:row>
      <xdr:rowOff>9525</xdr:rowOff>
    </xdr:to>
    <xdr:graphicFrame macro="">
      <xdr:nvGraphicFramePr>
        <xdr:cNvPr id="6557010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104775</xdr:colOff>
      <xdr:row>244</xdr:row>
      <xdr:rowOff>142875</xdr:rowOff>
    </xdr:from>
    <xdr:to>
      <xdr:col>3</xdr:col>
      <xdr:colOff>152400</xdr:colOff>
      <xdr:row>258</xdr:row>
      <xdr:rowOff>19050</xdr:rowOff>
    </xdr:to>
    <xdr:graphicFrame macro="">
      <xdr:nvGraphicFramePr>
        <xdr:cNvPr id="6557010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361950</xdr:colOff>
      <xdr:row>245</xdr:row>
      <xdr:rowOff>0</xdr:rowOff>
    </xdr:from>
    <xdr:to>
      <xdr:col>7</xdr:col>
      <xdr:colOff>571500</xdr:colOff>
      <xdr:row>258</xdr:row>
      <xdr:rowOff>9525</xdr:rowOff>
    </xdr:to>
    <xdr:graphicFrame macro="">
      <xdr:nvGraphicFramePr>
        <xdr:cNvPr id="65570104"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419100</xdr:colOff>
      <xdr:row>64</xdr:row>
      <xdr:rowOff>0</xdr:rowOff>
    </xdr:from>
    <xdr:to>
      <xdr:col>6</xdr:col>
      <xdr:colOff>628650</xdr:colOff>
      <xdr:row>80</xdr:row>
      <xdr:rowOff>123825</xdr:rowOff>
    </xdr:to>
    <xdr:graphicFrame macro="">
      <xdr:nvGraphicFramePr>
        <xdr:cNvPr id="6557010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419100</xdr:colOff>
      <xdr:row>85</xdr:row>
      <xdr:rowOff>0</xdr:rowOff>
    </xdr:from>
    <xdr:to>
      <xdr:col>6</xdr:col>
      <xdr:colOff>628650</xdr:colOff>
      <xdr:row>101</xdr:row>
      <xdr:rowOff>123825</xdr:rowOff>
    </xdr:to>
    <xdr:graphicFrame macro="">
      <xdr:nvGraphicFramePr>
        <xdr:cNvPr id="6557010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104775</xdr:colOff>
      <xdr:row>136</xdr:row>
      <xdr:rowOff>142875</xdr:rowOff>
    </xdr:from>
    <xdr:to>
      <xdr:col>3</xdr:col>
      <xdr:colOff>152400</xdr:colOff>
      <xdr:row>150</xdr:row>
      <xdr:rowOff>19050</xdr:rowOff>
    </xdr:to>
    <xdr:graphicFrame macro="">
      <xdr:nvGraphicFramePr>
        <xdr:cNvPr id="6557010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361950</xdr:colOff>
      <xdr:row>137</xdr:row>
      <xdr:rowOff>0</xdr:rowOff>
    </xdr:from>
    <xdr:to>
      <xdr:col>7</xdr:col>
      <xdr:colOff>571500</xdr:colOff>
      <xdr:row>150</xdr:row>
      <xdr:rowOff>9525</xdr:rowOff>
    </xdr:to>
    <xdr:graphicFrame macro="">
      <xdr:nvGraphicFramePr>
        <xdr:cNvPr id="6557010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104775</xdr:colOff>
      <xdr:row>153</xdr:row>
      <xdr:rowOff>142875</xdr:rowOff>
    </xdr:from>
    <xdr:to>
      <xdr:col>3</xdr:col>
      <xdr:colOff>152400</xdr:colOff>
      <xdr:row>167</xdr:row>
      <xdr:rowOff>19050</xdr:rowOff>
    </xdr:to>
    <xdr:graphicFrame macro="">
      <xdr:nvGraphicFramePr>
        <xdr:cNvPr id="6557010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361950</xdr:colOff>
      <xdr:row>154</xdr:row>
      <xdr:rowOff>0</xdr:rowOff>
    </xdr:from>
    <xdr:to>
      <xdr:col>7</xdr:col>
      <xdr:colOff>571500</xdr:colOff>
      <xdr:row>167</xdr:row>
      <xdr:rowOff>9525</xdr:rowOff>
    </xdr:to>
    <xdr:graphicFrame macro="">
      <xdr:nvGraphicFramePr>
        <xdr:cNvPr id="6557011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104775</xdr:colOff>
      <xdr:row>209</xdr:row>
      <xdr:rowOff>142875</xdr:rowOff>
    </xdr:from>
    <xdr:to>
      <xdr:col>3</xdr:col>
      <xdr:colOff>152400</xdr:colOff>
      <xdr:row>223</xdr:row>
      <xdr:rowOff>19050</xdr:rowOff>
    </xdr:to>
    <xdr:graphicFrame macro="">
      <xdr:nvGraphicFramePr>
        <xdr:cNvPr id="65570111"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xdr:col>
      <xdr:colOff>361950</xdr:colOff>
      <xdr:row>210</xdr:row>
      <xdr:rowOff>0</xdr:rowOff>
    </xdr:from>
    <xdr:to>
      <xdr:col>7</xdr:col>
      <xdr:colOff>571500</xdr:colOff>
      <xdr:row>223</xdr:row>
      <xdr:rowOff>9525</xdr:rowOff>
    </xdr:to>
    <xdr:graphicFrame macro="">
      <xdr:nvGraphicFramePr>
        <xdr:cNvPr id="6557011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104775</xdr:colOff>
      <xdr:row>226</xdr:row>
      <xdr:rowOff>142875</xdr:rowOff>
    </xdr:from>
    <xdr:to>
      <xdr:col>3</xdr:col>
      <xdr:colOff>152400</xdr:colOff>
      <xdr:row>240</xdr:row>
      <xdr:rowOff>19050</xdr:rowOff>
    </xdr:to>
    <xdr:graphicFrame macro="">
      <xdr:nvGraphicFramePr>
        <xdr:cNvPr id="65570113"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361950</xdr:colOff>
      <xdr:row>227</xdr:row>
      <xdr:rowOff>0</xdr:rowOff>
    </xdr:from>
    <xdr:to>
      <xdr:col>7</xdr:col>
      <xdr:colOff>571500</xdr:colOff>
      <xdr:row>240</xdr:row>
      <xdr:rowOff>9525</xdr:rowOff>
    </xdr:to>
    <xdr:graphicFrame macro="">
      <xdr:nvGraphicFramePr>
        <xdr:cNvPr id="6557011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104775</xdr:colOff>
      <xdr:row>244</xdr:row>
      <xdr:rowOff>142875</xdr:rowOff>
    </xdr:from>
    <xdr:to>
      <xdr:col>3</xdr:col>
      <xdr:colOff>152400</xdr:colOff>
      <xdr:row>258</xdr:row>
      <xdr:rowOff>19050</xdr:rowOff>
    </xdr:to>
    <xdr:graphicFrame macro="">
      <xdr:nvGraphicFramePr>
        <xdr:cNvPr id="6557011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xdr:col>
      <xdr:colOff>361950</xdr:colOff>
      <xdr:row>245</xdr:row>
      <xdr:rowOff>0</xdr:rowOff>
    </xdr:from>
    <xdr:to>
      <xdr:col>7</xdr:col>
      <xdr:colOff>571500</xdr:colOff>
      <xdr:row>258</xdr:row>
      <xdr:rowOff>9525</xdr:rowOff>
    </xdr:to>
    <xdr:graphicFrame macro="">
      <xdr:nvGraphicFramePr>
        <xdr:cNvPr id="65570116"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37</xdr:row>
      <xdr:rowOff>9525</xdr:rowOff>
    </xdr:from>
    <xdr:to>
      <xdr:col>5</xdr:col>
      <xdr:colOff>781050</xdr:colOff>
      <xdr:row>52</xdr:row>
      <xdr:rowOff>95250</xdr:rowOff>
    </xdr:to>
    <xdr:graphicFrame macro="">
      <xdr:nvGraphicFramePr>
        <xdr:cNvPr id="655841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xdr:col>
      <xdr:colOff>38100</xdr:colOff>
      <xdr:row>30</xdr:row>
      <xdr:rowOff>31749</xdr:rowOff>
    </xdr:from>
    <xdr:to>
      <xdr:col>7</xdr:col>
      <xdr:colOff>88900</xdr:colOff>
      <xdr:row>43</xdr:row>
      <xdr:rowOff>95249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48</xdr:row>
      <xdr:rowOff>31748</xdr:rowOff>
    </xdr:from>
    <xdr:to>
      <xdr:col>7</xdr:col>
      <xdr:colOff>88900</xdr:colOff>
      <xdr:row>66</xdr:row>
      <xdr:rowOff>38099</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38100</xdr:colOff>
      <xdr:row>70</xdr:row>
      <xdr:rowOff>31748</xdr:rowOff>
    </xdr:from>
    <xdr:to>
      <xdr:col>7</xdr:col>
      <xdr:colOff>88900</xdr:colOff>
      <xdr:row>88</xdr:row>
      <xdr:rowOff>38099</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38100</xdr:colOff>
      <xdr:row>92</xdr:row>
      <xdr:rowOff>31748</xdr:rowOff>
    </xdr:from>
    <xdr:to>
      <xdr:col>7</xdr:col>
      <xdr:colOff>88900</xdr:colOff>
      <xdr:row>110</xdr:row>
      <xdr:rowOff>38099</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600075</xdr:colOff>
      <xdr:row>85</xdr:row>
      <xdr:rowOff>142875</xdr:rowOff>
    </xdr:from>
    <xdr:to>
      <xdr:col>7</xdr:col>
      <xdr:colOff>123825</xdr:colOff>
      <xdr:row>103</xdr:row>
      <xdr:rowOff>152400</xdr:rowOff>
    </xdr:to>
    <xdr:graphicFrame macro="">
      <xdr:nvGraphicFramePr>
        <xdr:cNvPr id="6558827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714375</xdr:colOff>
      <xdr:row>88</xdr:row>
      <xdr:rowOff>95250</xdr:rowOff>
    </xdr:from>
    <xdr:to>
      <xdr:col>1</xdr:col>
      <xdr:colOff>9525</xdr:colOff>
      <xdr:row>89</xdr:row>
      <xdr:rowOff>95250</xdr:rowOff>
    </xdr:to>
    <xdr:sp macro="" textlink="">
      <xdr:nvSpPr>
        <xdr:cNvPr id="59394" name="Rectangle 2"/>
        <xdr:cNvSpPr>
          <a:spLocks noChangeArrowheads="1"/>
        </xdr:cNvSpPr>
      </xdr:nvSpPr>
      <xdr:spPr bwMode="auto">
        <a:xfrm>
          <a:off x="714375" y="17011650"/>
          <a:ext cx="209550" cy="161925"/>
        </a:xfrm>
        <a:prstGeom prst="rect">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es-ES" sz="1200" b="0" i="0" strike="noStrike">
              <a:solidFill>
                <a:srgbClr val="000000"/>
              </a:solidFill>
              <a:latin typeface="Arial"/>
              <a:cs typeface="Arial"/>
            </a:rPr>
            <a:t>%</a:t>
          </a:r>
        </a:p>
      </xdr:txBody>
    </xdr:sp>
    <xdr:clientData/>
  </xdr:twoCellAnchor>
  <xdr:twoCellAnchor>
    <xdr:from>
      <xdr:col>0</xdr:col>
      <xdr:colOff>600075</xdr:colOff>
      <xdr:row>85</xdr:row>
      <xdr:rowOff>142875</xdr:rowOff>
    </xdr:from>
    <xdr:to>
      <xdr:col>7</xdr:col>
      <xdr:colOff>123825</xdr:colOff>
      <xdr:row>103</xdr:row>
      <xdr:rowOff>152400</xdr:rowOff>
    </xdr:to>
    <xdr:graphicFrame macro="">
      <xdr:nvGraphicFramePr>
        <xdr:cNvPr id="6558827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723900</xdr:colOff>
      <xdr:row>87</xdr:row>
      <xdr:rowOff>47625</xdr:rowOff>
    </xdr:from>
    <xdr:to>
      <xdr:col>1</xdr:col>
      <xdr:colOff>19050</xdr:colOff>
      <xdr:row>88</xdr:row>
      <xdr:rowOff>47625</xdr:rowOff>
    </xdr:to>
    <xdr:sp macro="" textlink="">
      <xdr:nvSpPr>
        <xdr:cNvPr id="2" name="Rectangle 2"/>
        <xdr:cNvSpPr>
          <a:spLocks noChangeArrowheads="1"/>
        </xdr:cNvSpPr>
      </xdr:nvSpPr>
      <xdr:spPr bwMode="auto">
        <a:xfrm>
          <a:off x="723900" y="18154650"/>
          <a:ext cx="209550" cy="161925"/>
        </a:xfrm>
        <a:prstGeom prst="rect">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es-ES" sz="1200" b="0" i="0" strike="noStrike">
              <a:solidFill>
                <a:srgbClr val="000000"/>
              </a:solidFill>
              <a:latin typeface="Arial"/>
              <a:cs typeface="Arial"/>
            </a:rPr>
            <a:t>%</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415925</xdr:colOff>
      <xdr:row>54</xdr:row>
      <xdr:rowOff>66675</xdr:rowOff>
    </xdr:from>
    <xdr:to>
      <xdr:col>10</xdr:col>
      <xdr:colOff>282575</xdr:colOff>
      <xdr:row>74</xdr:row>
      <xdr:rowOff>88900</xdr:rowOff>
    </xdr:to>
    <xdr:graphicFrame macro="">
      <xdr:nvGraphicFramePr>
        <xdr:cNvPr id="6559029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xdr:col>
      <xdr:colOff>0</xdr:colOff>
      <xdr:row>15</xdr:row>
      <xdr:rowOff>9525</xdr:rowOff>
    </xdr:from>
    <xdr:to>
      <xdr:col>12</xdr:col>
      <xdr:colOff>219075</xdr:colOff>
      <xdr:row>39</xdr:row>
      <xdr:rowOff>152400</xdr:rowOff>
    </xdr:to>
    <xdr:graphicFrame macro="">
      <xdr:nvGraphicFramePr>
        <xdr:cNvPr id="6559337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15</xdr:row>
      <xdr:rowOff>9525</xdr:rowOff>
    </xdr:from>
    <xdr:to>
      <xdr:col>12</xdr:col>
      <xdr:colOff>219075</xdr:colOff>
      <xdr:row>39</xdr:row>
      <xdr:rowOff>152400</xdr:rowOff>
    </xdr:to>
    <xdr:graphicFrame macro="">
      <xdr:nvGraphicFramePr>
        <xdr:cNvPr id="6559337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0.22317</cdr:x>
      <cdr:y>0.66433</cdr:y>
    </cdr:from>
    <cdr:to>
      <cdr:x>0.23426</cdr:x>
      <cdr:y>0.71316</cdr:y>
    </cdr:to>
    <cdr:sp macro="" textlink="">
      <cdr:nvSpPr>
        <cdr:cNvPr id="64513" name="Texto 1"/>
        <cdr:cNvSpPr txBox="1">
          <a:spLocks xmlns:a="http://schemas.openxmlformats.org/drawingml/2006/main" noChangeArrowheads="1"/>
        </cdr:cNvSpPr>
      </cdr:nvSpPr>
      <cdr:spPr bwMode="auto">
        <a:xfrm xmlns:a="http://schemas.openxmlformats.org/drawingml/2006/main">
          <a:off x="1527268" y="2717769"/>
          <a:ext cx="75759"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0.25398</cdr:x>
      <cdr:y>0.73563</cdr:y>
    </cdr:from>
    <cdr:to>
      <cdr:x>0.26507</cdr:x>
      <cdr:y>0.78446</cdr:y>
    </cdr:to>
    <cdr:sp macro="" textlink="">
      <cdr:nvSpPr>
        <cdr:cNvPr id="64514" name="Texto 2"/>
        <cdr:cNvSpPr txBox="1">
          <a:spLocks xmlns:a="http://schemas.openxmlformats.org/drawingml/2006/main" noChangeArrowheads="1"/>
        </cdr:cNvSpPr>
      </cdr:nvSpPr>
      <cdr:spPr bwMode="auto">
        <a:xfrm xmlns:a="http://schemas.openxmlformats.org/drawingml/2006/main">
          <a:off x="1737711" y="3009110"/>
          <a:ext cx="75759"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0.3018</cdr:x>
      <cdr:y>0.76151</cdr:y>
    </cdr:from>
    <cdr:to>
      <cdr:x>0.3129</cdr:x>
      <cdr:y>0.81034</cdr:y>
    </cdr:to>
    <cdr:sp macro="" textlink="">
      <cdr:nvSpPr>
        <cdr:cNvPr id="64515" name="Texto 4"/>
        <cdr:cNvSpPr txBox="1">
          <a:spLocks xmlns:a="http://schemas.openxmlformats.org/drawingml/2006/main" noChangeArrowheads="1"/>
        </cdr:cNvSpPr>
      </cdr:nvSpPr>
      <cdr:spPr bwMode="auto">
        <a:xfrm xmlns:a="http://schemas.openxmlformats.org/drawingml/2006/main">
          <a:off x="2064318" y="3114871"/>
          <a:ext cx="75760"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0.30624</cdr:x>
      <cdr:y>0.71292</cdr:y>
    </cdr:from>
    <cdr:to>
      <cdr:x>0.31733</cdr:x>
      <cdr:y>0.76175</cdr:y>
    </cdr:to>
    <cdr:sp macro="" textlink="">
      <cdr:nvSpPr>
        <cdr:cNvPr id="64516" name="Texto 5"/>
        <cdr:cNvSpPr txBox="1">
          <a:spLocks xmlns:a="http://schemas.openxmlformats.org/drawingml/2006/main" noChangeArrowheads="1"/>
        </cdr:cNvSpPr>
      </cdr:nvSpPr>
      <cdr:spPr bwMode="auto">
        <a:xfrm xmlns:a="http://schemas.openxmlformats.org/drawingml/2006/main">
          <a:off x="2094622" y="2916320"/>
          <a:ext cx="75760"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0.06688</cdr:x>
      <cdr:y>0.53028</cdr:y>
    </cdr:from>
    <cdr:to>
      <cdr:x>0.07797</cdr:x>
      <cdr:y>0.57447</cdr:y>
    </cdr:to>
    <cdr:sp macro="" textlink="">
      <cdr:nvSpPr>
        <cdr:cNvPr id="64517" name="Texto 6"/>
        <cdr:cNvSpPr txBox="1">
          <a:spLocks xmlns:a="http://schemas.openxmlformats.org/drawingml/2006/main" noChangeArrowheads="1"/>
        </cdr:cNvSpPr>
      </cdr:nvSpPr>
      <cdr:spPr bwMode="auto">
        <a:xfrm xmlns:a="http://schemas.openxmlformats.org/drawingml/2006/main">
          <a:off x="459901" y="2170008"/>
          <a:ext cx="75760" cy="180591"/>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userShapes>
</file>

<file path=xl/drawings/drawing5.xml><?xml version="1.0" encoding="utf-8"?>
<xdr:wsDr xmlns:xdr="http://schemas.openxmlformats.org/drawingml/2006/spreadsheetDrawing" xmlns:a="http://schemas.openxmlformats.org/drawingml/2006/main">
  <xdr:twoCellAnchor>
    <xdr:from>
      <xdr:col>2</xdr:col>
      <xdr:colOff>28575</xdr:colOff>
      <xdr:row>8</xdr:row>
      <xdr:rowOff>95250</xdr:rowOff>
    </xdr:from>
    <xdr:to>
      <xdr:col>4</xdr:col>
      <xdr:colOff>200025</xdr:colOff>
      <xdr:row>8</xdr:row>
      <xdr:rowOff>95250</xdr:rowOff>
    </xdr:to>
    <xdr:sp macro="" textlink="">
      <xdr:nvSpPr>
        <xdr:cNvPr id="66178980" name="Line 2"/>
        <xdr:cNvSpPr>
          <a:spLocks noChangeShapeType="1"/>
        </xdr:cNvSpPr>
      </xdr:nvSpPr>
      <xdr:spPr bwMode="auto">
        <a:xfrm>
          <a:off x="1276350" y="1543050"/>
          <a:ext cx="1381125" cy="0"/>
        </a:xfrm>
        <a:prstGeom prst="line">
          <a:avLst/>
        </a:prstGeom>
        <a:noFill/>
        <a:ln w="9525">
          <a:solidFill>
            <a:srgbClr val="000000"/>
          </a:solidFill>
          <a:round/>
          <a:headEnd/>
          <a:tailEnd/>
        </a:ln>
      </xdr:spPr>
    </xdr:sp>
    <xdr:clientData/>
  </xdr:twoCellAnchor>
  <xdr:twoCellAnchor>
    <xdr:from>
      <xdr:col>4</xdr:col>
      <xdr:colOff>209550</xdr:colOff>
      <xdr:row>8</xdr:row>
      <xdr:rowOff>85725</xdr:rowOff>
    </xdr:from>
    <xdr:to>
      <xdr:col>4</xdr:col>
      <xdr:colOff>209550</xdr:colOff>
      <xdr:row>11</xdr:row>
      <xdr:rowOff>85725</xdr:rowOff>
    </xdr:to>
    <xdr:sp macro="" textlink="">
      <xdr:nvSpPr>
        <xdr:cNvPr id="66178981" name="Line 15"/>
        <xdr:cNvSpPr>
          <a:spLocks noChangeShapeType="1"/>
        </xdr:cNvSpPr>
      </xdr:nvSpPr>
      <xdr:spPr bwMode="auto">
        <a:xfrm>
          <a:off x="2667000" y="1533525"/>
          <a:ext cx="0" cy="485775"/>
        </a:xfrm>
        <a:prstGeom prst="line">
          <a:avLst/>
        </a:prstGeom>
        <a:noFill/>
        <a:ln w="9525">
          <a:solidFill>
            <a:srgbClr val="000000"/>
          </a:solidFill>
          <a:round/>
          <a:headEnd/>
          <a:tailEnd/>
        </a:ln>
      </xdr:spPr>
    </xdr:sp>
    <xdr:clientData/>
  </xdr:twoCellAnchor>
  <xdr:twoCellAnchor>
    <xdr:from>
      <xdr:col>2</xdr:col>
      <xdr:colOff>361950</xdr:colOff>
      <xdr:row>14</xdr:row>
      <xdr:rowOff>85725</xdr:rowOff>
    </xdr:from>
    <xdr:to>
      <xdr:col>3</xdr:col>
      <xdr:colOff>0</xdr:colOff>
      <xdr:row>14</xdr:row>
      <xdr:rowOff>85725</xdr:rowOff>
    </xdr:to>
    <xdr:sp macro="" textlink="">
      <xdr:nvSpPr>
        <xdr:cNvPr id="66178982" name="Line 17"/>
        <xdr:cNvSpPr>
          <a:spLocks noChangeShapeType="1"/>
        </xdr:cNvSpPr>
      </xdr:nvSpPr>
      <xdr:spPr bwMode="auto">
        <a:xfrm>
          <a:off x="1590675" y="2505075"/>
          <a:ext cx="0" cy="0"/>
        </a:xfrm>
        <a:prstGeom prst="line">
          <a:avLst/>
        </a:prstGeom>
        <a:noFill/>
        <a:ln w="9525">
          <a:solidFill>
            <a:srgbClr val="000000"/>
          </a:solidFill>
          <a:round/>
          <a:headEnd/>
          <a:tailEnd/>
        </a:ln>
      </xdr:spPr>
    </xdr:sp>
    <xdr:clientData/>
  </xdr:twoCellAnchor>
  <xdr:twoCellAnchor>
    <xdr:from>
      <xdr:col>6</xdr:col>
      <xdr:colOff>9525</xdr:colOff>
      <xdr:row>14</xdr:row>
      <xdr:rowOff>85725</xdr:rowOff>
    </xdr:from>
    <xdr:to>
      <xdr:col>6</xdr:col>
      <xdr:colOff>361950</xdr:colOff>
      <xdr:row>14</xdr:row>
      <xdr:rowOff>85725</xdr:rowOff>
    </xdr:to>
    <xdr:sp macro="" textlink="">
      <xdr:nvSpPr>
        <xdr:cNvPr id="66178983" name="Line 19"/>
        <xdr:cNvSpPr>
          <a:spLocks noChangeShapeType="1"/>
        </xdr:cNvSpPr>
      </xdr:nvSpPr>
      <xdr:spPr bwMode="auto">
        <a:xfrm>
          <a:off x="3981450" y="2505075"/>
          <a:ext cx="352425" cy="0"/>
        </a:xfrm>
        <a:prstGeom prst="line">
          <a:avLst/>
        </a:prstGeom>
        <a:noFill/>
        <a:ln w="9525">
          <a:solidFill>
            <a:srgbClr val="000000"/>
          </a:solidFill>
          <a:round/>
          <a:headEnd/>
          <a:tailEnd/>
        </a:ln>
      </xdr:spPr>
    </xdr:sp>
    <xdr:clientData/>
  </xdr:twoCellAnchor>
  <xdr:twoCellAnchor>
    <xdr:from>
      <xdr:col>6</xdr:col>
      <xdr:colOff>9525</xdr:colOff>
      <xdr:row>20</xdr:row>
      <xdr:rowOff>85725</xdr:rowOff>
    </xdr:from>
    <xdr:to>
      <xdr:col>6</xdr:col>
      <xdr:colOff>361950</xdr:colOff>
      <xdr:row>20</xdr:row>
      <xdr:rowOff>85725</xdr:rowOff>
    </xdr:to>
    <xdr:sp macro="" textlink="">
      <xdr:nvSpPr>
        <xdr:cNvPr id="66178984" name="Line 24"/>
        <xdr:cNvSpPr>
          <a:spLocks noChangeShapeType="1"/>
        </xdr:cNvSpPr>
      </xdr:nvSpPr>
      <xdr:spPr bwMode="auto">
        <a:xfrm>
          <a:off x="3981450" y="3476625"/>
          <a:ext cx="352425" cy="0"/>
        </a:xfrm>
        <a:prstGeom prst="line">
          <a:avLst/>
        </a:prstGeom>
        <a:noFill/>
        <a:ln w="9525">
          <a:solidFill>
            <a:srgbClr val="000000"/>
          </a:solidFill>
          <a:round/>
          <a:headEnd/>
          <a:tailEnd/>
        </a:ln>
      </xdr:spPr>
    </xdr:sp>
    <xdr:clientData/>
  </xdr:twoCellAnchor>
  <xdr:twoCellAnchor>
    <xdr:from>
      <xdr:col>10</xdr:col>
      <xdr:colOff>9525</xdr:colOff>
      <xdr:row>17</xdr:row>
      <xdr:rowOff>85725</xdr:rowOff>
    </xdr:from>
    <xdr:to>
      <xdr:col>10</xdr:col>
      <xdr:colOff>409575</xdr:colOff>
      <xdr:row>17</xdr:row>
      <xdr:rowOff>85725</xdr:rowOff>
    </xdr:to>
    <xdr:sp macro="" textlink="">
      <xdr:nvSpPr>
        <xdr:cNvPr id="66178985" name="Line 26"/>
        <xdr:cNvSpPr>
          <a:spLocks noChangeShapeType="1"/>
        </xdr:cNvSpPr>
      </xdr:nvSpPr>
      <xdr:spPr bwMode="auto">
        <a:xfrm>
          <a:off x="5962650" y="2990850"/>
          <a:ext cx="400050" cy="0"/>
        </a:xfrm>
        <a:prstGeom prst="line">
          <a:avLst/>
        </a:prstGeom>
        <a:noFill/>
        <a:ln w="9525">
          <a:solidFill>
            <a:srgbClr val="000000"/>
          </a:solidFill>
          <a:round/>
          <a:headEnd/>
          <a:tailEnd/>
        </a:ln>
      </xdr:spPr>
    </xdr:sp>
    <xdr:clientData/>
  </xdr:twoCellAnchor>
  <xdr:twoCellAnchor>
    <xdr:from>
      <xdr:col>6</xdr:col>
      <xdr:colOff>9525</xdr:colOff>
      <xdr:row>9</xdr:row>
      <xdr:rowOff>85725</xdr:rowOff>
    </xdr:from>
    <xdr:to>
      <xdr:col>6</xdr:col>
      <xdr:colOff>361950</xdr:colOff>
      <xdr:row>9</xdr:row>
      <xdr:rowOff>85725</xdr:rowOff>
    </xdr:to>
    <xdr:sp macro="" textlink="">
      <xdr:nvSpPr>
        <xdr:cNvPr id="66178986" name="Line 27"/>
        <xdr:cNvSpPr>
          <a:spLocks noChangeShapeType="1"/>
        </xdr:cNvSpPr>
      </xdr:nvSpPr>
      <xdr:spPr bwMode="auto">
        <a:xfrm>
          <a:off x="3981450" y="1695450"/>
          <a:ext cx="352425" cy="0"/>
        </a:xfrm>
        <a:prstGeom prst="line">
          <a:avLst/>
        </a:prstGeom>
        <a:noFill/>
        <a:ln w="9525">
          <a:solidFill>
            <a:srgbClr val="000000"/>
          </a:solidFill>
          <a:round/>
          <a:headEnd/>
          <a:tailEnd/>
        </a:ln>
      </xdr:spPr>
    </xdr:sp>
    <xdr:clientData/>
  </xdr:twoCellAnchor>
  <xdr:twoCellAnchor>
    <xdr:from>
      <xdr:col>8</xdr:col>
      <xdr:colOff>9525</xdr:colOff>
      <xdr:row>9</xdr:row>
      <xdr:rowOff>85725</xdr:rowOff>
    </xdr:from>
    <xdr:to>
      <xdr:col>12</xdr:col>
      <xdr:colOff>0</xdr:colOff>
      <xdr:row>9</xdr:row>
      <xdr:rowOff>85725</xdr:rowOff>
    </xdr:to>
    <xdr:sp macro="" textlink="">
      <xdr:nvSpPr>
        <xdr:cNvPr id="66178987" name="Line 28"/>
        <xdr:cNvSpPr>
          <a:spLocks noChangeShapeType="1"/>
        </xdr:cNvSpPr>
      </xdr:nvSpPr>
      <xdr:spPr bwMode="auto">
        <a:xfrm>
          <a:off x="4505325" y="1695450"/>
          <a:ext cx="2038350" cy="0"/>
        </a:xfrm>
        <a:prstGeom prst="line">
          <a:avLst/>
        </a:prstGeom>
        <a:noFill/>
        <a:ln w="9525">
          <a:solidFill>
            <a:srgbClr val="000000"/>
          </a:solidFill>
          <a:round/>
          <a:headEnd/>
          <a:tailEnd/>
        </a:ln>
      </xdr:spPr>
    </xdr:sp>
    <xdr:clientData/>
  </xdr:twoCellAnchor>
  <xdr:twoCellAnchor>
    <xdr:from>
      <xdr:col>13</xdr:col>
      <xdr:colOff>9525</xdr:colOff>
      <xdr:row>9</xdr:row>
      <xdr:rowOff>85725</xdr:rowOff>
    </xdr:from>
    <xdr:to>
      <xdr:col>13</xdr:col>
      <xdr:colOff>228600</xdr:colOff>
      <xdr:row>9</xdr:row>
      <xdr:rowOff>85725</xdr:rowOff>
    </xdr:to>
    <xdr:sp macro="" textlink="">
      <xdr:nvSpPr>
        <xdr:cNvPr id="66178988" name="Line 29"/>
        <xdr:cNvSpPr>
          <a:spLocks noChangeShapeType="1"/>
        </xdr:cNvSpPr>
      </xdr:nvSpPr>
      <xdr:spPr bwMode="auto">
        <a:xfrm>
          <a:off x="7267575" y="1695450"/>
          <a:ext cx="219075" cy="0"/>
        </a:xfrm>
        <a:prstGeom prst="line">
          <a:avLst/>
        </a:prstGeom>
        <a:noFill/>
        <a:ln w="9525">
          <a:solidFill>
            <a:srgbClr val="000000"/>
          </a:solidFill>
          <a:round/>
          <a:headEnd/>
          <a:tailEnd/>
        </a:ln>
      </xdr:spPr>
    </xdr:sp>
    <xdr:clientData/>
  </xdr:twoCellAnchor>
  <xdr:twoCellAnchor>
    <xdr:from>
      <xdr:col>6</xdr:col>
      <xdr:colOff>9525</xdr:colOff>
      <xdr:row>23</xdr:row>
      <xdr:rowOff>85725</xdr:rowOff>
    </xdr:from>
    <xdr:to>
      <xdr:col>6</xdr:col>
      <xdr:colOff>361950</xdr:colOff>
      <xdr:row>23</xdr:row>
      <xdr:rowOff>85725</xdr:rowOff>
    </xdr:to>
    <xdr:sp macro="" textlink="">
      <xdr:nvSpPr>
        <xdr:cNvPr id="66178989" name="Line 31"/>
        <xdr:cNvSpPr>
          <a:spLocks noChangeShapeType="1"/>
        </xdr:cNvSpPr>
      </xdr:nvSpPr>
      <xdr:spPr bwMode="auto">
        <a:xfrm>
          <a:off x="3981450" y="3962400"/>
          <a:ext cx="352425" cy="0"/>
        </a:xfrm>
        <a:prstGeom prst="line">
          <a:avLst/>
        </a:prstGeom>
        <a:noFill/>
        <a:ln w="9525">
          <a:solidFill>
            <a:srgbClr val="000000"/>
          </a:solidFill>
          <a:round/>
          <a:headEnd/>
          <a:tailEnd/>
        </a:ln>
      </xdr:spPr>
    </xdr:sp>
    <xdr:clientData/>
  </xdr:twoCellAnchor>
  <xdr:twoCellAnchor>
    <xdr:from>
      <xdr:col>8</xdr:col>
      <xdr:colOff>9525</xdr:colOff>
      <xdr:row>23</xdr:row>
      <xdr:rowOff>85725</xdr:rowOff>
    </xdr:from>
    <xdr:to>
      <xdr:col>8</xdr:col>
      <xdr:colOff>428625</xdr:colOff>
      <xdr:row>23</xdr:row>
      <xdr:rowOff>85725</xdr:rowOff>
    </xdr:to>
    <xdr:sp macro="" textlink="">
      <xdr:nvSpPr>
        <xdr:cNvPr id="66178990" name="Line 32"/>
        <xdr:cNvSpPr>
          <a:spLocks noChangeShapeType="1"/>
        </xdr:cNvSpPr>
      </xdr:nvSpPr>
      <xdr:spPr bwMode="auto">
        <a:xfrm>
          <a:off x="4505325" y="3962400"/>
          <a:ext cx="419100" cy="0"/>
        </a:xfrm>
        <a:prstGeom prst="line">
          <a:avLst/>
        </a:prstGeom>
        <a:noFill/>
        <a:ln w="9525">
          <a:solidFill>
            <a:srgbClr val="000000"/>
          </a:solidFill>
          <a:round/>
          <a:headEnd/>
          <a:tailEnd/>
        </a:ln>
      </xdr:spPr>
    </xdr:sp>
    <xdr:clientData/>
  </xdr:twoCellAnchor>
  <xdr:twoCellAnchor>
    <xdr:from>
      <xdr:col>2</xdr:col>
      <xdr:colOff>361950</xdr:colOff>
      <xdr:row>23</xdr:row>
      <xdr:rowOff>85725</xdr:rowOff>
    </xdr:from>
    <xdr:to>
      <xdr:col>3</xdr:col>
      <xdr:colOff>0</xdr:colOff>
      <xdr:row>23</xdr:row>
      <xdr:rowOff>85725</xdr:rowOff>
    </xdr:to>
    <xdr:sp macro="" textlink="">
      <xdr:nvSpPr>
        <xdr:cNvPr id="66178991" name="Line 33"/>
        <xdr:cNvSpPr>
          <a:spLocks noChangeShapeType="1"/>
        </xdr:cNvSpPr>
      </xdr:nvSpPr>
      <xdr:spPr bwMode="auto">
        <a:xfrm>
          <a:off x="1590675" y="3962400"/>
          <a:ext cx="0" cy="0"/>
        </a:xfrm>
        <a:prstGeom prst="line">
          <a:avLst/>
        </a:prstGeom>
        <a:noFill/>
        <a:ln w="9525">
          <a:solidFill>
            <a:srgbClr val="000000"/>
          </a:solidFill>
          <a:round/>
          <a:headEnd/>
          <a:tailEnd/>
        </a:ln>
      </xdr:spPr>
    </xdr:sp>
    <xdr:clientData/>
  </xdr:twoCellAnchor>
  <xdr:twoCellAnchor>
    <xdr:from>
      <xdr:col>2</xdr:col>
      <xdr:colOff>361950</xdr:colOff>
      <xdr:row>26</xdr:row>
      <xdr:rowOff>85725</xdr:rowOff>
    </xdr:from>
    <xdr:to>
      <xdr:col>3</xdr:col>
      <xdr:colOff>0</xdr:colOff>
      <xdr:row>26</xdr:row>
      <xdr:rowOff>85725</xdr:rowOff>
    </xdr:to>
    <xdr:sp macro="" textlink="">
      <xdr:nvSpPr>
        <xdr:cNvPr id="66178992" name="Line 35"/>
        <xdr:cNvSpPr>
          <a:spLocks noChangeShapeType="1"/>
        </xdr:cNvSpPr>
      </xdr:nvSpPr>
      <xdr:spPr bwMode="auto">
        <a:xfrm>
          <a:off x="1590675" y="4448175"/>
          <a:ext cx="0" cy="0"/>
        </a:xfrm>
        <a:prstGeom prst="line">
          <a:avLst/>
        </a:prstGeom>
        <a:noFill/>
        <a:ln w="9525">
          <a:solidFill>
            <a:srgbClr val="000000"/>
          </a:solidFill>
          <a:round/>
          <a:headEnd/>
          <a:tailEnd/>
        </a:ln>
      </xdr:spPr>
    </xdr:sp>
    <xdr:clientData/>
  </xdr:twoCellAnchor>
  <xdr:twoCellAnchor>
    <xdr:from>
      <xdr:col>2</xdr:col>
      <xdr:colOff>361950</xdr:colOff>
      <xdr:row>31</xdr:row>
      <xdr:rowOff>85725</xdr:rowOff>
    </xdr:from>
    <xdr:to>
      <xdr:col>3</xdr:col>
      <xdr:colOff>0</xdr:colOff>
      <xdr:row>31</xdr:row>
      <xdr:rowOff>85725</xdr:rowOff>
    </xdr:to>
    <xdr:sp macro="" textlink="">
      <xdr:nvSpPr>
        <xdr:cNvPr id="66178993" name="Line 37"/>
        <xdr:cNvSpPr>
          <a:spLocks noChangeShapeType="1"/>
        </xdr:cNvSpPr>
      </xdr:nvSpPr>
      <xdr:spPr bwMode="auto">
        <a:xfrm>
          <a:off x="1590675" y="5257800"/>
          <a:ext cx="0" cy="0"/>
        </a:xfrm>
        <a:prstGeom prst="line">
          <a:avLst/>
        </a:prstGeom>
        <a:noFill/>
        <a:ln w="9525">
          <a:solidFill>
            <a:srgbClr val="000000"/>
          </a:solidFill>
          <a:round/>
          <a:headEnd/>
          <a:tailEnd/>
        </a:ln>
      </xdr:spPr>
    </xdr:sp>
    <xdr:clientData/>
  </xdr:twoCellAnchor>
  <xdr:twoCellAnchor>
    <xdr:from>
      <xdr:col>2</xdr:col>
      <xdr:colOff>361950</xdr:colOff>
      <xdr:row>34</xdr:row>
      <xdr:rowOff>85725</xdr:rowOff>
    </xdr:from>
    <xdr:to>
      <xdr:col>3</xdr:col>
      <xdr:colOff>0</xdr:colOff>
      <xdr:row>34</xdr:row>
      <xdr:rowOff>85725</xdr:rowOff>
    </xdr:to>
    <xdr:sp macro="" textlink="">
      <xdr:nvSpPr>
        <xdr:cNvPr id="66178994" name="Line 39"/>
        <xdr:cNvSpPr>
          <a:spLocks noChangeShapeType="1"/>
        </xdr:cNvSpPr>
      </xdr:nvSpPr>
      <xdr:spPr bwMode="auto">
        <a:xfrm>
          <a:off x="1590675" y="5743575"/>
          <a:ext cx="0" cy="0"/>
        </a:xfrm>
        <a:prstGeom prst="line">
          <a:avLst/>
        </a:prstGeom>
        <a:noFill/>
        <a:ln w="9525">
          <a:solidFill>
            <a:srgbClr val="000000"/>
          </a:solidFill>
          <a:round/>
          <a:headEnd/>
          <a:tailEnd/>
        </a:ln>
      </xdr:spPr>
    </xdr:sp>
    <xdr:clientData/>
  </xdr:twoCellAnchor>
  <xdr:twoCellAnchor>
    <xdr:from>
      <xdr:col>2</xdr:col>
      <xdr:colOff>361950</xdr:colOff>
      <xdr:row>35</xdr:row>
      <xdr:rowOff>85725</xdr:rowOff>
    </xdr:from>
    <xdr:to>
      <xdr:col>3</xdr:col>
      <xdr:colOff>0</xdr:colOff>
      <xdr:row>35</xdr:row>
      <xdr:rowOff>85725</xdr:rowOff>
    </xdr:to>
    <xdr:sp macro="" textlink="">
      <xdr:nvSpPr>
        <xdr:cNvPr id="66178995" name="Line 40"/>
        <xdr:cNvSpPr>
          <a:spLocks noChangeShapeType="1"/>
        </xdr:cNvSpPr>
      </xdr:nvSpPr>
      <xdr:spPr bwMode="auto">
        <a:xfrm>
          <a:off x="1590675" y="5905500"/>
          <a:ext cx="0" cy="0"/>
        </a:xfrm>
        <a:prstGeom prst="line">
          <a:avLst/>
        </a:prstGeom>
        <a:noFill/>
        <a:ln w="9525">
          <a:solidFill>
            <a:srgbClr val="000000"/>
          </a:solidFill>
          <a:round/>
          <a:headEnd/>
          <a:tailEnd/>
        </a:ln>
      </xdr:spPr>
    </xdr:sp>
    <xdr:clientData/>
  </xdr:twoCellAnchor>
  <xdr:twoCellAnchor>
    <xdr:from>
      <xdr:col>2</xdr:col>
      <xdr:colOff>361950</xdr:colOff>
      <xdr:row>36</xdr:row>
      <xdr:rowOff>85725</xdr:rowOff>
    </xdr:from>
    <xdr:to>
      <xdr:col>3</xdr:col>
      <xdr:colOff>0</xdr:colOff>
      <xdr:row>36</xdr:row>
      <xdr:rowOff>85725</xdr:rowOff>
    </xdr:to>
    <xdr:sp macro="" textlink="">
      <xdr:nvSpPr>
        <xdr:cNvPr id="66178996" name="Line 41"/>
        <xdr:cNvSpPr>
          <a:spLocks noChangeShapeType="1"/>
        </xdr:cNvSpPr>
      </xdr:nvSpPr>
      <xdr:spPr bwMode="auto">
        <a:xfrm>
          <a:off x="1590675" y="6067425"/>
          <a:ext cx="0" cy="0"/>
        </a:xfrm>
        <a:prstGeom prst="line">
          <a:avLst/>
        </a:prstGeom>
        <a:noFill/>
        <a:ln w="9525">
          <a:solidFill>
            <a:srgbClr val="000000"/>
          </a:solidFill>
          <a:round/>
          <a:headEnd/>
          <a:tailEnd/>
        </a:ln>
      </xdr:spPr>
    </xdr:sp>
    <xdr:clientData/>
  </xdr:twoCellAnchor>
  <xdr:twoCellAnchor>
    <xdr:from>
      <xdr:col>2</xdr:col>
      <xdr:colOff>361950</xdr:colOff>
      <xdr:row>37</xdr:row>
      <xdr:rowOff>85725</xdr:rowOff>
    </xdr:from>
    <xdr:to>
      <xdr:col>3</xdr:col>
      <xdr:colOff>0</xdr:colOff>
      <xdr:row>37</xdr:row>
      <xdr:rowOff>85725</xdr:rowOff>
    </xdr:to>
    <xdr:sp macro="" textlink="">
      <xdr:nvSpPr>
        <xdr:cNvPr id="66178997" name="Line 42"/>
        <xdr:cNvSpPr>
          <a:spLocks noChangeShapeType="1"/>
        </xdr:cNvSpPr>
      </xdr:nvSpPr>
      <xdr:spPr bwMode="auto">
        <a:xfrm>
          <a:off x="1590675" y="6229350"/>
          <a:ext cx="0" cy="0"/>
        </a:xfrm>
        <a:prstGeom prst="line">
          <a:avLst/>
        </a:prstGeom>
        <a:noFill/>
        <a:ln w="9525">
          <a:solidFill>
            <a:srgbClr val="000000"/>
          </a:solidFill>
          <a:round/>
          <a:headEnd/>
          <a:tailEnd/>
        </a:ln>
      </xdr:spPr>
    </xdr:sp>
    <xdr:clientData/>
  </xdr:twoCellAnchor>
  <xdr:twoCellAnchor>
    <xdr:from>
      <xdr:col>4</xdr:col>
      <xdr:colOff>19050</xdr:colOff>
      <xdr:row>34</xdr:row>
      <xdr:rowOff>85725</xdr:rowOff>
    </xdr:from>
    <xdr:to>
      <xdr:col>4</xdr:col>
      <xdr:colOff>190500</xdr:colOff>
      <xdr:row>34</xdr:row>
      <xdr:rowOff>85725</xdr:rowOff>
    </xdr:to>
    <xdr:sp macro="" textlink="">
      <xdr:nvSpPr>
        <xdr:cNvPr id="66178998" name="Line 43"/>
        <xdr:cNvSpPr>
          <a:spLocks noChangeShapeType="1"/>
        </xdr:cNvSpPr>
      </xdr:nvSpPr>
      <xdr:spPr bwMode="auto">
        <a:xfrm>
          <a:off x="2476500" y="5743575"/>
          <a:ext cx="171450" cy="0"/>
        </a:xfrm>
        <a:prstGeom prst="line">
          <a:avLst/>
        </a:prstGeom>
        <a:noFill/>
        <a:ln w="9525">
          <a:solidFill>
            <a:srgbClr val="000000"/>
          </a:solidFill>
          <a:round/>
          <a:headEnd/>
          <a:tailEnd/>
        </a:ln>
      </xdr:spPr>
    </xdr:sp>
    <xdr:clientData/>
  </xdr:twoCellAnchor>
  <xdr:twoCellAnchor>
    <xdr:from>
      <xdr:col>2</xdr:col>
      <xdr:colOff>19050</xdr:colOff>
      <xdr:row>37</xdr:row>
      <xdr:rowOff>76200</xdr:rowOff>
    </xdr:from>
    <xdr:to>
      <xdr:col>4</xdr:col>
      <xdr:colOff>190500</xdr:colOff>
      <xdr:row>37</xdr:row>
      <xdr:rowOff>85725</xdr:rowOff>
    </xdr:to>
    <xdr:sp macro="" textlink="">
      <xdr:nvSpPr>
        <xdr:cNvPr id="66178999" name="Line 44"/>
        <xdr:cNvSpPr>
          <a:spLocks noChangeShapeType="1"/>
        </xdr:cNvSpPr>
      </xdr:nvSpPr>
      <xdr:spPr bwMode="auto">
        <a:xfrm>
          <a:off x="1266825" y="6219825"/>
          <a:ext cx="1381125" cy="9525"/>
        </a:xfrm>
        <a:prstGeom prst="line">
          <a:avLst/>
        </a:prstGeom>
        <a:noFill/>
        <a:ln w="9525">
          <a:solidFill>
            <a:srgbClr val="000000"/>
          </a:solidFill>
          <a:round/>
          <a:headEnd/>
          <a:tailEnd/>
        </a:ln>
      </xdr:spPr>
    </xdr:sp>
    <xdr:clientData/>
  </xdr:twoCellAnchor>
  <xdr:twoCellAnchor>
    <xdr:from>
      <xdr:col>4</xdr:col>
      <xdr:colOff>180975</xdr:colOff>
      <xdr:row>34</xdr:row>
      <xdr:rowOff>85725</xdr:rowOff>
    </xdr:from>
    <xdr:to>
      <xdr:col>4</xdr:col>
      <xdr:colOff>180975</xdr:colOff>
      <xdr:row>37</xdr:row>
      <xdr:rowOff>85725</xdr:rowOff>
    </xdr:to>
    <xdr:sp macro="" textlink="">
      <xdr:nvSpPr>
        <xdr:cNvPr id="66179000" name="Line 45"/>
        <xdr:cNvSpPr>
          <a:spLocks noChangeShapeType="1"/>
        </xdr:cNvSpPr>
      </xdr:nvSpPr>
      <xdr:spPr bwMode="auto">
        <a:xfrm>
          <a:off x="2638425" y="5743575"/>
          <a:ext cx="0" cy="485775"/>
        </a:xfrm>
        <a:prstGeom prst="line">
          <a:avLst/>
        </a:prstGeom>
        <a:noFill/>
        <a:ln w="9525">
          <a:solidFill>
            <a:srgbClr val="000000"/>
          </a:solidFill>
          <a:round/>
          <a:headEnd/>
          <a:tailEnd/>
        </a:ln>
      </xdr:spPr>
    </xdr:sp>
    <xdr:clientData/>
  </xdr:twoCellAnchor>
  <xdr:twoCellAnchor>
    <xdr:from>
      <xdr:col>4</xdr:col>
      <xdr:colOff>180975</xdr:colOff>
      <xdr:row>35</xdr:row>
      <xdr:rowOff>95250</xdr:rowOff>
    </xdr:from>
    <xdr:to>
      <xdr:col>4</xdr:col>
      <xdr:colOff>542925</xdr:colOff>
      <xdr:row>35</xdr:row>
      <xdr:rowOff>95250</xdr:rowOff>
    </xdr:to>
    <xdr:sp macro="" textlink="">
      <xdr:nvSpPr>
        <xdr:cNvPr id="66179001" name="Line 46"/>
        <xdr:cNvSpPr>
          <a:spLocks noChangeShapeType="1"/>
        </xdr:cNvSpPr>
      </xdr:nvSpPr>
      <xdr:spPr bwMode="auto">
        <a:xfrm>
          <a:off x="2638425" y="5915025"/>
          <a:ext cx="361950" cy="0"/>
        </a:xfrm>
        <a:prstGeom prst="line">
          <a:avLst/>
        </a:prstGeom>
        <a:noFill/>
        <a:ln w="9525">
          <a:solidFill>
            <a:srgbClr val="000000"/>
          </a:solidFill>
          <a:round/>
          <a:headEnd/>
          <a:tailEnd type="triangle" w="med" len="med"/>
        </a:ln>
      </xdr:spPr>
    </xdr:sp>
    <xdr:clientData/>
  </xdr:twoCellAnchor>
  <xdr:twoCellAnchor>
    <xdr:from>
      <xdr:col>6</xdr:col>
      <xdr:colOff>171450</xdr:colOff>
      <xdr:row>31</xdr:row>
      <xdr:rowOff>85725</xdr:rowOff>
    </xdr:from>
    <xdr:to>
      <xdr:col>7</xdr:col>
      <xdr:colOff>0</xdr:colOff>
      <xdr:row>31</xdr:row>
      <xdr:rowOff>85725</xdr:rowOff>
    </xdr:to>
    <xdr:sp macro="" textlink="">
      <xdr:nvSpPr>
        <xdr:cNvPr id="66179002" name="Line 51"/>
        <xdr:cNvSpPr>
          <a:spLocks noChangeShapeType="1"/>
        </xdr:cNvSpPr>
      </xdr:nvSpPr>
      <xdr:spPr bwMode="auto">
        <a:xfrm>
          <a:off x="4143375" y="5257800"/>
          <a:ext cx="190500" cy="0"/>
        </a:xfrm>
        <a:prstGeom prst="line">
          <a:avLst/>
        </a:prstGeom>
        <a:noFill/>
        <a:ln w="9525">
          <a:solidFill>
            <a:srgbClr val="000000"/>
          </a:solidFill>
          <a:round/>
          <a:headEnd/>
          <a:tailEnd/>
        </a:ln>
      </xdr:spPr>
    </xdr:sp>
    <xdr:clientData/>
  </xdr:twoCellAnchor>
  <xdr:twoCellAnchor>
    <xdr:from>
      <xdr:col>6</xdr:col>
      <xdr:colOff>171450</xdr:colOff>
      <xdr:row>35</xdr:row>
      <xdr:rowOff>85725</xdr:rowOff>
    </xdr:from>
    <xdr:to>
      <xdr:col>7</xdr:col>
      <xdr:colOff>0</xdr:colOff>
      <xdr:row>35</xdr:row>
      <xdr:rowOff>85725</xdr:rowOff>
    </xdr:to>
    <xdr:sp macro="" textlink="">
      <xdr:nvSpPr>
        <xdr:cNvPr id="66179003" name="Line 52"/>
        <xdr:cNvSpPr>
          <a:spLocks noChangeShapeType="1"/>
        </xdr:cNvSpPr>
      </xdr:nvSpPr>
      <xdr:spPr bwMode="auto">
        <a:xfrm>
          <a:off x="4143375" y="5905500"/>
          <a:ext cx="190500" cy="0"/>
        </a:xfrm>
        <a:prstGeom prst="line">
          <a:avLst/>
        </a:prstGeom>
        <a:noFill/>
        <a:ln w="9525">
          <a:solidFill>
            <a:srgbClr val="000000"/>
          </a:solidFill>
          <a:round/>
          <a:headEnd/>
          <a:tailEnd/>
        </a:ln>
      </xdr:spPr>
    </xdr:sp>
    <xdr:clientData/>
  </xdr:twoCellAnchor>
  <xdr:twoCellAnchor>
    <xdr:from>
      <xdr:col>6</xdr:col>
      <xdr:colOff>171450</xdr:colOff>
      <xdr:row>38</xdr:row>
      <xdr:rowOff>85725</xdr:rowOff>
    </xdr:from>
    <xdr:to>
      <xdr:col>7</xdr:col>
      <xdr:colOff>0</xdr:colOff>
      <xdr:row>38</xdr:row>
      <xdr:rowOff>85725</xdr:rowOff>
    </xdr:to>
    <xdr:sp macro="" textlink="">
      <xdr:nvSpPr>
        <xdr:cNvPr id="66179004" name="Line 53"/>
        <xdr:cNvSpPr>
          <a:spLocks noChangeShapeType="1"/>
        </xdr:cNvSpPr>
      </xdr:nvSpPr>
      <xdr:spPr bwMode="auto">
        <a:xfrm>
          <a:off x="4143375" y="6391275"/>
          <a:ext cx="190500" cy="0"/>
        </a:xfrm>
        <a:prstGeom prst="line">
          <a:avLst/>
        </a:prstGeom>
        <a:noFill/>
        <a:ln w="9525">
          <a:solidFill>
            <a:srgbClr val="000000"/>
          </a:solidFill>
          <a:round/>
          <a:headEnd/>
          <a:tailEnd/>
        </a:ln>
      </xdr:spPr>
    </xdr:sp>
    <xdr:clientData/>
  </xdr:twoCellAnchor>
  <xdr:twoCellAnchor>
    <xdr:from>
      <xdr:col>13</xdr:col>
      <xdr:colOff>9525</xdr:colOff>
      <xdr:row>23</xdr:row>
      <xdr:rowOff>85725</xdr:rowOff>
    </xdr:from>
    <xdr:to>
      <xdr:col>13</xdr:col>
      <xdr:colOff>228600</xdr:colOff>
      <xdr:row>23</xdr:row>
      <xdr:rowOff>85725</xdr:rowOff>
    </xdr:to>
    <xdr:sp macro="" textlink="">
      <xdr:nvSpPr>
        <xdr:cNvPr id="66179005" name="Line 56"/>
        <xdr:cNvSpPr>
          <a:spLocks noChangeShapeType="1"/>
        </xdr:cNvSpPr>
      </xdr:nvSpPr>
      <xdr:spPr bwMode="auto">
        <a:xfrm>
          <a:off x="7267575" y="3962400"/>
          <a:ext cx="219075" cy="0"/>
        </a:xfrm>
        <a:prstGeom prst="line">
          <a:avLst/>
        </a:prstGeom>
        <a:noFill/>
        <a:ln w="9525">
          <a:solidFill>
            <a:srgbClr val="000000"/>
          </a:solidFill>
          <a:round/>
          <a:headEnd/>
          <a:tailEnd/>
        </a:ln>
      </xdr:spPr>
    </xdr:sp>
    <xdr:clientData/>
  </xdr:twoCellAnchor>
  <xdr:twoCellAnchor>
    <xdr:from>
      <xdr:col>15</xdr:col>
      <xdr:colOff>9525</xdr:colOff>
      <xdr:row>9</xdr:row>
      <xdr:rowOff>85725</xdr:rowOff>
    </xdr:from>
    <xdr:to>
      <xdr:col>15</xdr:col>
      <xdr:colOff>171450</xdr:colOff>
      <xdr:row>9</xdr:row>
      <xdr:rowOff>85725</xdr:rowOff>
    </xdr:to>
    <xdr:sp macro="" textlink="">
      <xdr:nvSpPr>
        <xdr:cNvPr id="66179006" name="Line 57"/>
        <xdr:cNvSpPr>
          <a:spLocks noChangeShapeType="1"/>
        </xdr:cNvSpPr>
      </xdr:nvSpPr>
      <xdr:spPr bwMode="auto">
        <a:xfrm>
          <a:off x="7677150" y="1695450"/>
          <a:ext cx="161925" cy="0"/>
        </a:xfrm>
        <a:prstGeom prst="line">
          <a:avLst/>
        </a:prstGeom>
        <a:noFill/>
        <a:ln w="9525">
          <a:solidFill>
            <a:srgbClr val="000000"/>
          </a:solidFill>
          <a:round/>
          <a:headEnd/>
          <a:tailEnd/>
        </a:ln>
      </xdr:spPr>
    </xdr:sp>
    <xdr:clientData/>
  </xdr:twoCellAnchor>
  <xdr:twoCellAnchor>
    <xdr:from>
      <xdr:col>15</xdr:col>
      <xdr:colOff>9525</xdr:colOff>
      <xdr:row>23</xdr:row>
      <xdr:rowOff>85725</xdr:rowOff>
    </xdr:from>
    <xdr:to>
      <xdr:col>15</xdr:col>
      <xdr:colOff>171450</xdr:colOff>
      <xdr:row>23</xdr:row>
      <xdr:rowOff>85725</xdr:rowOff>
    </xdr:to>
    <xdr:sp macro="" textlink="">
      <xdr:nvSpPr>
        <xdr:cNvPr id="66179007" name="Line 58"/>
        <xdr:cNvSpPr>
          <a:spLocks noChangeShapeType="1"/>
        </xdr:cNvSpPr>
      </xdr:nvSpPr>
      <xdr:spPr bwMode="auto">
        <a:xfrm>
          <a:off x="7677150" y="3962400"/>
          <a:ext cx="161925" cy="0"/>
        </a:xfrm>
        <a:prstGeom prst="line">
          <a:avLst/>
        </a:prstGeom>
        <a:noFill/>
        <a:ln w="9525">
          <a:solidFill>
            <a:srgbClr val="000000"/>
          </a:solidFill>
          <a:round/>
          <a:headEnd/>
          <a:tailEnd/>
        </a:ln>
      </xdr:spPr>
    </xdr:sp>
    <xdr:clientData/>
  </xdr:twoCellAnchor>
  <xdr:twoCellAnchor>
    <xdr:from>
      <xdr:col>15</xdr:col>
      <xdr:colOff>171450</xdr:colOff>
      <xdr:row>9</xdr:row>
      <xdr:rowOff>85725</xdr:rowOff>
    </xdr:from>
    <xdr:to>
      <xdr:col>15</xdr:col>
      <xdr:colOff>171450</xdr:colOff>
      <xdr:row>23</xdr:row>
      <xdr:rowOff>85725</xdr:rowOff>
    </xdr:to>
    <xdr:sp macro="" textlink="">
      <xdr:nvSpPr>
        <xdr:cNvPr id="66179008" name="Line 59"/>
        <xdr:cNvSpPr>
          <a:spLocks noChangeShapeType="1"/>
        </xdr:cNvSpPr>
      </xdr:nvSpPr>
      <xdr:spPr bwMode="auto">
        <a:xfrm>
          <a:off x="7839075" y="1695450"/>
          <a:ext cx="0" cy="2266950"/>
        </a:xfrm>
        <a:prstGeom prst="line">
          <a:avLst/>
        </a:prstGeom>
        <a:noFill/>
        <a:ln w="9525">
          <a:solidFill>
            <a:srgbClr val="000000"/>
          </a:solidFill>
          <a:round/>
          <a:headEnd/>
          <a:tailEnd/>
        </a:ln>
      </xdr:spPr>
    </xdr:sp>
    <xdr:clientData/>
  </xdr:twoCellAnchor>
  <xdr:twoCellAnchor>
    <xdr:from>
      <xdr:col>16</xdr:col>
      <xdr:colOff>400050</xdr:colOff>
      <xdr:row>12</xdr:row>
      <xdr:rowOff>47625</xdr:rowOff>
    </xdr:from>
    <xdr:to>
      <xdr:col>16</xdr:col>
      <xdr:colOff>400050</xdr:colOff>
      <xdr:row>13</xdr:row>
      <xdr:rowOff>152400</xdr:rowOff>
    </xdr:to>
    <xdr:sp macro="" textlink="">
      <xdr:nvSpPr>
        <xdr:cNvPr id="66179009" name="Line 61"/>
        <xdr:cNvSpPr>
          <a:spLocks noChangeShapeType="1"/>
        </xdr:cNvSpPr>
      </xdr:nvSpPr>
      <xdr:spPr bwMode="auto">
        <a:xfrm>
          <a:off x="8524875" y="2143125"/>
          <a:ext cx="0" cy="266700"/>
        </a:xfrm>
        <a:prstGeom prst="line">
          <a:avLst/>
        </a:prstGeom>
        <a:noFill/>
        <a:ln w="9525">
          <a:solidFill>
            <a:srgbClr val="000000"/>
          </a:solidFill>
          <a:round/>
          <a:headEnd/>
          <a:tailEnd/>
        </a:ln>
      </xdr:spPr>
    </xdr:sp>
    <xdr:clientData/>
  </xdr:twoCellAnchor>
  <xdr:twoCellAnchor>
    <xdr:from>
      <xdr:col>12</xdr:col>
      <xdr:colOff>9525</xdr:colOff>
      <xdr:row>26</xdr:row>
      <xdr:rowOff>76200</xdr:rowOff>
    </xdr:from>
    <xdr:to>
      <xdr:col>15</xdr:col>
      <xdr:colOff>161925</xdr:colOff>
      <xdr:row>26</xdr:row>
      <xdr:rowOff>76200</xdr:rowOff>
    </xdr:to>
    <xdr:sp macro="" textlink="">
      <xdr:nvSpPr>
        <xdr:cNvPr id="66179010" name="Line 63"/>
        <xdr:cNvSpPr>
          <a:spLocks noChangeShapeType="1"/>
        </xdr:cNvSpPr>
      </xdr:nvSpPr>
      <xdr:spPr bwMode="auto">
        <a:xfrm>
          <a:off x="6553200" y="4438650"/>
          <a:ext cx="1276350" cy="0"/>
        </a:xfrm>
        <a:prstGeom prst="line">
          <a:avLst/>
        </a:prstGeom>
        <a:noFill/>
        <a:ln w="9525">
          <a:solidFill>
            <a:srgbClr val="000000"/>
          </a:solidFill>
          <a:round/>
          <a:headEnd/>
          <a:tailEnd/>
        </a:ln>
      </xdr:spPr>
    </xdr:sp>
    <xdr:clientData/>
  </xdr:twoCellAnchor>
  <xdr:twoCellAnchor>
    <xdr:from>
      <xdr:col>17</xdr:col>
      <xdr:colOff>0</xdr:colOff>
      <xdr:row>11</xdr:row>
      <xdr:rowOff>85725</xdr:rowOff>
    </xdr:from>
    <xdr:to>
      <xdr:col>17</xdr:col>
      <xdr:colOff>238125</xdr:colOff>
      <xdr:row>11</xdr:row>
      <xdr:rowOff>85725</xdr:rowOff>
    </xdr:to>
    <xdr:sp macro="" textlink="">
      <xdr:nvSpPr>
        <xdr:cNvPr id="66179011" name="Line 67"/>
        <xdr:cNvSpPr>
          <a:spLocks noChangeShapeType="1"/>
        </xdr:cNvSpPr>
      </xdr:nvSpPr>
      <xdr:spPr bwMode="auto">
        <a:xfrm>
          <a:off x="8848725" y="2019300"/>
          <a:ext cx="238125" cy="0"/>
        </a:xfrm>
        <a:prstGeom prst="line">
          <a:avLst/>
        </a:prstGeom>
        <a:noFill/>
        <a:ln w="9525">
          <a:solidFill>
            <a:srgbClr val="000000"/>
          </a:solidFill>
          <a:round/>
          <a:headEnd/>
          <a:tailEnd/>
        </a:ln>
      </xdr:spPr>
    </xdr:sp>
    <xdr:clientData/>
  </xdr:twoCellAnchor>
  <xdr:twoCellAnchor>
    <xdr:from>
      <xdr:col>19</xdr:col>
      <xdr:colOff>0</xdr:colOff>
      <xdr:row>11</xdr:row>
      <xdr:rowOff>85725</xdr:rowOff>
    </xdr:from>
    <xdr:to>
      <xdr:col>19</xdr:col>
      <xdr:colOff>247650</xdr:colOff>
      <xdr:row>11</xdr:row>
      <xdr:rowOff>85725</xdr:rowOff>
    </xdr:to>
    <xdr:sp macro="" textlink="">
      <xdr:nvSpPr>
        <xdr:cNvPr id="66179012" name="Line 68"/>
        <xdr:cNvSpPr>
          <a:spLocks noChangeShapeType="1"/>
        </xdr:cNvSpPr>
      </xdr:nvSpPr>
      <xdr:spPr bwMode="auto">
        <a:xfrm>
          <a:off x="9305925" y="2019300"/>
          <a:ext cx="247650" cy="0"/>
        </a:xfrm>
        <a:prstGeom prst="line">
          <a:avLst/>
        </a:prstGeom>
        <a:noFill/>
        <a:ln w="9525">
          <a:solidFill>
            <a:srgbClr val="000000"/>
          </a:solidFill>
          <a:round/>
          <a:headEnd/>
          <a:tailEnd/>
        </a:ln>
      </xdr:spPr>
    </xdr:sp>
    <xdr:clientData/>
  </xdr:twoCellAnchor>
  <xdr:twoCellAnchor>
    <xdr:from>
      <xdr:col>17</xdr:col>
      <xdr:colOff>0</xdr:colOff>
      <xdr:row>17</xdr:row>
      <xdr:rowOff>85725</xdr:rowOff>
    </xdr:from>
    <xdr:to>
      <xdr:col>17</xdr:col>
      <xdr:colOff>238125</xdr:colOff>
      <xdr:row>17</xdr:row>
      <xdr:rowOff>85725</xdr:rowOff>
    </xdr:to>
    <xdr:sp macro="" textlink="">
      <xdr:nvSpPr>
        <xdr:cNvPr id="66179013" name="Line 69"/>
        <xdr:cNvSpPr>
          <a:spLocks noChangeShapeType="1"/>
        </xdr:cNvSpPr>
      </xdr:nvSpPr>
      <xdr:spPr bwMode="auto">
        <a:xfrm>
          <a:off x="8848725" y="2990850"/>
          <a:ext cx="238125" cy="0"/>
        </a:xfrm>
        <a:prstGeom prst="line">
          <a:avLst/>
        </a:prstGeom>
        <a:noFill/>
        <a:ln w="9525">
          <a:solidFill>
            <a:srgbClr val="000000"/>
          </a:solidFill>
          <a:round/>
          <a:headEnd/>
          <a:tailEnd/>
        </a:ln>
      </xdr:spPr>
    </xdr:sp>
    <xdr:clientData/>
  </xdr:twoCellAnchor>
  <xdr:twoCellAnchor>
    <xdr:from>
      <xdr:col>19</xdr:col>
      <xdr:colOff>0</xdr:colOff>
      <xdr:row>17</xdr:row>
      <xdr:rowOff>85725</xdr:rowOff>
    </xdr:from>
    <xdr:to>
      <xdr:col>19</xdr:col>
      <xdr:colOff>247650</xdr:colOff>
      <xdr:row>17</xdr:row>
      <xdr:rowOff>85725</xdr:rowOff>
    </xdr:to>
    <xdr:sp macro="" textlink="">
      <xdr:nvSpPr>
        <xdr:cNvPr id="66179014" name="Line 70"/>
        <xdr:cNvSpPr>
          <a:spLocks noChangeShapeType="1"/>
        </xdr:cNvSpPr>
      </xdr:nvSpPr>
      <xdr:spPr bwMode="auto">
        <a:xfrm>
          <a:off x="9305925" y="2990850"/>
          <a:ext cx="247650" cy="0"/>
        </a:xfrm>
        <a:prstGeom prst="line">
          <a:avLst/>
        </a:prstGeom>
        <a:noFill/>
        <a:ln w="9525">
          <a:solidFill>
            <a:srgbClr val="000000"/>
          </a:solidFill>
          <a:round/>
          <a:headEnd/>
          <a:tailEnd/>
        </a:ln>
      </xdr:spPr>
    </xdr:sp>
    <xdr:clientData/>
  </xdr:twoCellAnchor>
  <xdr:twoCellAnchor>
    <xdr:from>
      <xdr:col>17</xdr:col>
      <xdr:colOff>0</xdr:colOff>
      <xdr:row>34</xdr:row>
      <xdr:rowOff>85725</xdr:rowOff>
    </xdr:from>
    <xdr:to>
      <xdr:col>17</xdr:col>
      <xdr:colOff>238125</xdr:colOff>
      <xdr:row>34</xdr:row>
      <xdr:rowOff>85725</xdr:rowOff>
    </xdr:to>
    <xdr:sp macro="" textlink="">
      <xdr:nvSpPr>
        <xdr:cNvPr id="66179015" name="Line 71"/>
        <xdr:cNvSpPr>
          <a:spLocks noChangeShapeType="1"/>
        </xdr:cNvSpPr>
      </xdr:nvSpPr>
      <xdr:spPr bwMode="auto">
        <a:xfrm>
          <a:off x="8848725" y="5743575"/>
          <a:ext cx="238125" cy="0"/>
        </a:xfrm>
        <a:prstGeom prst="line">
          <a:avLst/>
        </a:prstGeom>
        <a:noFill/>
        <a:ln w="9525">
          <a:solidFill>
            <a:srgbClr val="000000"/>
          </a:solidFill>
          <a:round/>
          <a:headEnd/>
          <a:tailEnd/>
        </a:ln>
      </xdr:spPr>
    </xdr:sp>
    <xdr:clientData/>
  </xdr:twoCellAnchor>
  <xdr:twoCellAnchor>
    <xdr:from>
      <xdr:col>19</xdr:col>
      <xdr:colOff>0</xdr:colOff>
      <xdr:row>34</xdr:row>
      <xdr:rowOff>85725</xdr:rowOff>
    </xdr:from>
    <xdr:to>
      <xdr:col>19</xdr:col>
      <xdr:colOff>247650</xdr:colOff>
      <xdr:row>34</xdr:row>
      <xdr:rowOff>85725</xdr:rowOff>
    </xdr:to>
    <xdr:sp macro="" textlink="">
      <xdr:nvSpPr>
        <xdr:cNvPr id="66179016" name="Line 72"/>
        <xdr:cNvSpPr>
          <a:spLocks noChangeShapeType="1"/>
        </xdr:cNvSpPr>
      </xdr:nvSpPr>
      <xdr:spPr bwMode="auto">
        <a:xfrm>
          <a:off x="9305925" y="5743575"/>
          <a:ext cx="247650" cy="0"/>
        </a:xfrm>
        <a:prstGeom prst="line">
          <a:avLst/>
        </a:prstGeom>
        <a:noFill/>
        <a:ln w="9525">
          <a:solidFill>
            <a:srgbClr val="000000"/>
          </a:solidFill>
          <a:round/>
          <a:headEnd/>
          <a:tailEnd/>
        </a:ln>
      </xdr:spPr>
    </xdr:sp>
    <xdr:clientData/>
  </xdr:twoCellAnchor>
  <xdr:twoCellAnchor>
    <xdr:from>
      <xdr:col>19</xdr:col>
      <xdr:colOff>0</xdr:colOff>
      <xdr:row>23</xdr:row>
      <xdr:rowOff>85725</xdr:rowOff>
    </xdr:from>
    <xdr:to>
      <xdr:col>19</xdr:col>
      <xdr:colOff>247650</xdr:colOff>
      <xdr:row>23</xdr:row>
      <xdr:rowOff>85725</xdr:rowOff>
    </xdr:to>
    <xdr:sp macro="" textlink="">
      <xdr:nvSpPr>
        <xdr:cNvPr id="66179017" name="Line 73"/>
        <xdr:cNvSpPr>
          <a:spLocks noChangeShapeType="1"/>
        </xdr:cNvSpPr>
      </xdr:nvSpPr>
      <xdr:spPr bwMode="auto">
        <a:xfrm>
          <a:off x="9305925" y="3962400"/>
          <a:ext cx="247650" cy="0"/>
        </a:xfrm>
        <a:prstGeom prst="line">
          <a:avLst/>
        </a:prstGeom>
        <a:noFill/>
        <a:ln w="9525">
          <a:solidFill>
            <a:srgbClr val="000000"/>
          </a:solidFill>
          <a:round/>
          <a:headEnd/>
          <a:tailEnd/>
        </a:ln>
      </xdr:spPr>
    </xdr:sp>
    <xdr:clientData/>
  </xdr:twoCellAnchor>
  <xdr:twoCellAnchor>
    <xdr:from>
      <xdr:col>15</xdr:col>
      <xdr:colOff>285750</xdr:colOff>
      <xdr:row>23</xdr:row>
      <xdr:rowOff>76200</xdr:rowOff>
    </xdr:from>
    <xdr:to>
      <xdr:col>18</xdr:col>
      <xdr:colOff>0</xdr:colOff>
      <xdr:row>23</xdr:row>
      <xdr:rowOff>76200</xdr:rowOff>
    </xdr:to>
    <xdr:sp macro="" textlink="">
      <xdr:nvSpPr>
        <xdr:cNvPr id="66179018" name="Line 74"/>
        <xdr:cNvSpPr>
          <a:spLocks noChangeShapeType="1"/>
        </xdr:cNvSpPr>
      </xdr:nvSpPr>
      <xdr:spPr bwMode="auto">
        <a:xfrm>
          <a:off x="7953375" y="3952875"/>
          <a:ext cx="1133475" cy="0"/>
        </a:xfrm>
        <a:prstGeom prst="line">
          <a:avLst/>
        </a:prstGeom>
        <a:noFill/>
        <a:ln w="9525">
          <a:solidFill>
            <a:srgbClr val="000000"/>
          </a:solidFill>
          <a:round/>
          <a:headEnd/>
          <a:tailEnd/>
        </a:ln>
      </xdr:spPr>
    </xdr:sp>
    <xdr:clientData/>
  </xdr:twoCellAnchor>
  <xdr:twoCellAnchor>
    <xdr:from>
      <xdr:col>20</xdr:col>
      <xdr:colOff>0</xdr:colOff>
      <xdr:row>17</xdr:row>
      <xdr:rowOff>85725</xdr:rowOff>
    </xdr:from>
    <xdr:to>
      <xdr:col>20</xdr:col>
      <xdr:colOff>190500</xdr:colOff>
      <xdr:row>17</xdr:row>
      <xdr:rowOff>85725</xdr:rowOff>
    </xdr:to>
    <xdr:sp macro="" textlink="">
      <xdr:nvSpPr>
        <xdr:cNvPr id="66179019" name="Line 76"/>
        <xdr:cNvSpPr>
          <a:spLocks noChangeShapeType="1"/>
        </xdr:cNvSpPr>
      </xdr:nvSpPr>
      <xdr:spPr bwMode="auto">
        <a:xfrm>
          <a:off x="9553575" y="2990850"/>
          <a:ext cx="190500" cy="0"/>
        </a:xfrm>
        <a:prstGeom prst="line">
          <a:avLst/>
        </a:prstGeom>
        <a:noFill/>
        <a:ln w="9525">
          <a:solidFill>
            <a:srgbClr val="000000"/>
          </a:solidFill>
          <a:round/>
          <a:headEnd/>
          <a:tailEnd type="triangle" w="med" len="med"/>
        </a:ln>
      </xdr:spPr>
    </xdr:sp>
    <xdr:clientData/>
  </xdr:twoCellAnchor>
  <xdr:twoCellAnchor>
    <xdr:from>
      <xdr:col>10</xdr:col>
      <xdr:colOff>295275</xdr:colOff>
      <xdr:row>26</xdr:row>
      <xdr:rowOff>85725</xdr:rowOff>
    </xdr:from>
    <xdr:to>
      <xdr:col>11</xdr:col>
      <xdr:colOff>0</xdr:colOff>
      <xdr:row>26</xdr:row>
      <xdr:rowOff>85725</xdr:rowOff>
    </xdr:to>
    <xdr:sp macro="" textlink="">
      <xdr:nvSpPr>
        <xdr:cNvPr id="66179020" name="Line 77"/>
        <xdr:cNvSpPr>
          <a:spLocks noChangeShapeType="1"/>
        </xdr:cNvSpPr>
      </xdr:nvSpPr>
      <xdr:spPr bwMode="auto">
        <a:xfrm>
          <a:off x="6248400" y="4448175"/>
          <a:ext cx="114300" cy="0"/>
        </a:xfrm>
        <a:prstGeom prst="line">
          <a:avLst/>
        </a:prstGeom>
        <a:noFill/>
        <a:ln w="9525">
          <a:solidFill>
            <a:srgbClr val="000000"/>
          </a:solidFill>
          <a:round/>
          <a:headEnd/>
          <a:tailEnd/>
        </a:ln>
      </xdr:spPr>
    </xdr:sp>
    <xdr:clientData/>
  </xdr:twoCellAnchor>
  <xdr:twoCellAnchor>
    <xdr:from>
      <xdr:col>15</xdr:col>
      <xdr:colOff>152400</xdr:colOff>
      <xdr:row>26</xdr:row>
      <xdr:rowOff>76200</xdr:rowOff>
    </xdr:from>
    <xdr:to>
      <xdr:col>15</xdr:col>
      <xdr:colOff>152400</xdr:colOff>
      <xdr:row>38</xdr:row>
      <xdr:rowOff>95250</xdr:rowOff>
    </xdr:to>
    <xdr:sp macro="" textlink="">
      <xdr:nvSpPr>
        <xdr:cNvPr id="66179021" name="Line 80"/>
        <xdr:cNvSpPr>
          <a:spLocks noChangeShapeType="1"/>
        </xdr:cNvSpPr>
      </xdr:nvSpPr>
      <xdr:spPr bwMode="auto">
        <a:xfrm>
          <a:off x="7820025" y="4438650"/>
          <a:ext cx="0" cy="1962150"/>
        </a:xfrm>
        <a:prstGeom prst="line">
          <a:avLst/>
        </a:prstGeom>
        <a:noFill/>
        <a:ln w="9525">
          <a:solidFill>
            <a:srgbClr val="000000"/>
          </a:solidFill>
          <a:round/>
          <a:headEnd/>
          <a:tailEnd/>
        </a:ln>
      </xdr:spPr>
    </xdr:sp>
    <xdr:clientData/>
  </xdr:twoCellAnchor>
  <xdr:twoCellAnchor>
    <xdr:from>
      <xdr:col>16</xdr:col>
      <xdr:colOff>400050</xdr:colOff>
      <xdr:row>15</xdr:row>
      <xdr:rowOff>9525</xdr:rowOff>
    </xdr:from>
    <xdr:to>
      <xdr:col>16</xdr:col>
      <xdr:colOff>400050</xdr:colOff>
      <xdr:row>17</xdr:row>
      <xdr:rowOff>9525</xdr:rowOff>
    </xdr:to>
    <xdr:sp macro="" textlink="">
      <xdr:nvSpPr>
        <xdr:cNvPr id="66179022" name="Line 87"/>
        <xdr:cNvSpPr>
          <a:spLocks noChangeShapeType="1"/>
        </xdr:cNvSpPr>
      </xdr:nvSpPr>
      <xdr:spPr bwMode="auto">
        <a:xfrm>
          <a:off x="8524875" y="2590800"/>
          <a:ext cx="0" cy="323850"/>
        </a:xfrm>
        <a:prstGeom prst="line">
          <a:avLst/>
        </a:prstGeom>
        <a:noFill/>
        <a:ln w="9525">
          <a:solidFill>
            <a:srgbClr val="000000"/>
          </a:solidFill>
          <a:round/>
          <a:headEnd/>
          <a:tailEnd/>
        </a:ln>
      </xdr:spPr>
    </xdr:sp>
    <xdr:clientData/>
  </xdr:twoCellAnchor>
  <xdr:twoCellAnchor>
    <xdr:from>
      <xdr:col>15</xdr:col>
      <xdr:colOff>152400</xdr:colOff>
      <xdr:row>34</xdr:row>
      <xdr:rowOff>85725</xdr:rowOff>
    </xdr:from>
    <xdr:to>
      <xdr:col>15</xdr:col>
      <xdr:colOff>447675</xdr:colOff>
      <xdr:row>34</xdr:row>
      <xdr:rowOff>85725</xdr:rowOff>
    </xdr:to>
    <xdr:sp macro="" textlink="">
      <xdr:nvSpPr>
        <xdr:cNvPr id="66179023" name="Line 88"/>
        <xdr:cNvSpPr>
          <a:spLocks noChangeShapeType="1"/>
        </xdr:cNvSpPr>
      </xdr:nvSpPr>
      <xdr:spPr bwMode="auto">
        <a:xfrm>
          <a:off x="7820025" y="5743575"/>
          <a:ext cx="295275" cy="0"/>
        </a:xfrm>
        <a:prstGeom prst="line">
          <a:avLst/>
        </a:prstGeom>
        <a:noFill/>
        <a:ln w="9525">
          <a:solidFill>
            <a:srgbClr val="000000"/>
          </a:solidFill>
          <a:round/>
          <a:headEnd/>
          <a:tailEnd/>
        </a:ln>
      </xdr:spPr>
    </xdr:sp>
    <xdr:clientData/>
  </xdr:twoCellAnchor>
  <xdr:twoCellAnchor>
    <xdr:from>
      <xdr:col>20</xdr:col>
      <xdr:colOff>0</xdr:colOff>
      <xdr:row>11</xdr:row>
      <xdr:rowOff>85725</xdr:rowOff>
    </xdr:from>
    <xdr:to>
      <xdr:col>20</xdr:col>
      <xdr:colOff>0</xdr:colOff>
      <xdr:row>34</xdr:row>
      <xdr:rowOff>85725</xdr:rowOff>
    </xdr:to>
    <xdr:sp macro="" textlink="">
      <xdr:nvSpPr>
        <xdr:cNvPr id="66179024" name="Line 89"/>
        <xdr:cNvSpPr>
          <a:spLocks noChangeShapeType="1"/>
        </xdr:cNvSpPr>
      </xdr:nvSpPr>
      <xdr:spPr bwMode="auto">
        <a:xfrm>
          <a:off x="9553575" y="2019300"/>
          <a:ext cx="0" cy="3724275"/>
        </a:xfrm>
        <a:prstGeom prst="line">
          <a:avLst/>
        </a:prstGeom>
        <a:noFill/>
        <a:ln w="9525">
          <a:solidFill>
            <a:srgbClr val="000000"/>
          </a:solidFill>
          <a:round/>
          <a:headEnd/>
          <a:tailEnd/>
        </a:ln>
      </xdr:spPr>
    </xdr:sp>
    <xdr:clientData/>
  </xdr:twoCellAnchor>
  <xdr:twoCellAnchor>
    <xdr:from>
      <xdr:col>15</xdr:col>
      <xdr:colOff>152400</xdr:colOff>
      <xdr:row>36</xdr:row>
      <xdr:rowOff>66675</xdr:rowOff>
    </xdr:from>
    <xdr:to>
      <xdr:col>15</xdr:col>
      <xdr:colOff>161925</xdr:colOff>
      <xdr:row>36</xdr:row>
      <xdr:rowOff>66675</xdr:rowOff>
    </xdr:to>
    <xdr:sp macro="" textlink="">
      <xdr:nvSpPr>
        <xdr:cNvPr id="66179025" name="Line 90"/>
        <xdr:cNvSpPr>
          <a:spLocks noChangeShapeType="1"/>
        </xdr:cNvSpPr>
      </xdr:nvSpPr>
      <xdr:spPr bwMode="auto">
        <a:xfrm>
          <a:off x="7820025" y="6048375"/>
          <a:ext cx="9525" cy="0"/>
        </a:xfrm>
        <a:prstGeom prst="line">
          <a:avLst/>
        </a:prstGeom>
        <a:noFill/>
        <a:ln w="9525">
          <a:solidFill>
            <a:srgbClr val="000000"/>
          </a:solidFill>
          <a:round/>
          <a:headEnd/>
          <a:tailEnd/>
        </a:ln>
      </xdr:spPr>
    </xdr:sp>
    <xdr:clientData/>
  </xdr:twoCellAnchor>
  <xdr:twoCellAnchor>
    <xdr:from>
      <xdr:col>8</xdr:col>
      <xdr:colOff>9525</xdr:colOff>
      <xdr:row>35</xdr:row>
      <xdr:rowOff>85725</xdr:rowOff>
    </xdr:from>
    <xdr:to>
      <xdr:col>15</xdr:col>
      <xdr:colOff>152400</xdr:colOff>
      <xdr:row>35</xdr:row>
      <xdr:rowOff>85725</xdr:rowOff>
    </xdr:to>
    <xdr:sp macro="" textlink="">
      <xdr:nvSpPr>
        <xdr:cNvPr id="66179026" name="Line 91"/>
        <xdr:cNvSpPr>
          <a:spLocks noChangeShapeType="1"/>
        </xdr:cNvSpPr>
      </xdr:nvSpPr>
      <xdr:spPr bwMode="auto">
        <a:xfrm>
          <a:off x="4505325" y="5905500"/>
          <a:ext cx="3314700" cy="0"/>
        </a:xfrm>
        <a:prstGeom prst="line">
          <a:avLst/>
        </a:prstGeom>
        <a:noFill/>
        <a:ln w="9525">
          <a:solidFill>
            <a:srgbClr val="000000"/>
          </a:solidFill>
          <a:round/>
          <a:headEnd/>
          <a:tailEnd/>
        </a:ln>
      </xdr:spPr>
    </xdr:sp>
    <xdr:clientData/>
  </xdr:twoCellAnchor>
  <xdr:twoCellAnchor>
    <xdr:from>
      <xdr:col>12</xdr:col>
      <xdr:colOff>0</xdr:colOff>
      <xdr:row>29</xdr:row>
      <xdr:rowOff>76200</xdr:rowOff>
    </xdr:from>
    <xdr:to>
      <xdr:col>15</xdr:col>
      <xdr:colOff>152400</xdr:colOff>
      <xdr:row>29</xdr:row>
      <xdr:rowOff>76200</xdr:rowOff>
    </xdr:to>
    <xdr:sp macro="" textlink="">
      <xdr:nvSpPr>
        <xdr:cNvPr id="66179027" name="Line 92"/>
        <xdr:cNvSpPr>
          <a:spLocks noChangeShapeType="1"/>
        </xdr:cNvSpPr>
      </xdr:nvSpPr>
      <xdr:spPr bwMode="auto">
        <a:xfrm>
          <a:off x="6543675" y="4924425"/>
          <a:ext cx="1276350" cy="0"/>
        </a:xfrm>
        <a:prstGeom prst="line">
          <a:avLst/>
        </a:prstGeom>
        <a:noFill/>
        <a:ln w="9525">
          <a:solidFill>
            <a:srgbClr val="000000"/>
          </a:solidFill>
          <a:round/>
          <a:headEnd/>
          <a:tailEnd/>
        </a:ln>
      </xdr:spPr>
    </xdr:sp>
    <xdr:clientData/>
  </xdr:twoCellAnchor>
  <xdr:twoCellAnchor>
    <xdr:from>
      <xdr:col>8</xdr:col>
      <xdr:colOff>9525</xdr:colOff>
      <xdr:row>38</xdr:row>
      <xdr:rowOff>85725</xdr:rowOff>
    </xdr:from>
    <xdr:to>
      <xdr:col>15</xdr:col>
      <xdr:colOff>152400</xdr:colOff>
      <xdr:row>38</xdr:row>
      <xdr:rowOff>85725</xdr:rowOff>
    </xdr:to>
    <xdr:sp macro="" textlink="">
      <xdr:nvSpPr>
        <xdr:cNvPr id="66179028" name="Line 93"/>
        <xdr:cNvSpPr>
          <a:spLocks noChangeShapeType="1"/>
        </xdr:cNvSpPr>
      </xdr:nvSpPr>
      <xdr:spPr bwMode="auto">
        <a:xfrm>
          <a:off x="4505325" y="6391275"/>
          <a:ext cx="3314700" cy="0"/>
        </a:xfrm>
        <a:prstGeom prst="line">
          <a:avLst/>
        </a:prstGeom>
        <a:noFill/>
        <a:ln w="9525">
          <a:solidFill>
            <a:srgbClr val="000000"/>
          </a:solidFill>
          <a:round/>
          <a:headEnd/>
          <a:tailEnd/>
        </a:ln>
      </xdr:spPr>
    </xdr:sp>
    <xdr:clientData/>
  </xdr:twoCellAnchor>
  <xdr:twoCellAnchor>
    <xdr:from>
      <xdr:col>8</xdr:col>
      <xdr:colOff>9525</xdr:colOff>
      <xdr:row>31</xdr:row>
      <xdr:rowOff>85725</xdr:rowOff>
    </xdr:from>
    <xdr:to>
      <xdr:col>15</xdr:col>
      <xdr:colOff>152400</xdr:colOff>
      <xdr:row>31</xdr:row>
      <xdr:rowOff>85725</xdr:rowOff>
    </xdr:to>
    <xdr:sp macro="" textlink="">
      <xdr:nvSpPr>
        <xdr:cNvPr id="66179029" name="Line 94"/>
        <xdr:cNvSpPr>
          <a:spLocks noChangeShapeType="1"/>
        </xdr:cNvSpPr>
      </xdr:nvSpPr>
      <xdr:spPr bwMode="auto">
        <a:xfrm>
          <a:off x="4505325" y="5257800"/>
          <a:ext cx="3314700" cy="0"/>
        </a:xfrm>
        <a:prstGeom prst="line">
          <a:avLst/>
        </a:prstGeom>
        <a:noFill/>
        <a:ln w="9525">
          <a:solidFill>
            <a:srgbClr val="000000"/>
          </a:solidFill>
          <a:round/>
          <a:headEnd/>
          <a:tailEnd/>
        </a:ln>
      </xdr:spPr>
    </xdr:sp>
    <xdr:clientData/>
  </xdr:twoCellAnchor>
  <xdr:twoCellAnchor>
    <xdr:from>
      <xdr:col>8</xdr:col>
      <xdr:colOff>0</xdr:colOff>
      <xdr:row>20</xdr:row>
      <xdr:rowOff>95250</xdr:rowOff>
    </xdr:from>
    <xdr:to>
      <xdr:col>15</xdr:col>
      <xdr:colOff>171450</xdr:colOff>
      <xdr:row>20</xdr:row>
      <xdr:rowOff>95250</xdr:rowOff>
    </xdr:to>
    <xdr:sp macro="" textlink="">
      <xdr:nvSpPr>
        <xdr:cNvPr id="66179030" name="Line 95"/>
        <xdr:cNvSpPr>
          <a:spLocks noChangeShapeType="1"/>
        </xdr:cNvSpPr>
      </xdr:nvSpPr>
      <xdr:spPr bwMode="auto">
        <a:xfrm>
          <a:off x="4495800" y="3486150"/>
          <a:ext cx="3343275" cy="0"/>
        </a:xfrm>
        <a:prstGeom prst="line">
          <a:avLst/>
        </a:prstGeom>
        <a:noFill/>
        <a:ln w="9525">
          <a:solidFill>
            <a:srgbClr val="000000"/>
          </a:solidFill>
          <a:round/>
          <a:headEnd/>
          <a:tailEnd/>
        </a:ln>
      </xdr:spPr>
    </xdr:sp>
    <xdr:clientData/>
  </xdr:twoCellAnchor>
  <xdr:twoCellAnchor>
    <xdr:from>
      <xdr:col>12</xdr:col>
      <xdr:colOff>9525</xdr:colOff>
      <xdr:row>17</xdr:row>
      <xdr:rowOff>76200</xdr:rowOff>
    </xdr:from>
    <xdr:to>
      <xdr:col>16</xdr:col>
      <xdr:colOff>0</xdr:colOff>
      <xdr:row>17</xdr:row>
      <xdr:rowOff>76200</xdr:rowOff>
    </xdr:to>
    <xdr:sp macro="" textlink="">
      <xdr:nvSpPr>
        <xdr:cNvPr id="66179031" name="Line 96"/>
        <xdr:cNvSpPr>
          <a:spLocks noChangeShapeType="1"/>
        </xdr:cNvSpPr>
      </xdr:nvSpPr>
      <xdr:spPr bwMode="auto">
        <a:xfrm>
          <a:off x="6553200" y="2981325"/>
          <a:ext cx="1571625" cy="0"/>
        </a:xfrm>
        <a:prstGeom prst="line">
          <a:avLst/>
        </a:prstGeom>
        <a:noFill/>
        <a:ln w="9525">
          <a:solidFill>
            <a:srgbClr val="000000"/>
          </a:solidFill>
          <a:round/>
          <a:headEnd/>
          <a:tailEnd/>
        </a:ln>
      </xdr:spPr>
    </xdr:sp>
    <xdr:clientData/>
  </xdr:twoCellAnchor>
  <xdr:twoCellAnchor>
    <xdr:from>
      <xdr:col>8</xdr:col>
      <xdr:colOff>0</xdr:colOff>
      <xdr:row>16</xdr:row>
      <xdr:rowOff>76200</xdr:rowOff>
    </xdr:from>
    <xdr:to>
      <xdr:col>15</xdr:col>
      <xdr:colOff>171450</xdr:colOff>
      <xdr:row>16</xdr:row>
      <xdr:rowOff>76200</xdr:rowOff>
    </xdr:to>
    <xdr:sp macro="" textlink="">
      <xdr:nvSpPr>
        <xdr:cNvPr id="66179032" name="Line 97"/>
        <xdr:cNvSpPr>
          <a:spLocks noChangeShapeType="1"/>
        </xdr:cNvSpPr>
      </xdr:nvSpPr>
      <xdr:spPr bwMode="auto">
        <a:xfrm>
          <a:off x="4495800" y="2819400"/>
          <a:ext cx="3343275" cy="0"/>
        </a:xfrm>
        <a:prstGeom prst="line">
          <a:avLst/>
        </a:prstGeom>
        <a:noFill/>
        <a:ln w="9525">
          <a:solidFill>
            <a:srgbClr val="000000"/>
          </a:solidFill>
          <a:round/>
          <a:headEnd/>
          <a:tailEnd/>
        </a:ln>
      </xdr:spPr>
    </xdr:sp>
    <xdr:clientData/>
  </xdr:twoCellAnchor>
  <xdr:twoCellAnchor>
    <xdr:from>
      <xdr:col>7</xdr:col>
      <xdr:colOff>152400</xdr:colOff>
      <xdr:row>14</xdr:row>
      <xdr:rowOff>76200</xdr:rowOff>
    </xdr:from>
    <xdr:to>
      <xdr:col>15</xdr:col>
      <xdr:colOff>171450</xdr:colOff>
      <xdr:row>14</xdr:row>
      <xdr:rowOff>76200</xdr:rowOff>
    </xdr:to>
    <xdr:sp macro="" textlink="">
      <xdr:nvSpPr>
        <xdr:cNvPr id="66179033" name="Line 98"/>
        <xdr:cNvSpPr>
          <a:spLocks noChangeShapeType="1"/>
        </xdr:cNvSpPr>
      </xdr:nvSpPr>
      <xdr:spPr bwMode="auto">
        <a:xfrm>
          <a:off x="4486275" y="2495550"/>
          <a:ext cx="3352800" cy="0"/>
        </a:xfrm>
        <a:prstGeom prst="line">
          <a:avLst/>
        </a:prstGeom>
        <a:noFill/>
        <a:ln w="9525">
          <a:solidFill>
            <a:srgbClr val="000000"/>
          </a:solidFill>
          <a:round/>
          <a:headEnd/>
          <a:tailEnd/>
        </a:ln>
      </xdr:spPr>
    </xdr:sp>
    <xdr:clientData/>
  </xdr:twoCellAnchor>
  <xdr:twoCellAnchor>
    <xdr:from>
      <xdr:col>1</xdr:col>
      <xdr:colOff>247650</xdr:colOff>
      <xdr:row>14</xdr:row>
      <xdr:rowOff>85725</xdr:rowOff>
    </xdr:from>
    <xdr:to>
      <xdr:col>5</xdr:col>
      <xdr:colOff>0</xdr:colOff>
      <xdr:row>14</xdr:row>
      <xdr:rowOff>85725</xdr:rowOff>
    </xdr:to>
    <xdr:sp macro="" textlink="">
      <xdr:nvSpPr>
        <xdr:cNvPr id="66179034" name="Line 99"/>
        <xdr:cNvSpPr>
          <a:spLocks noChangeShapeType="1"/>
        </xdr:cNvSpPr>
      </xdr:nvSpPr>
      <xdr:spPr bwMode="auto">
        <a:xfrm>
          <a:off x="1238250" y="2505075"/>
          <a:ext cx="1800225" cy="0"/>
        </a:xfrm>
        <a:prstGeom prst="line">
          <a:avLst/>
        </a:prstGeom>
        <a:noFill/>
        <a:ln w="9525">
          <a:solidFill>
            <a:srgbClr val="000000"/>
          </a:solidFill>
          <a:round/>
          <a:headEnd/>
          <a:tailEnd type="triangle" w="med" len="med"/>
        </a:ln>
      </xdr:spPr>
    </xdr:sp>
    <xdr:clientData/>
  </xdr:twoCellAnchor>
  <xdr:twoCellAnchor>
    <xdr:from>
      <xdr:col>2</xdr:col>
      <xdr:colOff>9525</xdr:colOff>
      <xdr:row>31</xdr:row>
      <xdr:rowOff>85725</xdr:rowOff>
    </xdr:from>
    <xdr:to>
      <xdr:col>5</xdr:col>
      <xdr:colOff>0</xdr:colOff>
      <xdr:row>31</xdr:row>
      <xdr:rowOff>85725</xdr:rowOff>
    </xdr:to>
    <xdr:sp macro="" textlink="">
      <xdr:nvSpPr>
        <xdr:cNvPr id="66179035" name="Line 100"/>
        <xdr:cNvSpPr>
          <a:spLocks noChangeShapeType="1"/>
        </xdr:cNvSpPr>
      </xdr:nvSpPr>
      <xdr:spPr bwMode="auto">
        <a:xfrm>
          <a:off x="1257300" y="5257800"/>
          <a:ext cx="1781175" cy="0"/>
        </a:xfrm>
        <a:prstGeom prst="line">
          <a:avLst/>
        </a:prstGeom>
        <a:noFill/>
        <a:ln w="9525">
          <a:solidFill>
            <a:srgbClr val="000000"/>
          </a:solidFill>
          <a:round/>
          <a:headEnd/>
          <a:tailEnd type="triangle" w="med" len="med"/>
        </a:ln>
      </xdr:spPr>
    </xdr:sp>
    <xdr:clientData/>
  </xdr:twoCellAnchor>
  <xdr:twoCellAnchor>
    <xdr:from>
      <xdr:col>4</xdr:col>
      <xdr:colOff>219075</xdr:colOff>
      <xdr:row>9</xdr:row>
      <xdr:rowOff>76200</xdr:rowOff>
    </xdr:from>
    <xdr:to>
      <xdr:col>5</xdr:col>
      <xdr:colOff>0</xdr:colOff>
      <xdr:row>9</xdr:row>
      <xdr:rowOff>76200</xdr:rowOff>
    </xdr:to>
    <xdr:sp macro="" textlink="">
      <xdr:nvSpPr>
        <xdr:cNvPr id="66179037" name="Line 102"/>
        <xdr:cNvSpPr>
          <a:spLocks noChangeShapeType="1"/>
        </xdr:cNvSpPr>
      </xdr:nvSpPr>
      <xdr:spPr bwMode="auto">
        <a:xfrm>
          <a:off x="2676525" y="1685925"/>
          <a:ext cx="361950" cy="0"/>
        </a:xfrm>
        <a:prstGeom prst="line">
          <a:avLst/>
        </a:prstGeom>
        <a:noFill/>
        <a:ln w="9525">
          <a:solidFill>
            <a:srgbClr val="000000"/>
          </a:solidFill>
          <a:round/>
          <a:headEnd/>
          <a:tailEnd type="triangle" w="med" len="med"/>
        </a:ln>
      </xdr:spPr>
    </xdr:sp>
    <xdr:clientData/>
  </xdr:twoCellAnchor>
  <xdr:twoCellAnchor>
    <xdr:from>
      <xdr:col>4</xdr:col>
      <xdr:colOff>0</xdr:colOff>
      <xdr:row>23</xdr:row>
      <xdr:rowOff>114300</xdr:rowOff>
    </xdr:from>
    <xdr:to>
      <xdr:col>5</xdr:col>
      <xdr:colOff>0</xdr:colOff>
      <xdr:row>23</xdr:row>
      <xdr:rowOff>133350</xdr:rowOff>
    </xdr:to>
    <xdr:sp macro="" textlink="">
      <xdr:nvSpPr>
        <xdr:cNvPr id="66179038" name="Line 103"/>
        <xdr:cNvSpPr>
          <a:spLocks noChangeShapeType="1"/>
        </xdr:cNvSpPr>
      </xdr:nvSpPr>
      <xdr:spPr bwMode="auto">
        <a:xfrm flipV="1">
          <a:off x="2457450" y="3990975"/>
          <a:ext cx="581025" cy="19050"/>
        </a:xfrm>
        <a:prstGeom prst="line">
          <a:avLst/>
        </a:prstGeom>
        <a:noFill/>
        <a:ln w="9525">
          <a:solidFill>
            <a:srgbClr val="000000"/>
          </a:solidFill>
          <a:round/>
          <a:headEnd/>
          <a:tailEnd type="triangle" w="med" len="med"/>
        </a:ln>
      </xdr:spPr>
    </xdr:sp>
    <xdr:clientData/>
  </xdr:twoCellAnchor>
  <xdr:twoCellAnchor>
    <xdr:from>
      <xdr:col>10</xdr:col>
      <xdr:colOff>9525</xdr:colOff>
      <xdr:row>23</xdr:row>
      <xdr:rowOff>76200</xdr:rowOff>
    </xdr:from>
    <xdr:to>
      <xdr:col>11</xdr:col>
      <xdr:colOff>0</xdr:colOff>
      <xdr:row>23</xdr:row>
      <xdr:rowOff>76200</xdr:rowOff>
    </xdr:to>
    <xdr:sp macro="" textlink="">
      <xdr:nvSpPr>
        <xdr:cNvPr id="66179039" name="Line 104"/>
        <xdr:cNvSpPr>
          <a:spLocks noChangeShapeType="1"/>
        </xdr:cNvSpPr>
      </xdr:nvSpPr>
      <xdr:spPr bwMode="auto">
        <a:xfrm>
          <a:off x="5962650" y="3952875"/>
          <a:ext cx="400050" cy="0"/>
        </a:xfrm>
        <a:prstGeom prst="line">
          <a:avLst/>
        </a:prstGeom>
        <a:noFill/>
        <a:ln w="9525">
          <a:solidFill>
            <a:srgbClr val="000000"/>
          </a:solidFill>
          <a:round/>
          <a:headEnd/>
          <a:tailEnd type="triangle" w="med" len="med"/>
        </a:ln>
      </xdr:spPr>
    </xdr:sp>
    <xdr:clientData/>
  </xdr:twoCellAnchor>
  <xdr:twoCellAnchor>
    <xdr:from>
      <xdr:col>2</xdr:col>
      <xdr:colOff>28575</xdr:colOff>
      <xdr:row>9</xdr:row>
      <xdr:rowOff>133350</xdr:rowOff>
    </xdr:from>
    <xdr:to>
      <xdr:col>4</xdr:col>
      <xdr:colOff>200025</xdr:colOff>
      <xdr:row>9</xdr:row>
      <xdr:rowOff>133350</xdr:rowOff>
    </xdr:to>
    <xdr:sp macro="" textlink="">
      <xdr:nvSpPr>
        <xdr:cNvPr id="66179040" name="Line 105"/>
        <xdr:cNvSpPr>
          <a:spLocks noChangeShapeType="1"/>
        </xdr:cNvSpPr>
      </xdr:nvSpPr>
      <xdr:spPr bwMode="auto">
        <a:xfrm>
          <a:off x="1276350" y="1743075"/>
          <a:ext cx="1381125" cy="0"/>
        </a:xfrm>
        <a:prstGeom prst="line">
          <a:avLst/>
        </a:prstGeom>
        <a:noFill/>
        <a:ln w="9525">
          <a:solidFill>
            <a:srgbClr val="000000"/>
          </a:solidFill>
          <a:round/>
          <a:headEnd/>
          <a:tailEnd/>
        </a:ln>
      </xdr:spPr>
    </xdr:sp>
    <xdr:clientData/>
  </xdr:twoCellAnchor>
  <xdr:twoCellAnchor>
    <xdr:from>
      <xdr:col>2</xdr:col>
      <xdr:colOff>28575</xdr:colOff>
      <xdr:row>10</xdr:row>
      <xdr:rowOff>95250</xdr:rowOff>
    </xdr:from>
    <xdr:to>
      <xdr:col>4</xdr:col>
      <xdr:colOff>209550</xdr:colOff>
      <xdr:row>10</xdr:row>
      <xdr:rowOff>95250</xdr:rowOff>
    </xdr:to>
    <xdr:sp macro="" textlink="">
      <xdr:nvSpPr>
        <xdr:cNvPr id="66179041" name="Line 106"/>
        <xdr:cNvSpPr>
          <a:spLocks noChangeShapeType="1"/>
        </xdr:cNvSpPr>
      </xdr:nvSpPr>
      <xdr:spPr bwMode="auto">
        <a:xfrm>
          <a:off x="1276350" y="1866900"/>
          <a:ext cx="1390650" cy="0"/>
        </a:xfrm>
        <a:prstGeom prst="line">
          <a:avLst/>
        </a:prstGeom>
        <a:noFill/>
        <a:ln w="9525">
          <a:solidFill>
            <a:srgbClr val="000000"/>
          </a:solidFill>
          <a:round/>
          <a:headEnd/>
          <a:tailEnd/>
        </a:ln>
      </xdr:spPr>
    </xdr:sp>
    <xdr:clientData/>
  </xdr:twoCellAnchor>
  <xdr:twoCellAnchor>
    <xdr:from>
      <xdr:col>2</xdr:col>
      <xdr:colOff>28575</xdr:colOff>
      <xdr:row>11</xdr:row>
      <xdr:rowOff>95250</xdr:rowOff>
    </xdr:from>
    <xdr:to>
      <xdr:col>4</xdr:col>
      <xdr:colOff>219075</xdr:colOff>
      <xdr:row>11</xdr:row>
      <xdr:rowOff>95250</xdr:rowOff>
    </xdr:to>
    <xdr:sp macro="" textlink="">
      <xdr:nvSpPr>
        <xdr:cNvPr id="66179042" name="Line 107"/>
        <xdr:cNvSpPr>
          <a:spLocks noChangeShapeType="1"/>
        </xdr:cNvSpPr>
      </xdr:nvSpPr>
      <xdr:spPr bwMode="auto">
        <a:xfrm>
          <a:off x="1276350" y="2028825"/>
          <a:ext cx="1400175" cy="0"/>
        </a:xfrm>
        <a:prstGeom prst="line">
          <a:avLst/>
        </a:prstGeom>
        <a:noFill/>
        <a:ln w="9525">
          <a:solidFill>
            <a:srgbClr val="000000"/>
          </a:solidFill>
          <a:round/>
          <a:headEnd/>
          <a:tailEnd/>
        </a:ln>
      </xdr:spPr>
    </xdr:sp>
    <xdr:clientData/>
  </xdr:twoCellAnchor>
  <xdr:twoCellAnchor>
    <xdr:from>
      <xdr:col>2</xdr:col>
      <xdr:colOff>28575</xdr:colOff>
      <xdr:row>35</xdr:row>
      <xdr:rowOff>95250</xdr:rowOff>
    </xdr:from>
    <xdr:to>
      <xdr:col>4</xdr:col>
      <xdr:colOff>171450</xdr:colOff>
      <xdr:row>35</xdr:row>
      <xdr:rowOff>95250</xdr:rowOff>
    </xdr:to>
    <xdr:sp macro="" textlink="">
      <xdr:nvSpPr>
        <xdr:cNvPr id="66179043" name="Line 113"/>
        <xdr:cNvSpPr>
          <a:spLocks noChangeShapeType="1"/>
        </xdr:cNvSpPr>
      </xdr:nvSpPr>
      <xdr:spPr bwMode="auto">
        <a:xfrm>
          <a:off x="1276350" y="5915025"/>
          <a:ext cx="1352550" cy="0"/>
        </a:xfrm>
        <a:prstGeom prst="line">
          <a:avLst/>
        </a:prstGeom>
        <a:noFill/>
        <a:ln w="9525">
          <a:solidFill>
            <a:srgbClr val="000000"/>
          </a:solidFill>
          <a:round/>
          <a:headEnd/>
          <a:tailEnd/>
        </a:ln>
      </xdr:spPr>
    </xdr:sp>
    <xdr:clientData/>
  </xdr:twoCellAnchor>
  <xdr:twoCellAnchor>
    <xdr:from>
      <xdr:col>2</xdr:col>
      <xdr:colOff>28575</xdr:colOff>
      <xdr:row>36</xdr:row>
      <xdr:rowOff>95250</xdr:rowOff>
    </xdr:from>
    <xdr:to>
      <xdr:col>4</xdr:col>
      <xdr:colOff>190500</xdr:colOff>
      <xdr:row>36</xdr:row>
      <xdr:rowOff>95250</xdr:rowOff>
    </xdr:to>
    <xdr:sp macro="" textlink="">
      <xdr:nvSpPr>
        <xdr:cNvPr id="66179044" name="Line 114"/>
        <xdr:cNvSpPr>
          <a:spLocks noChangeShapeType="1"/>
        </xdr:cNvSpPr>
      </xdr:nvSpPr>
      <xdr:spPr bwMode="auto">
        <a:xfrm>
          <a:off x="1276350" y="6076950"/>
          <a:ext cx="1371600" cy="0"/>
        </a:xfrm>
        <a:prstGeom prst="line">
          <a:avLst/>
        </a:prstGeom>
        <a:noFill/>
        <a:ln w="9525">
          <a:solidFill>
            <a:srgbClr val="000000"/>
          </a:solidFill>
          <a:round/>
          <a:headEnd/>
          <a:tailEnd/>
        </a:ln>
      </xdr:spPr>
    </xdr:sp>
    <xdr:clientData/>
  </xdr:twoCellAnchor>
  <xdr:twoCellAnchor>
    <xdr:from>
      <xdr:col>6</xdr:col>
      <xdr:colOff>9525</xdr:colOff>
      <xdr:row>31</xdr:row>
      <xdr:rowOff>85725</xdr:rowOff>
    </xdr:from>
    <xdr:to>
      <xdr:col>6</xdr:col>
      <xdr:colOff>361950</xdr:colOff>
      <xdr:row>31</xdr:row>
      <xdr:rowOff>85725</xdr:rowOff>
    </xdr:to>
    <xdr:sp macro="" textlink="">
      <xdr:nvSpPr>
        <xdr:cNvPr id="66179045" name="Line 116"/>
        <xdr:cNvSpPr>
          <a:spLocks noChangeShapeType="1"/>
        </xdr:cNvSpPr>
      </xdr:nvSpPr>
      <xdr:spPr bwMode="auto">
        <a:xfrm>
          <a:off x="3981450" y="5257800"/>
          <a:ext cx="352425" cy="0"/>
        </a:xfrm>
        <a:prstGeom prst="line">
          <a:avLst/>
        </a:prstGeom>
        <a:noFill/>
        <a:ln w="9525">
          <a:solidFill>
            <a:srgbClr val="000000"/>
          </a:solidFill>
          <a:round/>
          <a:headEnd/>
          <a:tailEnd/>
        </a:ln>
      </xdr:spPr>
    </xdr:sp>
    <xdr:clientData/>
  </xdr:twoCellAnchor>
  <xdr:twoCellAnchor>
    <xdr:from>
      <xdr:col>6</xdr:col>
      <xdr:colOff>9525</xdr:colOff>
      <xdr:row>35</xdr:row>
      <xdr:rowOff>85725</xdr:rowOff>
    </xdr:from>
    <xdr:to>
      <xdr:col>6</xdr:col>
      <xdr:colOff>361950</xdr:colOff>
      <xdr:row>35</xdr:row>
      <xdr:rowOff>85725</xdr:rowOff>
    </xdr:to>
    <xdr:sp macro="" textlink="">
      <xdr:nvSpPr>
        <xdr:cNvPr id="66179046" name="Line 117"/>
        <xdr:cNvSpPr>
          <a:spLocks noChangeShapeType="1"/>
        </xdr:cNvSpPr>
      </xdr:nvSpPr>
      <xdr:spPr bwMode="auto">
        <a:xfrm>
          <a:off x="3981450" y="5905500"/>
          <a:ext cx="352425" cy="0"/>
        </a:xfrm>
        <a:prstGeom prst="line">
          <a:avLst/>
        </a:prstGeom>
        <a:noFill/>
        <a:ln w="9525">
          <a:solidFill>
            <a:srgbClr val="000000"/>
          </a:solidFill>
          <a:round/>
          <a:headEnd/>
          <a:tailEnd/>
        </a:ln>
      </xdr:spPr>
    </xdr:sp>
    <xdr:clientData/>
  </xdr:twoCellAnchor>
  <xdr:twoCellAnchor>
    <xdr:from>
      <xdr:col>6</xdr:col>
      <xdr:colOff>9525</xdr:colOff>
      <xdr:row>38</xdr:row>
      <xdr:rowOff>85725</xdr:rowOff>
    </xdr:from>
    <xdr:to>
      <xdr:col>6</xdr:col>
      <xdr:colOff>361950</xdr:colOff>
      <xdr:row>38</xdr:row>
      <xdr:rowOff>85725</xdr:rowOff>
    </xdr:to>
    <xdr:sp macro="" textlink="">
      <xdr:nvSpPr>
        <xdr:cNvPr id="66179047" name="Line 118"/>
        <xdr:cNvSpPr>
          <a:spLocks noChangeShapeType="1"/>
        </xdr:cNvSpPr>
      </xdr:nvSpPr>
      <xdr:spPr bwMode="auto">
        <a:xfrm>
          <a:off x="3981450" y="6391275"/>
          <a:ext cx="352425" cy="0"/>
        </a:xfrm>
        <a:prstGeom prst="line">
          <a:avLst/>
        </a:prstGeom>
        <a:noFill/>
        <a:ln w="9525">
          <a:solidFill>
            <a:srgbClr val="000000"/>
          </a:solidFill>
          <a:round/>
          <a:headEnd/>
          <a:tailEnd/>
        </a:ln>
      </xdr:spPr>
    </xdr:sp>
    <xdr:clientData/>
  </xdr:twoCellAnchor>
  <xdr:twoCellAnchor>
    <xdr:from>
      <xdr:col>10</xdr:col>
      <xdr:colOff>9525</xdr:colOff>
      <xdr:row>26</xdr:row>
      <xdr:rowOff>85725</xdr:rowOff>
    </xdr:from>
    <xdr:to>
      <xdr:col>10</xdr:col>
      <xdr:colOff>409575</xdr:colOff>
      <xdr:row>26</xdr:row>
      <xdr:rowOff>85725</xdr:rowOff>
    </xdr:to>
    <xdr:sp macro="" textlink="">
      <xdr:nvSpPr>
        <xdr:cNvPr id="66179048" name="Line 119"/>
        <xdr:cNvSpPr>
          <a:spLocks noChangeShapeType="1"/>
        </xdr:cNvSpPr>
      </xdr:nvSpPr>
      <xdr:spPr bwMode="auto">
        <a:xfrm>
          <a:off x="5962650" y="4448175"/>
          <a:ext cx="400050" cy="0"/>
        </a:xfrm>
        <a:prstGeom prst="line">
          <a:avLst/>
        </a:prstGeom>
        <a:noFill/>
        <a:ln w="9525">
          <a:solidFill>
            <a:srgbClr val="000000"/>
          </a:solidFill>
          <a:round/>
          <a:headEnd/>
          <a:tailEnd/>
        </a:ln>
      </xdr:spPr>
    </xdr:sp>
    <xdr:clientData/>
  </xdr:twoCellAnchor>
  <xdr:twoCellAnchor>
    <xdr:from>
      <xdr:col>10</xdr:col>
      <xdr:colOff>9525</xdr:colOff>
      <xdr:row>29</xdr:row>
      <xdr:rowOff>85725</xdr:rowOff>
    </xdr:from>
    <xdr:to>
      <xdr:col>10</xdr:col>
      <xdr:colOff>409575</xdr:colOff>
      <xdr:row>29</xdr:row>
      <xdr:rowOff>85725</xdr:rowOff>
    </xdr:to>
    <xdr:sp macro="" textlink="">
      <xdr:nvSpPr>
        <xdr:cNvPr id="66179049" name="Line 120"/>
        <xdr:cNvSpPr>
          <a:spLocks noChangeShapeType="1"/>
        </xdr:cNvSpPr>
      </xdr:nvSpPr>
      <xdr:spPr bwMode="auto">
        <a:xfrm>
          <a:off x="5962650" y="4933950"/>
          <a:ext cx="400050" cy="0"/>
        </a:xfrm>
        <a:prstGeom prst="line">
          <a:avLst/>
        </a:prstGeom>
        <a:noFill/>
        <a:ln w="9525">
          <a:solidFill>
            <a:srgbClr val="000000"/>
          </a:solidFill>
          <a:round/>
          <a:headEnd/>
          <a:tailEnd/>
        </a:ln>
      </xdr:spPr>
    </xdr:sp>
    <xdr:clientData/>
  </xdr:twoCellAnchor>
  <xdr:twoCellAnchor>
    <xdr:from>
      <xdr:col>6</xdr:col>
      <xdr:colOff>9525</xdr:colOff>
      <xdr:row>16</xdr:row>
      <xdr:rowOff>85725</xdr:rowOff>
    </xdr:from>
    <xdr:to>
      <xdr:col>6</xdr:col>
      <xdr:colOff>361950</xdr:colOff>
      <xdr:row>16</xdr:row>
      <xdr:rowOff>85725</xdr:rowOff>
    </xdr:to>
    <xdr:sp macro="" textlink="">
      <xdr:nvSpPr>
        <xdr:cNvPr id="66179050" name="Line 121"/>
        <xdr:cNvSpPr>
          <a:spLocks noChangeShapeType="1"/>
        </xdr:cNvSpPr>
      </xdr:nvSpPr>
      <xdr:spPr bwMode="auto">
        <a:xfrm>
          <a:off x="3981450" y="2828925"/>
          <a:ext cx="352425" cy="0"/>
        </a:xfrm>
        <a:prstGeom prst="line">
          <a:avLst/>
        </a:prstGeom>
        <a:noFill/>
        <a:ln w="9525">
          <a:solidFill>
            <a:srgbClr val="000000"/>
          </a:solidFill>
          <a:round/>
          <a:headEnd/>
          <a:tailEnd/>
        </a:ln>
      </xdr:spPr>
    </xdr:sp>
    <xdr:clientData/>
  </xdr:twoCellAnchor>
  <xdr:twoCellAnchor>
    <xdr:from>
      <xdr:col>4</xdr:col>
      <xdr:colOff>123825</xdr:colOff>
      <xdr:row>14</xdr:row>
      <xdr:rowOff>104775</xdr:rowOff>
    </xdr:from>
    <xdr:to>
      <xdr:col>4</xdr:col>
      <xdr:colOff>561975</xdr:colOff>
      <xdr:row>15</xdr:row>
      <xdr:rowOff>66675</xdr:rowOff>
    </xdr:to>
    <xdr:sp macro="" textlink="">
      <xdr:nvSpPr>
        <xdr:cNvPr id="66179053" name="Line 129"/>
        <xdr:cNvSpPr>
          <a:spLocks noChangeShapeType="1"/>
        </xdr:cNvSpPr>
      </xdr:nvSpPr>
      <xdr:spPr bwMode="auto">
        <a:xfrm flipV="1">
          <a:off x="2581275" y="2524125"/>
          <a:ext cx="438150" cy="123825"/>
        </a:xfrm>
        <a:prstGeom prst="line">
          <a:avLst/>
        </a:prstGeom>
        <a:noFill/>
        <a:ln w="9525">
          <a:solidFill>
            <a:srgbClr val="000000"/>
          </a:solidFill>
          <a:round/>
          <a:headEnd/>
          <a:tailEnd type="triangle" w="med" len="med"/>
        </a:ln>
      </xdr:spPr>
    </xdr:sp>
    <xdr:clientData/>
  </xdr:twoCellAnchor>
  <xdr:twoCellAnchor>
    <xdr:from>
      <xdr:col>4</xdr:col>
      <xdr:colOff>9525</xdr:colOff>
      <xdr:row>26</xdr:row>
      <xdr:rowOff>95250</xdr:rowOff>
    </xdr:from>
    <xdr:to>
      <xdr:col>8</xdr:col>
      <xdr:colOff>466725</xdr:colOff>
      <xdr:row>27</xdr:row>
      <xdr:rowOff>95250</xdr:rowOff>
    </xdr:to>
    <xdr:sp macro="" textlink="">
      <xdr:nvSpPr>
        <xdr:cNvPr id="66179054" name="Line 130"/>
        <xdr:cNvSpPr>
          <a:spLocks noChangeShapeType="1"/>
        </xdr:cNvSpPr>
      </xdr:nvSpPr>
      <xdr:spPr bwMode="auto">
        <a:xfrm flipV="1">
          <a:off x="2466975" y="4457700"/>
          <a:ext cx="2495550" cy="161925"/>
        </a:xfrm>
        <a:prstGeom prst="line">
          <a:avLst/>
        </a:prstGeom>
        <a:noFill/>
        <a:ln w="9525">
          <a:solidFill>
            <a:srgbClr val="000000"/>
          </a:solidFill>
          <a:round/>
          <a:headEnd/>
          <a:tailEnd type="triangle" w="med" len="med"/>
        </a:ln>
      </xdr:spPr>
    </xdr:sp>
    <xdr:clientData/>
  </xdr:twoCellAnchor>
  <xdr:twoCellAnchor>
    <xdr:from>
      <xdr:col>4</xdr:col>
      <xdr:colOff>466725</xdr:colOff>
      <xdr:row>18</xdr:row>
      <xdr:rowOff>51435</xdr:rowOff>
    </xdr:from>
    <xdr:to>
      <xdr:col>8</xdr:col>
      <xdr:colOff>419100</xdr:colOff>
      <xdr:row>19</xdr:row>
      <xdr:rowOff>47625</xdr:rowOff>
    </xdr:to>
    <xdr:sp macro="" textlink="">
      <xdr:nvSpPr>
        <xdr:cNvPr id="66179055" name="Line 131"/>
        <xdr:cNvSpPr>
          <a:spLocks noChangeShapeType="1"/>
        </xdr:cNvSpPr>
      </xdr:nvSpPr>
      <xdr:spPr bwMode="auto">
        <a:xfrm>
          <a:off x="2924175" y="3118485"/>
          <a:ext cx="1990725" cy="158115"/>
        </a:xfrm>
        <a:prstGeom prst="line">
          <a:avLst/>
        </a:prstGeom>
        <a:noFill/>
        <a:ln w="9525">
          <a:solidFill>
            <a:srgbClr val="000000"/>
          </a:solidFill>
          <a:round/>
          <a:headEnd/>
          <a:tailEnd type="triangle" w="med" len="med"/>
        </a:ln>
      </xdr:spPr>
    </xdr:sp>
    <xdr:clientData/>
  </xdr:twoCellAnchor>
  <xdr:twoCellAnchor>
    <xdr:from>
      <xdr:col>2</xdr:col>
      <xdr:colOff>28575</xdr:colOff>
      <xdr:row>8</xdr:row>
      <xdr:rowOff>95250</xdr:rowOff>
    </xdr:from>
    <xdr:to>
      <xdr:col>4</xdr:col>
      <xdr:colOff>200025</xdr:colOff>
      <xdr:row>8</xdr:row>
      <xdr:rowOff>95250</xdr:rowOff>
    </xdr:to>
    <xdr:sp macro="" textlink="">
      <xdr:nvSpPr>
        <xdr:cNvPr id="66179056" name="Line 2"/>
        <xdr:cNvSpPr>
          <a:spLocks noChangeShapeType="1"/>
        </xdr:cNvSpPr>
      </xdr:nvSpPr>
      <xdr:spPr bwMode="auto">
        <a:xfrm>
          <a:off x="1276350" y="1543050"/>
          <a:ext cx="1381125" cy="0"/>
        </a:xfrm>
        <a:prstGeom prst="line">
          <a:avLst/>
        </a:prstGeom>
        <a:noFill/>
        <a:ln w="9525">
          <a:solidFill>
            <a:srgbClr val="000000"/>
          </a:solidFill>
          <a:round/>
          <a:headEnd/>
          <a:tailEnd/>
        </a:ln>
      </xdr:spPr>
    </xdr:sp>
    <xdr:clientData/>
  </xdr:twoCellAnchor>
  <xdr:twoCellAnchor>
    <xdr:from>
      <xdr:col>4</xdr:col>
      <xdr:colOff>209550</xdr:colOff>
      <xdr:row>8</xdr:row>
      <xdr:rowOff>85725</xdr:rowOff>
    </xdr:from>
    <xdr:to>
      <xdr:col>4</xdr:col>
      <xdr:colOff>209550</xdr:colOff>
      <xdr:row>11</xdr:row>
      <xdr:rowOff>85725</xdr:rowOff>
    </xdr:to>
    <xdr:sp macro="" textlink="">
      <xdr:nvSpPr>
        <xdr:cNvPr id="66179057" name="Line 15"/>
        <xdr:cNvSpPr>
          <a:spLocks noChangeShapeType="1"/>
        </xdr:cNvSpPr>
      </xdr:nvSpPr>
      <xdr:spPr bwMode="auto">
        <a:xfrm>
          <a:off x="2667000" y="1533525"/>
          <a:ext cx="0" cy="485775"/>
        </a:xfrm>
        <a:prstGeom prst="line">
          <a:avLst/>
        </a:prstGeom>
        <a:noFill/>
        <a:ln w="9525">
          <a:solidFill>
            <a:srgbClr val="000000"/>
          </a:solidFill>
          <a:round/>
          <a:headEnd/>
          <a:tailEnd/>
        </a:ln>
      </xdr:spPr>
    </xdr:sp>
    <xdr:clientData/>
  </xdr:twoCellAnchor>
  <xdr:twoCellAnchor>
    <xdr:from>
      <xdr:col>2</xdr:col>
      <xdr:colOff>361950</xdr:colOff>
      <xdr:row>14</xdr:row>
      <xdr:rowOff>85725</xdr:rowOff>
    </xdr:from>
    <xdr:to>
      <xdr:col>3</xdr:col>
      <xdr:colOff>0</xdr:colOff>
      <xdr:row>14</xdr:row>
      <xdr:rowOff>85725</xdr:rowOff>
    </xdr:to>
    <xdr:sp macro="" textlink="">
      <xdr:nvSpPr>
        <xdr:cNvPr id="66179058" name="Line 17"/>
        <xdr:cNvSpPr>
          <a:spLocks noChangeShapeType="1"/>
        </xdr:cNvSpPr>
      </xdr:nvSpPr>
      <xdr:spPr bwMode="auto">
        <a:xfrm>
          <a:off x="1590675" y="2505075"/>
          <a:ext cx="0" cy="0"/>
        </a:xfrm>
        <a:prstGeom prst="line">
          <a:avLst/>
        </a:prstGeom>
        <a:noFill/>
        <a:ln w="9525">
          <a:solidFill>
            <a:srgbClr val="000000"/>
          </a:solidFill>
          <a:round/>
          <a:headEnd/>
          <a:tailEnd/>
        </a:ln>
      </xdr:spPr>
    </xdr:sp>
    <xdr:clientData/>
  </xdr:twoCellAnchor>
  <xdr:twoCellAnchor>
    <xdr:from>
      <xdr:col>6</xdr:col>
      <xdr:colOff>9525</xdr:colOff>
      <xdr:row>14</xdr:row>
      <xdr:rowOff>85725</xdr:rowOff>
    </xdr:from>
    <xdr:to>
      <xdr:col>6</xdr:col>
      <xdr:colOff>361950</xdr:colOff>
      <xdr:row>14</xdr:row>
      <xdr:rowOff>85725</xdr:rowOff>
    </xdr:to>
    <xdr:sp macro="" textlink="">
      <xdr:nvSpPr>
        <xdr:cNvPr id="66179059" name="Line 19"/>
        <xdr:cNvSpPr>
          <a:spLocks noChangeShapeType="1"/>
        </xdr:cNvSpPr>
      </xdr:nvSpPr>
      <xdr:spPr bwMode="auto">
        <a:xfrm>
          <a:off x="3981450" y="2505075"/>
          <a:ext cx="352425" cy="0"/>
        </a:xfrm>
        <a:prstGeom prst="line">
          <a:avLst/>
        </a:prstGeom>
        <a:noFill/>
        <a:ln w="9525">
          <a:solidFill>
            <a:srgbClr val="000000"/>
          </a:solidFill>
          <a:round/>
          <a:headEnd/>
          <a:tailEnd/>
        </a:ln>
      </xdr:spPr>
    </xdr:sp>
    <xdr:clientData/>
  </xdr:twoCellAnchor>
  <xdr:twoCellAnchor>
    <xdr:from>
      <xdr:col>6</xdr:col>
      <xdr:colOff>9525</xdr:colOff>
      <xdr:row>20</xdr:row>
      <xdr:rowOff>85725</xdr:rowOff>
    </xdr:from>
    <xdr:to>
      <xdr:col>6</xdr:col>
      <xdr:colOff>361950</xdr:colOff>
      <xdr:row>20</xdr:row>
      <xdr:rowOff>85725</xdr:rowOff>
    </xdr:to>
    <xdr:sp macro="" textlink="">
      <xdr:nvSpPr>
        <xdr:cNvPr id="66179060" name="Line 24"/>
        <xdr:cNvSpPr>
          <a:spLocks noChangeShapeType="1"/>
        </xdr:cNvSpPr>
      </xdr:nvSpPr>
      <xdr:spPr bwMode="auto">
        <a:xfrm>
          <a:off x="3981450" y="3476625"/>
          <a:ext cx="352425" cy="0"/>
        </a:xfrm>
        <a:prstGeom prst="line">
          <a:avLst/>
        </a:prstGeom>
        <a:noFill/>
        <a:ln w="9525">
          <a:solidFill>
            <a:srgbClr val="000000"/>
          </a:solidFill>
          <a:round/>
          <a:headEnd/>
          <a:tailEnd/>
        </a:ln>
      </xdr:spPr>
    </xdr:sp>
    <xdr:clientData/>
  </xdr:twoCellAnchor>
  <xdr:twoCellAnchor>
    <xdr:from>
      <xdr:col>10</xdr:col>
      <xdr:colOff>9525</xdr:colOff>
      <xdr:row>17</xdr:row>
      <xdr:rowOff>85725</xdr:rowOff>
    </xdr:from>
    <xdr:to>
      <xdr:col>10</xdr:col>
      <xdr:colOff>409575</xdr:colOff>
      <xdr:row>17</xdr:row>
      <xdr:rowOff>85725</xdr:rowOff>
    </xdr:to>
    <xdr:sp macro="" textlink="">
      <xdr:nvSpPr>
        <xdr:cNvPr id="66179061" name="Line 26"/>
        <xdr:cNvSpPr>
          <a:spLocks noChangeShapeType="1"/>
        </xdr:cNvSpPr>
      </xdr:nvSpPr>
      <xdr:spPr bwMode="auto">
        <a:xfrm>
          <a:off x="5962650" y="2990850"/>
          <a:ext cx="400050" cy="0"/>
        </a:xfrm>
        <a:prstGeom prst="line">
          <a:avLst/>
        </a:prstGeom>
        <a:noFill/>
        <a:ln w="9525">
          <a:solidFill>
            <a:srgbClr val="000000"/>
          </a:solidFill>
          <a:round/>
          <a:headEnd/>
          <a:tailEnd/>
        </a:ln>
      </xdr:spPr>
    </xdr:sp>
    <xdr:clientData/>
  </xdr:twoCellAnchor>
  <xdr:twoCellAnchor>
    <xdr:from>
      <xdr:col>6</xdr:col>
      <xdr:colOff>9525</xdr:colOff>
      <xdr:row>9</xdr:row>
      <xdr:rowOff>85725</xdr:rowOff>
    </xdr:from>
    <xdr:to>
      <xdr:col>6</xdr:col>
      <xdr:colOff>361950</xdr:colOff>
      <xdr:row>9</xdr:row>
      <xdr:rowOff>85725</xdr:rowOff>
    </xdr:to>
    <xdr:sp macro="" textlink="">
      <xdr:nvSpPr>
        <xdr:cNvPr id="66179062" name="Line 27"/>
        <xdr:cNvSpPr>
          <a:spLocks noChangeShapeType="1"/>
        </xdr:cNvSpPr>
      </xdr:nvSpPr>
      <xdr:spPr bwMode="auto">
        <a:xfrm>
          <a:off x="3981450" y="1695450"/>
          <a:ext cx="352425" cy="0"/>
        </a:xfrm>
        <a:prstGeom prst="line">
          <a:avLst/>
        </a:prstGeom>
        <a:noFill/>
        <a:ln w="9525">
          <a:solidFill>
            <a:srgbClr val="000000"/>
          </a:solidFill>
          <a:round/>
          <a:headEnd/>
          <a:tailEnd/>
        </a:ln>
      </xdr:spPr>
    </xdr:sp>
    <xdr:clientData/>
  </xdr:twoCellAnchor>
  <xdr:twoCellAnchor>
    <xdr:from>
      <xdr:col>8</xdr:col>
      <xdr:colOff>9525</xdr:colOff>
      <xdr:row>9</xdr:row>
      <xdr:rowOff>85725</xdr:rowOff>
    </xdr:from>
    <xdr:to>
      <xdr:col>12</xdr:col>
      <xdr:colOff>0</xdr:colOff>
      <xdr:row>9</xdr:row>
      <xdr:rowOff>85725</xdr:rowOff>
    </xdr:to>
    <xdr:sp macro="" textlink="">
      <xdr:nvSpPr>
        <xdr:cNvPr id="66179063" name="Line 28"/>
        <xdr:cNvSpPr>
          <a:spLocks noChangeShapeType="1"/>
        </xdr:cNvSpPr>
      </xdr:nvSpPr>
      <xdr:spPr bwMode="auto">
        <a:xfrm>
          <a:off x="4505325" y="1695450"/>
          <a:ext cx="2038350" cy="0"/>
        </a:xfrm>
        <a:prstGeom prst="line">
          <a:avLst/>
        </a:prstGeom>
        <a:noFill/>
        <a:ln w="9525">
          <a:solidFill>
            <a:srgbClr val="000000"/>
          </a:solidFill>
          <a:round/>
          <a:headEnd/>
          <a:tailEnd/>
        </a:ln>
      </xdr:spPr>
    </xdr:sp>
    <xdr:clientData/>
  </xdr:twoCellAnchor>
  <xdr:twoCellAnchor>
    <xdr:from>
      <xdr:col>13</xdr:col>
      <xdr:colOff>9525</xdr:colOff>
      <xdr:row>9</xdr:row>
      <xdr:rowOff>85725</xdr:rowOff>
    </xdr:from>
    <xdr:to>
      <xdr:col>13</xdr:col>
      <xdr:colOff>228600</xdr:colOff>
      <xdr:row>9</xdr:row>
      <xdr:rowOff>85725</xdr:rowOff>
    </xdr:to>
    <xdr:sp macro="" textlink="">
      <xdr:nvSpPr>
        <xdr:cNvPr id="66179064" name="Line 29"/>
        <xdr:cNvSpPr>
          <a:spLocks noChangeShapeType="1"/>
        </xdr:cNvSpPr>
      </xdr:nvSpPr>
      <xdr:spPr bwMode="auto">
        <a:xfrm>
          <a:off x="7267575" y="1695450"/>
          <a:ext cx="219075" cy="0"/>
        </a:xfrm>
        <a:prstGeom prst="line">
          <a:avLst/>
        </a:prstGeom>
        <a:noFill/>
        <a:ln w="9525">
          <a:solidFill>
            <a:srgbClr val="000000"/>
          </a:solidFill>
          <a:round/>
          <a:headEnd/>
          <a:tailEnd/>
        </a:ln>
      </xdr:spPr>
    </xdr:sp>
    <xdr:clientData/>
  </xdr:twoCellAnchor>
  <xdr:twoCellAnchor>
    <xdr:from>
      <xdr:col>6</xdr:col>
      <xdr:colOff>9525</xdr:colOff>
      <xdr:row>23</xdr:row>
      <xdr:rowOff>85725</xdr:rowOff>
    </xdr:from>
    <xdr:to>
      <xdr:col>6</xdr:col>
      <xdr:colOff>361950</xdr:colOff>
      <xdr:row>23</xdr:row>
      <xdr:rowOff>85725</xdr:rowOff>
    </xdr:to>
    <xdr:sp macro="" textlink="">
      <xdr:nvSpPr>
        <xdr:cNvPr id="66179065" name="Line 31"/>
        <xdr:cNvSpPr>
          <a:spLocks noChangeShapeType="1"/>
        </xdr:cNvSpPr>
      </xdr:nvSpPr>
      <xdr:spPr bwMode="auto">
        <a:xfrm>
          <a:off x="3981450" y="3962400"/>
          <a:ext cx="352425" cy="0"/>
        </a:xfrm>
        <a:prstGeom prst="line">
          <a:avLst/>
        </a:prstGeom>
        <a:noFill/>
        <a:ln w="9525">
          <a:solidFill>
            <a:srgbClr val="000000"/>
          </a:solidFill>
          <a:round/>
          <a:headEnd/>
          <a:tailEnd/>
        </a:ln>
      </xdr:spPr>
    </xdr:sp>
    <xdr:clientData/>
  </xdr:twoCellAnchor>
  <xdr:twoCellAnchor>
    <xdr:from>
      <xdr:col>8</xdr:col>
      <xdr:colOff>9525</xdr:colOff>
      <xdr:row>23</xdr:row>
      <xdr:rowOff>85725</xdr:rowOff>
    </xdr:from>
    <xdr:to>
      <xdr:col>8</xdr:col>
      <xdr:colOff>428625</xdr:colOff>
      <xdr:row>23</xdr:row>
      <xdr:rowOff>85725</xdr:rowOff>
    </xdr:to>
    <xdr:sp macro="" textlink="">
      <xdr:nvSpPr>
        <xdr:cNvPr id="66179066" name="Line 32"/>
        <xdr:cNvSpPr>
          <a:spLocks noChangeShapeType="1"/>
        </xdr:cNvSpPr>
      </xdr:nvSpPr>
      <xdr:spPr bwMode="auto">
        <a:xfrm>
          <a:off x="4505325" y="3962400"/>
          <a:ext cx="419100" cy="0"/>
        </a:xfrm>
        <a:prstGeom prst="line">
          <a:avLst/>
        </a:prstGeom>
        <a:noFill/>
        <a:ln w="9525">
          <a:solidFill>
            <a:srgbClr val="000000"/>
          </a:solidFill>
          <a:round/>
          <a:headEnd/>
          <a:tailEnd/>
        </a:ln>
      </xdr:spPr>
    </xdr:sp>
    <xdr:clientData/>
  </xdr:twoCellAnchor>
  <xdr:twoCellAnchor>
    <xdr:from>
      <xdr:col>2</xdr:col>
      <xdr:colOff>361950</xdr:colOff>
      <xdr:row>23</xdr:row>
      <xdr:rowOff>85725</xdr:rowOff>
    </xdr:from>
    <xdr:to>
      <xdr:col>3</xdr:col>
      <xdr:colOff>0</xdr:colOff>
      <xdr:row>23</xdr:row>
      <xdr:rowOff>85725</xdr:rowOff>
    </xdr:to>
    <xdr:sp macro="" textlink="">
      <xdr:nvSpPr>
        <xdr:cNvPr id="66179067" name="Line 33"/>
        <xdr:cNvSpPr>
          <a:spLocks noChangeShapeType="1"/>
        </xdr:cNvSpPr>
      </xdr:nvSpPr>
      <xdr:spPr bwMode="auto">
        <a:xfrm>
          <a:off x="1590675" y="3962400"/>
          <a:ext cx="0" cy="0"/>
        </a:xfrm>
        <a:prstGeom prst="line">
          <a:avLst/>
        </a:prstGeom>
        <a:noFill/>
        <a:ln w="9525">
          <a:solidFill>
            <a:srgbClr val="000000"/>
          </a:solidFill>
          <a:round/>
          <a:headEnd/>
          <a:tailEnd/>
        </a:ln>
      </xdr:spPr>
    </xdr:sp>
    <xdr:clientData/>
  </xdr:twoCellAnchor>
  <xdr:twoCellAnchor>
    <xdr:from>
      <xdr:col>2</xdr:col>
      <xdr:colOff>361950</xdr:colOff>
      <xdr:row>26</xdr:row>
      <xdr:rowOff>85725</xdr:rowOff>
    </xdr:from>
    <xdr:to>
      <xdr:col>3</xdr:col>
      <xdr:colOff>0</xdr:colOff>
      <xdr:row>26</xdr:row>
      <xdr:rowOff>85725</xdr:rowOff>
    </xdr:to>
    <xdr:sp macro="" textlink="">
      <xdr:nvSpPr>
        <xdr:cNvPr id="66179068" name="Line 35"/>
        <xdr:cNvSpPr>
          <a:spLocks noChangeShapeType="1"/>
        </xdr:cNvSpPr>
      </xdr:nvSpPr>
      <xdr:spPr bwMode="auto">
        <a:xfrm>
          <a:off x="1590675" y="4448175"/>
          <a:ext cx="0" cy="0"/>
        </a:xfrm>
        <a:prstGeom prst="line">
          <a:avLst/>
        </a:prstGeom>
        <a:noFill/>
        <a:ln w="9525">
          <a:solidFill>
            <a:srgbClr val="000000"/>
          </a:solidFill>
          <a:round/>
          <a:headEnd/>
          <a:tailEnd/>
        </a:ln>
      </xdr:spPr>
    </xdr:sp>
    <xdr:clientData/>
  </xdr:twoCellAnchor>
  <xdr:twoCellAnchor>
    <xdr:from>
      <xdr:col>2</xdr:col>
      <xdr:colOff>361950</xdr:colOff>
      <xdr:row>31</xdr:row>
      <xdr:rowOff>85725</xdr:rowOff>
    </xdr:from>
    <xdr:to>
      <xdr:col>3</xdr:col>
      <xdr:colOff>0</xdr:colOff>
      <xdr:row>31</xdr:row>
      <xdr:rowOff>85725</xdr:rowOff>
    </xdr:to>
    <xdr:sp macro="" textlink="">
      <xdr:nvSpPr>
        <xdr:cNvPr id="66179069" name="Line 37"/>
        <xdr:cNvSpPr>
          <a:spLocks noChangeShapeType="1"/>
        </xdr:cNvSpPr>
      </xdr:nvSpPr>
      <xdr:spPr bwMode="auto">
        <a:xfrm>
          <a:off x="1590675" y="5257800"/>
          <a:ext cx="0" cy="0"/>
        </a:xfrm>
        <a:prstGeom prst="line">
          <a:avLst/>
        </a:prstGeom>
        <a:noFill/>
        <a:ln w="9525">
          <a:solidFill>
            <a:srgbClr val="000000"/>
          </a:solidFill>
          <a:round/>
          <a:headEnd/>
          <a:tailEnd/>
        </a:ln>
      </xdr:spPr>
    </xdr:sp>
    <xdr:clientData/>
  </xdr:twoCellAnchor>
  <xdr:twoCellAnchor>
    <xdr:from>
      <xdr:col>2</xdr:col>
      <xdr:colOff>361950</xdr:colOff>
      <xdr:row>34</xdr:row>
      <xdr:rowOff>85725</xdr:rowOff>
    </xdr:from>
    <xdr:to>
      <xdr:col>3</xdr:col>
      <xdr:colOff>0</xdr:colOff>
      <xdr:row>34</xdr:row>
      <xdr:rowOff>85725</xdr:rowOff>
    </xdr:to>
    <xdr:sp macro="" textlink="">
      <xdr:nvSpPr>
        <xdr:cNvPr id="66179070" name="Line 39"/>
        <xdr:cNvSpPr>
          <a:spLocks noChangeShapeType="1"/>
        </xdr:cNvSpPr>
      </xdr:nvSpPr>
      <xdr:spPr bwMode="auto">
        <a:xfrm>
          <a:off x="1590675" y="5743575"/>
          <a:ext cx="0" cy="0"/>
        </a:xfrm>
        <a:prstGeom prst="line">
          <a:avLst/>
        </a:prstGeom>
        <a:noFill/>
        <a:ln w="9525">
          <a:solidFill>
            <a:srgbClr val="000000"/>
          </a:solidFill>
          <a:round/>
          <a:headEnd/>
          <a:tailEnd/>
        </a:ln>
      </xdr:spPr>
    </xdr:sp>
    <xdr:clientData/>
  </xdr:twoCellAnchor>
  <xdr:twoCellAnchor>
    <xdr:from>
      <xdr:col>2</xdr:col>
      <xdr:colOff>361950</xdr:colOff>
      <xdr:row>35</xdr:row>
      <xdr:rowOff>85725</xdr:rowOff>
    </xdr:from>
    <xdr:to>
      <xdr:col>3</xdr:col>
      <xdr:colOff>0</xdr:colOff>
      <xdr:row>35</xdr:row>
      <xdr:rowOff>85725</xdr:rowOff>
    </xdr:to>
    <xdr:sp macro="" textlink="">
      <xdr:nvSpPr>
        <xdr:cNvPr id="66179071" name="Line 40"/>
        <xdr:cNvSpPr>
          <a:spLocks noChangeShapeType="1"/>
        </xdr:cNvSpPr>
      </xdr:nvSpPr>
      <xdr:spPr bwMode="auto">
        <a:xfrm>
          <a:off x="1590675" y="5905500"/>
          <a:ext cx="0" cy="0"/>
        </a:xfrm>
        <a:prstGeom prst="line">
          <a:avLst/>
        </a:prstGeom>
        <a:noFill/>
        <a:ln w="9525">
          <a:solidFill>
            <a:srgbClr val="000000"/>
          </a:solidFill>
          <a:round/>
          <a:headEnd/>
          <a:tailEnd/>
        </a:ln>
      </xdr:spPr>
    </xdr:sp>
    <xdr:clientData/>
  </xdr:twoCellAnchor>
  <xdr:twoCellAnchor>
    <xdr:from>
      <xdr:col>2</xdr:col>
      <xdr:colOff>361950</xdr:colOff>
      <xdr:row>36</xdr:row>
      <xdr:rowOff>85725</xdr:rowOff>
    </xdr:from>
    <xdr:to>
      <xdr:col>3</xdr:col>
      <xdr:colOff>0</xdr:colOff>
      <xdr:row>36</xdr:row>
      <xdr:rowOff>85725</xdr:rowOff>
    </xdr:to>
    <xdr:sp macro="" textlink="">
      <xdr:nvSpPr>
        <xdr:cNvPr id="66953216" name="Line 41"/>
        <xdr:cNvSpPr>
          <a:spLocks noChangeShapeType="1"/>
        </xdr:cNvSpPr>
      </xdr:nvSpPr>
      <xdr:spPr bwMode="auto">
        <a:xfrm>
          <a:off x="1590675" y="6067425"/>
          <a:ext cx="0" cy="0"/>
        </a:xfrm>
        <a:prstGeom prst="line">
          <a:avLst/>
        </a:prstGeom>
        <a:noFill/>
        <a:ln w="9525">
          <a:solidFill>
            <a:srgbClr val="000000"/>
          </a:solidFill>
          <a:round/>
          <a:headEnd/>
          <a:tailEnd/>
        </a:ln>
      </xdr:spPr>
    </xdr:sp>
    <xdr:clientData/>
  </xdr:twoCellAnchor>
  <xdr:twoCellAnchor>
    <xdr:from>
      <xdr:col>2</xdr:col>
      <xdr:colOff>361950</xdr:colOff>
      <xdr:row>37</xdr:row>
      <xdr:rowOff>85725</xdr:rowOff>
    </xdr:from>
    <xdr:to>
      <xdr:col>3</xdr:col>
      <xdr:colOff>0</xdr:colOff>
      <xdr:row>37</xdr:row>
      <xdr:rowOff>85725</xdr:rowOff>
    </xdr:to>
    <xdr:sp macro="" textlink="">
      <xdr:nvSpPr>
        <xdr:cNvPr id="66953217" name="Line 42"/>
        <xdr:cNvSpPr>
          <a:spLocks noChangeShapeType="1"/>
        </xdr:cNvSpPr>
      </xdr:nvSpPr>
      <xdr:spPr bwMode="auto">
        <a:xfrm>
          <a:off x="1590675" y="6229350"/>
          <a:ext cx="0" cy="0"/>
        </a:xfrm>
        <a:prstGeom prst="line">
          <a:avLst/>
        </a:prstGeom>
        <a:noFill/>
        <a:ln w="9525">
          <a:solidFill>
            <a:srgbClr val="000000"/>
          </a:solidFill>
          <a:round/>
          <a:headEnd/>
          <a:tailEnd/>
        </a:ln>
      </xdr:spPr>
    </xdr:sp>
    <xdr:clientData/>
  </xdr:twoCellAnchor>
  <xdr:twoCellAnchor>
    <xdr:from>
      <xdr:col>4</xdr:col>
      <xdr:colOff>19050</xdr:colOff>
      <xdr:row>34</xdr:row>
      <xdr:rowOff>85725</xdr:rowOff>
    </xdr:from>
    <xdr:to>
      <xdr:col>4</xdr:col>
      <xdr:colOff>190500</xdr:colOff>
      <xdr:row>34</xdr:row>
      <xdr:rowOff>85725</xdr:rowOff>
    </xdr:to>
    <xdr:sp macro="" textlink="">
      <xdr:nvSpPr>
        <xdr:cNvPr id="66953218" name="Line 43"/>
        <xdr:cNvSpPr>
          <a:spLocks noChangeShapeType="1"/>
        </xdr:cNvSpPr>
      </xdr:nvSpPr>
      <xdr:spPr bwMode="auto">
        <a:xfrm>
          <a:off x="2476500" y="5743575"/>
          <a:ext cx="171450" cy="0"/>
        </a:xfrm>
        <a:prstGeom prst="line">
          <a:avLst/>
        </a:prstGeom>
        <a:noFill/>
        <a:ln w="9525">
          <a:solidFill>
            <a:srgbClr val="000000"/>
          </a:solidFill>
          <a:round/>
          <a:headEnd/>
          <a:tailEnd/>
        </a:ln>
      </xdr:spPr>
    </xdr:sp>
    <xdr:clientData/>
  </xdr:twoCellAnchor>
  <xdr:twoCellAnchor>
    <xdr:from>
      <xdr:col>4</xdr:col>
      <xdr:colOff>180975</xdr:colOff>
      <xdr:row>34</xdr:row>
      <xdr:rowOff>85725</xdr:rowOff>
    </xdr:from>
    <xdr:to>
      <xdr:col>4</xdr:col>
      <xdr:colOff>180975</xdr:colOff>
      <xdr:row>37</xdr:row>
      <xdr:rowOff>85725</xdr:rowOff>
    </xdr:to>
    <xdr:sp macro="" textlink="">
      <xdr:nvSpPr>
        <xdr:cNvPr id="66953220" name="Line 45"/>
        <xdr:cNvSpPr>
          <a:spLocks noChangeShapeType="1"/>
        </xdr:cNvSpPr>
      </xdr:nvSpPr>
      <xdr:spPr bwMode="auto">
        <a:xfrm>
          <a:off x="2638425" y="5743575"/>
          <a:ext cx="0" cy="485775"/>
        </a:xfrm>
        <a:prstGeom prst="line">
          <a:avLst/>
        </a:prstGeom>
        <a:noFill/>
        <a:ln w="9525">
          <a:solidFill>
            <a:srgbClr val="000000"/>
          </a:solidFill>
          <a:round/>
          <a:headEnd/>
          <a:tailEnd/>
        </a:ln>
      </xdr:spPr>
    </xdr:sp>
    <xdr:clientData/>
  </xdr:twoCellAnchor>
  <xdr:twoCellAnchor>
    <xdr:from>
      <xdr:col>4</xdr:col>
      <xdr:colOff>180975</xdr:colOff>
      <xdr:row>35</xdr:row>
      <xdr:rowOff>95250</xdr:rowOff>
    </xdr:from>
    <xdr:to>
      <xdr:col>4</xdr:col>
      <xdr:colOff>542925</xdr:colOff>
      <xdr:row>35</xdr:row>
      <xdr:rowOff>95250</xdr:rowOff>
    </xdr:to>
    <xdr:sp macro="" textlink="">
      <xdr:nvSpPr>
        <xdr:cNvPr id="66953221" name="Line 46"/>
        <xdr:cNvSpPr>
          <a:spLocks noChangeShapeType="1"/>
        </xdr:cNvSpPr>
      </xdr:nvSpPr>
      <xdr:spPr bwMode="auto">
        <a:xfrm>
          <a:off x="2638425" y="5915025"/>
          <a:ext cx="361950" cy="0"/>
        </a:xfrm>
        <a:prstGeom prst="line">
          <a:avLst/>
        </a:prstGeom>
        <a:noFill/>
        <a:ln w="9525">
          <a:solidFill>
            <a:srgbClr val="000000"/>
          </a:solidFill>
          <a:round/>
          <a:headEnd/>
          <a:tailEnd type="triangle" w="med" len="med"/>
        </a:ln>
      </xdr:spPr>
    </xdr:sp>
    <xdr:clientData/>
  </xdr:twoCellAnchor>
  <xdr:twoCellAnchor>
    <xdr:from>
      <xdr:col>6</xdr:col>
      <xdr:colOff>171450</xdr:colOff>
      <xdr:row>31</xdr:row>
      <xdr:rowOff>85725</xdr:rowOff>
    </xdr:from>
    <xdr:to>
      <xdr:col>7</xdr:col>
      <xdr:colOff>0</xdr:colOff>
      <xdr:row>31</xdr:row>
      <xdr:rowOff>85725</xdr:rowOff>
    </xdr:to>
    <xdr:sp macro="" textlink="">
      <xdr:nvSpPr>
        <xdr:cNvPr id="66953222" name="Line 51"/>
        <xdr:cNvSpPr>
          <a:spLocks noChangeShapeType="1"/>
        </xdr:cNvSpPr>
      </xdr:nvSpPr>
      <xdr:spPr bwMode="auto">
        <a:xfrm>
          <a:off x="4143375" y="5257800"/>
          <a:ext cx="190500" cy="0"/>
        </a:xfrm>
        <a:prstGeom prst="line">
          <a:avLst/>
        </a:prstGeom>
        <a:noFill/>
        <a:ln w="9525">
          <a:solidFill>
            <a:srgbClr val="000000"/>
          </a:solidFill>
          <a:round/>
          <a:headEnd/>
          <a:tailEnd/>
        </a:ln>
      </xdr:spPr>
    </xdr:sp>
    <xdr:clientData/>
  </xdr:twoCellAnchor>
  <xdr:twoCellAnchor>
    <xdr:from>
      <xdr:col>6</xdr:col>
      <xdr:colOff>171450</xdr:colOff>
      <xdr:row>35</xdr:row>
      <xdr:rowOff>85725</xdr:rowOff>
    </xdr:from>
    <xdr:to>
      <xdr:col>7</xdr:col>
      <xdr:colOff>0</xdr:colOff>
      <xdr:row>35</xdr:row>
      <xdr:rowOff>85725</xdr:rowOff>
    </xdr:to>
    <xdr:sp macro="" textlink="">
      <xdr:nvSpPr>
        <xdr:cNvPr id="66953223" name="Line 52"/>
        <xdr:cNvSpPr>
          <a:spLocks noChangeShapeType="1"/>
        </xdr:cNvSpPr>
      </xdr:nvSpPr>
      <xdr:spPr bwMode="auto">
        <a:xfrm>
          <a:off x="4143375" y="5905500"/>
          <a:ext cx="190500" cy="0"/>
        </a:xfrm>
        <a:prstGeom prst="line">
          <a:avLst/>
        </a:prstGeom>
        <a:noFill/>
        <a:ln w="9525">
          <a:solidFill>
            <a:srgbClr val="000000"/>
          </a:solidFill>
          <a:round/>
          <a:headEnd/>
          <a:tailEnd/>
        </a:ln>
      </xdr:spPr>
    </xdr:sp>
    <xdr:clientData/>
  </xdr:twoCellAnchor>
  <xdr:twoCellAnchor>
    <xdr:from>
      <xdr:col>6</xdr:col>
      <xdr:colOff>171450</xdr:colOff>
      <xdr:row>38</xdr:row>
      <xdr:rowOff>85725</xdr:rowOff>
    </xdr:from>
    <xdr:to>
      <xdr:col>7</xdr:col>
      <xdr:colOff>0</xdr:colOff>
      <xdr:row>38</xdr:row>
      <xdr:rowOff>85725</xdr:rowOff>
    </xdr:to>
    <xdr:sp macro="" textlink="">
      <xdr:nvSpPr>
        <xdr:cNvPr id="66953224" name="Line 53"/>
        <xdr:cNvSpPr>
          <a:spLocks noChangeShapeType="1"/>
        </xdr:cNvSpPr>
      </xdr:nvSpPr>
      <xdr:spPr bwMode="auto">
        <a:xfrm>
          <a:off x="4143375" y="6391275"/>
          <a:ext cx="190500" cy="0"/>
        </a:xfrm>
        <a:prstGeom prst="line">
          <a:avLst/>
        </a:prstGeom>
        <a:noFill/>
        <a:ln w="9525">
          <a:solidFill>
            <a:srgbClr val="000000"/>
          </a:solidFill>
          <a:round/>
          <a:headEnd/>
          <a:tailEnd/>
        </a:ln>
      </xdr:spPr>
    </xdr:sp>
    <xdr:clientData/>
  </xdr:twoCellAnchor>
  <xdr:twoCellAnchor>
    <xdr:from>
      <xdr:col>13</xdr:col>
      <xdr:colOff>9525</xdr:colOff>
      <xdr:row>23</xdr:row>
      <xdr:rowOff>85725</xdr:rowOff>
    </xdr:from>
    <xdr:to>
      <xdr:col>13</xdr:col>
      <xdr:colOff>228600</xdr:colOff>
      <xdr:row>23</xdr:row>
      <xdr:rowOff>85725</xdr:rowOff>
    </xdr:to>
    <xdr:sp macro="" textlink="">
      <xdr:nvSpPr>
        <xdr:cNvPr id="66953225" name="Line 56"/>
        <xdr:cNvSpPr>
          <a:spLocks noChangeShapeType="1"/>
        </xdr:cNvSpPr>
      </xdr:nvSpPr>
      <xdr:spPr bwMode="auto">
        <a:xfrm>
          <a:off x="7267575" y="3962400"/>
          <a:ext cx="219075" cy="0"/>
        </a:xfrm>
        <a:prstGeom prst="line">
          <a:avLst/>
        </a:prstGeom>
        <a:noFill/>
        <a:ln w="9525">
          <a:solidFill>
            <a:srgbClr val="000000"/>
          </a:solidFill>
          <a:round/>
          <a:headEnd/>
          <a:tailEnd/>
        </a:ln>
      </xdr:spPr>
    </xdr:sp>
    <xdr:clientData/>
  </xdr:twoCellAnchor>
  <xdr:twoCellAnchor>
    <xdr:from>
      <xdr:col>15</xdr:col>
      <xdr:colOff>9525</xdr:colOff>
      <xdr:row>9</xdr:row>
      <xdr:rowOff>85725</xdr:rowOff>
    </xdr:from>
    <xdr:to>
      <xdr:col>15</xdr:col>
      <xdr:colOff>171450</xdr:colOff>
      <xdr:row>9</xdr:row>
      <xdr:rowOff>85725</xdr:rowOff>
    </xdr:to>
    <xdr:sp macro="" textlink="">
      <xdr:nvSpPr>
        <xdr:cNvPr id="66953226" name="Line 57"/>
        <xdr:cNvSpPr>
          <a:spLocks noChangeShapeType="1"/>
        </xdr:cNvSpPr>
      </xdr:nvSpPr>
      <xdr:spPr bwMode="auto">
        <a:xfrm>
          <a:off x="7677150" y="1695450"/>
          <a:ext cx="161925" cy="0"/>
        </a:xfrm>
        <a:prstGeom prst="line">
          <a:avLst/>
        </a:prstGeom>
        <a:noFill/>
        <a:ln w="9525">
          <a:solidFill>
            <a:srgbClr val="000000"/>
          </a:solidFill>
          <a:round/>
          <a:headEnd/>
          <a:tailEnd/>
        </a:ln>
      </xdr:spPr>
    </xdr:sp>
    <xdr:clientData/>
  </xdr:twoCellAnchor>
  <xdr:twoCellAnchor>
    <xdr:from>
      <xdr:col>15</xdr:col>
      <xdr:colOff>9525</xdr:colOff>
      <xdr:row>23</xdr:row>
      <xdr:rowOff>85725</xdr:rowOff>
    </xdr:from>
    <xdr:to>
      <xdr:col>15</xdr:col>
      <xdr:colOff>171450</xdr:colOff>
      <xdr:row>23</xdr:row>
      <xdr:rowOff>85725</xdr:rowOff>
    </xdr:to>
    <xdr:sp macro="" textlink="">
      <xdr:nvSpPr>
        <xdr:cNvPr id="66953227" name="Line 58"/>
        <xdr:cNvSpPr>
          <a:spLocks noChangeShapeType="1"/>
        </xdr:cNvSpPr>
      </xdr:nvSpPr>
      <xdr:spPr bwMode="auto">
        <a:xfrm>
          <a:off x="7677150" y="3962400"/>
          <a:ext cx="161925" cy="0"/>
        </a:xfrm>
        <a:prstGeom prst="line">
          <a:avLst/>
        </a:prstGeom>
        <a:noFill/>
        <a:ln w="9525">
          <a:solidFill>
            <a:srgbClr val="000000"/>
          </a:solidFill>
          <a:round/>
          <a:headEnd/>
          <a:tailEnd/>
        </a:ln>
      </xdr:spPr>
    </xdr:sp>
    <xdr:clientData/>
  </xdr:twoCellAnchor>
  <xdr:twoCellAnchor>
    <xdr:from>
      <xdr:col>15</xdr:col>
      <xdr:colOff>171450</xdr:colOff>
      <xdr:row>9</xdr:row>
      <xdr:rowOff>85725</xdr:rowOff>
    </xdr:from>
    <xdr:to>
      <xdr:col>15</xdr:col>
      <xdr:colOff>171450</xdr:colOff>
      <xdr:row>23</xdr:row>
      <xdr:rowOff>85725</xdr:rowOff>
    </xdr:to>
    <xdr:sp macro="" textlink="">
      <xdr:nvSpPr>
        <xdr:cNvPr id="66953228" name="Line 59"/>
        <xdr:cNvSpPr>
          <a:spLocks noChangeShapeType="1"/>
        </xdr:cNvSpPr>
      </xdr:nvSpPr>
      <xdr:spPr bwMode="auto">
        <a:xfrm>
          <a:off x="7839075" y="1695450"/>
          <a:ext cx="0" cy="2266950"/>
        </a:xfrm>
        <a:prstGeom prst="line">
          <a:avLst/>
        </a:prstGeom>
        <a:noFill/>
        <a:ln w="9525">
          <a:solidFill>
            <a:srgbClr val="000000"/>
          </a:solidFill>
          <a:round/>
          <a:headEnd/>
          <a:tailEnd/>
        </a:ln>
      </xdr:spPr>
    </xdr:sp>
    <xdr:clientData/>
  </xdr:twoCellAnchor>
  <xdr:twoCellAnchor>
    <xdr:from>
      <xdr:col>16</xdr:col>
      <xdr:colOff>400050</xdr:colOff>
      <xdr:row>12</xdr:row>
      <xdr:rowOff>47625</xdr:rowOff>
    </xdr:from>
    <xdr:to>
      <xdr:col>16</xdr:col>
      <xdr:colOff>400050</xdr:colOff>
      <xdr:row>13</xdr:row>
      <xdr:rowOff>152400</xdr:rowOff>
    </xdr:to>
    <xdr:sp macro="" textlink="">
      <xdr:nvSpPr>
        <xdr:cNvPr id="66953229" name="Line 61"/>
        <xdr:cNvSpPr>
          <a:spLocks noChangeShapeType="1"/>
        </xdr:cNvSpPr>
      </xdr:nvSpPr>
      <xdr:spPr bwMode="auto">
        <a:xfrm>
          <a:off x="8524875" y="2143125"/>
          <a:ext cx="0" cy="266700"/>
        </a:xfrm>
        <a:prstGeom prst="line">
          <a:avLst/>
        </a:prstGeom>
        <a:noFill/>
        <a:ln w="9525">
          <a:solidFill>
            <a:srgbClr val="000000"/>
          </a:solidFill>
          <a:round/>
          <a:headEnd/>
          <a:tailEnd/>
        </a:ln>
      </xdr:spPr>
    </xdr:sp>
    <xdr:clientData/>
  </xdr:twoCellAnchor>
  <xdr:twoCellAnchor>
    <xdr:from>
      <xdr:col>12</xdr:col>
      <xdr:colOff>9525</xdr:colOff>
      <xdr:row>26</xdr:row>
      <xdr:rowOff>76200</xdr:rowOff>
    </xdr:from>
    <xdr:to>
      <xdr:col>15</xdr:col>
      <xdr:colOff>161925</xdr:colOff>
      <xdr:row>26</xdr:row>
      <xdr:rowOff>76200</xdr:rowOff>
    </xdr:to>
    <xdr:sp macro="" textlink="">
      <xdr:nvSpPr>
        <xdr:cNvPr id="66953230" name="Line 63"/>
        <xdr:cNvSpPr>
          <a:spLocks noChangeShapeType="1"/>
        </xdr:cNvSpPr>
      </xdr:nvSpPr>
      <xdr:spPr bwMode="auto">
        <a:xfrm>
          <a:off x="6553200" y="4438650"/>
          <a:ext cx="1276350" cy="0"/>
        </a:xfrm>
        <a:prstGeom prst="line">
          <a:avLst/>
        </a:prstGeom>
        <a:noFill/>
        <a:ln w="9525">
          <a:solidFill>
            <a:srgbClr val="000000"/>
          </a:solidFill>
          <a:round/>
          <a:headEnd/>
          <a:tailEnd/>
        </a:ln>
      </xdr:spPr>
    </xdr:sp>
    <xdr:clientData/>
  </xdr:twoCellAnchor>
  <xdr:twoCellAnchor>
    <xdr:from>
      <xdr:col>17</xdr:col>
      <xdr:colOff>0</xdr:colOff>
      <xdr:row>11</xdr:row>
      <xdr:rowOff>85725</xdr:rowOff>
    </xdr:from>
    <xdr:to>
      <xdr:col>17</xdr:col>
      <xdr:colOff>238125</xdr:colOff>
      <xdr:row>11</xdr:row>
      <xdr:rowOff>85725</xdr:rowOff>
    </xdr:to>
    <xdr:sp macro="" textlink="">
      <xdr:nvSpPr>
        <xdr:cNvPr id="66953231" name="Line 67"/>
        <xdr:cNvSpPr>
          <a:spLocks noChangeShapeType="1"/>
        </xdr:cNvSpPr>
      </xdr:nvSpPr>
      <xdr:spPr bwMode="auto">
        <a:xfrm>
          <a:off x="8848725" y="2019300"/>
          <a:ext cx="238125" cy="0"/>
        </a:xfrm>
        <a:prstGeom prst="line">
          <a:avLst/>
        </a:prstGeom>
        <a:noFill/>
        <a:ln w="9525">
          <a:solidFill>
            <a:srgbClr val="000000"/>
          </a:solidFill>
          <a:round/>
          <a:headEnd/>
          <a:tailEnd/>
        </a:ln>
      </xdr:spPr>
    </xdr:sp>
    <xdr:clientData/>
  </xdr:twoCellAnchor>
  <xdr:twoCellAnchor>
    <xdr:from>
      <xdr:col>19</xdr:col>
      <xdr:colOff>0</xdr:colOff>
      <xdr:row>11</xdr:row>
      <xdr:rowOff>85725</xdr:rowOff>
    </xdr:from>
    <xdr:to>
      <xdr:col>19</xdr:col>
      <xdr:colOff>247650</xdr:colOff>
      <xdr:row>11</xdr:row>
      <xdr:rowOff>85725</xdr:rowOff>
    </xdr:to>
    <xdr:sp macro="" textlink="">
      <xdr:nvSpPr>
        <xdr:cNvPr id="66953232" name="Line 68"/>
        <xdr:cNvSpPr>
          <a:spLocks noChangeShapeType="1"/>
        </xdr:cNvSpPr>
      </xdr:nvSpPr>
      <xdr:spPr bwMode="auto">
        <a:xfrm>
          <a:off x="9305925" y="2019300"/>
          <a:ext cx="247650" cy="0"/>
        </a:xfrm>
        <a:prstGeom prst="line">
          <a:avLst/>
        </a:prstGeom>
        <a:noFill/>
        <a:ln w="9525">
          <a:solidFill>
            <a:srgbClr val="000000"/>
          </a:solidFill>
          <a:round/>
          <a:headEnd/>
          <a:tailEnd/>
        </a:ln>
      </xdr:spPr>
    </xdr:sp>
    <xdr:clientData/>
  </xdr:twoCellAnchor>
  <xdr:twoCellAnchor>
    <xdr:from>
      <xdr:col>17</xdr:col>
      <xdr:colOff>0</xdr:colOff>
      <xdr:row>17</xdr:row>
      <xdr:rowOff>85725</xdr:rowOff>
    </xdr:from>
    <xdr:to>
      <xdr:col>17</xdr:col>
      <xdr:colOff>238125</xdr:colOff>
      <xdr:row>17</xdr:row>
      <xdr:rowOff>85725</xdr:rowOff>
    </xdr:to>
    <xdr:sp macro="" textlink="">
      <xdr:nvSpPr>
        <xdr:cNvPr id="66953233" name="Line 69"/>
        <xdr:cNvSpPr>
          <a:spLocks noChangeShapeType="1"/>
        </xdr:cNvSpPr>
      </xdr:nvSpPr>
      <xdr:spPr bwMode="auto">
        <a:xfrm>
          <a:off x="8848725" y="2990850"/>
          <a:ext cx="238125" cy="0"/>
        </a:xfrm>
        <a:prstGeom prst="line">
          <a:avLst/>
        </a:prstGeom>
        <a:noFill/>
        <a:ln w="9525">
          <a:solidFill>
            <a:srgbClr val="000000"/>
          </a:solidFill>
          <a:round/>
          <a:headEnd/>
          <a:tailEnd/>
        </a:ln>
      </xdr:spPr>
    </xdr:sp>
    <xdr:clientData/>
  </xdr:twoCellAnchor>
  <xdr:twoCellAnchor>
    <xdr:from>
      <xdr:col>19</xdr:col>
      <xdr:colOff>0</xdr:colOff>
      <xdr:row>17</xdr:row>
      <xdr:rowOff>85725</xdr:rowOff>
    </xdr:from>
    <xdr:to>
      <xdr:col>19</xdr:col>
      <xdr:colOff>247650</xdr:colOff>
      <xdr:row>17</xdr:row>
      <xdr:rowOff>85725</xdr:rowOff>
    </xdr:to>
    <xdr:sp macro="" textlink="">
      <xdr:nvSpPr>
        <xdr:cNvPr id="66953234" name="Line 70"/>
        <xdr:cNvSpPr>
          <a:spLocks noChangeShapeType="1"/>
        </xdr:cNvSpPr>
      </xdr:nvSpPr>
      <xdr:spPr bwMode="auto">
        <a:xfrm>
          <a:off x="9305925" y="2990850"/>
          <a:ext cx="247650" cy="0"/>
        </a:xfrm>
        <a:prstGeom prst="line">
          <a:avLst/>
        </a:prstGeom>
        <a:noFill/>
        <a:ln w="9525">
          <a:solidFill>
            <a:srgbClr val="000000"/>
          </a:solidFill>
          <a:round/>
          <a:headEnd/>
          <a:tailEnd/>
        </a:ln>
      </xdr:spPr>
    </xdr:sp>
    <xdr:clientData/>
  </xdr:twoCellAnchor>
  <xdr:twoCellAnchor>
    <xdr:from>
      <xdr:col>17</xdr:col>
      <xdr:colOff>0</xdr:colOff>
      <xdr:row>34</xdr:row>
      <xdr:rowOff>85725</xdr:rowOff>
    </xdr:from>
    <xdr:to>
      <xdr:col>17</xdr:col>
      <xdr:colOff>238125</xdr:colOff>
      <xdr:row>34</xdr:row>
      <xdr:rowOff>85725</xdr:rowOff>
    </xdr:to>
    <xdr:sp macro="" textlink="">
      <xdr:nvSpPr>
        <xdr:cNvPr id="66953235" name="Line 71"/>
        <xdr:cNvSpPr>
          <a:spLocks noChangeShapeType="1"/>
        </xdr:cNvSpPr>
      </xdr:nvSpPr>
      <xdr:spPr bwMode="auto">
        <a:xfrm>
          <a:off x="8848725" y="5743575"/>
          <a:ext cx="238125" cy="0"/>
        </a:xfrm>
        <a:prstGeom prst="line">
          <a:avLst/>
        </a:prstGeom>
        <a:noFill/>
        <a:ln w="9525">
          <a:solidFill>
            <a:srgbClr val="000000"/>
          </a:solidFill>
          <a:round/>
          <a:headEnd/>
          <a:tailEnd/>
        </a:ln>
      </xdr:spPr>
    </xdr:sp>
    <xdr:clientData/>
  </xdr:twoCellAnchor>
  <xdr:twoCellAnchor>
    <xdr:from>
      <xdr:col>19</xdr:col>
      <xdr:colOff>0</xdr:colOff>
      <xdr:row>34</xdr:row>
      <xdr:rowOff>85725</xdr:rowOff>
    </xdr:from>
    <xdr:to>
      <xdr:col>19</xdr:col>
      <xdr:colOff>247650</xdr:colOff>
      <xdr:row>34</xdr:row>
      <xdr:rowOff>85725</xdr:rowOff>
    </xdr:to>
    <xdr:sp macro="" textlink="">
      <xdr:nvSpPr>
        <xdr:cNvPr id="66953236" name="Line 72"/>
        <xdr:cNvSpPr>
          <a:spLocks noChangeShapeType="1"/>
        </xdr:cNvSpPr>
      </xdr:nvSpPr>
      <xdr:spPr bwMode="auto">
        <a:xfrm>
          <a:off x="9305925" y="5743575"/>
          <a:ext cx="247650" cy="0"/>
        </a:xfrm>
        <a:prstGeom prst="line">
          <a:avLst/>
        </a:prstGeom>
        <a:noFill/>
        <a:ln w="9525">
          <a:solidFill>
            <a:srgbClr val="000000"/>
          </a:solidFill>
          <a:round/>
          <a:headEnd/>
          <a:tailEnd/>
        </a:ln>
      </xdr:spPr>
    </xdr:sp>
    <xdr:clientData/>
  </xdr:twoCellAnchor>
  <xdr:twoCellAnchor>
    <xdr:from>
      <xdr:col>19</xdr:col>
      <xdr:colOff>0</xdr:colOff>
      <xdr:row>23</xdr:row>
      <xdr:rowOff>85725</xdr:rowOff>
    </xdr:from>
    <xdr:to>
      <xdr:col>19</xdr:col>
      <xdr:colOff>247650</xdr:colOff>
      <xdr:row>23</xdr:row>
      <xdr:rowOff>85725</xdr:rowOff>
    </xdr:to>
    <xdr:sp macro="" textlink="">
      <xdr:nvSpPr>
        <xdr:cNvPr id="66953237" name="Line 73"/>
        <xdr:cNvSpPr>
          <a:spLocks noChangeShapeType="1"/>
        </xdr:cNvSpPr>
      </xdr:nvSpPr>
      <xdr:spPr bwMode="auto">
        <a:xfrm>
          <a:off x="9305925" y="3962400"/>
          <a:ext cx="247650" cy="0"/>
        </a:xfrm>
        <a:prstGeom prst="line">
          <a:avLst/>
        </a:prstGeom>
        <a:noFill/>
        <a:ln w="9525">
          <a:solidFill>
            <a:srgbClr val="000000"/>
          </a:solidFill>
          <a:round/>
          <a:headEnd/>
          <a:tailEnd/>
        </a:ln>
      </xdr:spPr>
    </xdr:sp>
    <xdr:clientData/>
  </xdr:twoCellAnchor>
  <xdr:twoCellAnchor>
    <xdr:from>
      <xdr:col>15</xdr:col>
      <xdr:colOff>285750</xdr:colOff>
      <xdr:row>23</xdr:row>
      <xdr:rowOff>76200</xdr:rowOff>
    </xdr:from>
    <xdr:to>
      <xdr:col>18</xdr:col>
      <xdr:colOff>0</xdr:colOff>
      <xdr:row>23</xdr:row>
      <xdr:rowOff>76200</xdr:rowOff>
    </xdr:to>
    <xdr:sp macro="" textlink="">
      <xdr:nvSpPr>
        <xdr:cNvPr id="66953238" name="Line 74"/>
        <xdr:cNvSpPr>
          <a:spLocks noChangeShapeType="1"/>
        </xdr:cNvSpPr>
      </xdr:nvSpPr>
      <xdr:spPr bwMode="auto">
        <a:xfrm>
          <a:off x="7953375" y="3952875"/>
          <a:ext cx="1133475" cy="0"/>
        </a:xfrm>
        <a:prstGeom prst="line">
          <a:avLst/>
        </a:prstGeom>
        <a:noFill/>
        <a:ln w="9525">
          <a:solidFill>
            <a:srgbClr val="000000"/>
          </a:solidFill>
          <a:round/>
          <a:headEnd/>
          <a:tailEnd/>
        </a:ln>
      </xdr:spPr>
    </xdr:sp>
    <xdr:clientData/>
  </xdr:twoCellAnchor>
  <xdr:twoCellAnchor>
    <xdr:from>
      <xdr:col>20</xdr:col>
      <xdr:colOff>0</xdr:colOff>
      <xdr:row>17</xdr:row>
      <xdr:rowOff>85725</xdr:rowOff>
    </xdr:from>
    <xdr:to>
      <xdr:col>20</xdr:col>
      <xdr:colOff>190500</xdr:colOff>
      <xdr:row>17</xdr:row>
      <xdr:rowOff>85725</xdr:rowOff>
    </xdr:to>
    <xdr:sp macro="" textlink="">
      <xdr:nvSpPr>
        <xdr:cNvPr id="66953239" name="Line 76"/>
        <xdr:cNvSpPr>
          <a:spLocks noChangeShapeType="1"/>
        </xdr:cNvSpPr>
      </xdr:nvSpPr>
      <xdr:spPr bwMode="auto">
        <a:xfrm>
          <a:off x="9553575" y="2990850"/>
          <a:ext cx="190500" cy="0"/>
        </a:xfrm>
        <a:prstGeom prst="line">
          <a:avLst/>
        </a:prstGeom>
        <a:noFill/>
        <a:ln w="9525">
          <a:solidFill>
            <a:srgbClr val="000000"/>
          </a:solidFill>
          <a:round/>
          <a:headEnd/>
          <a:tailEnd type="triangle" w="med" len="med"/>
        </a:ln>
      </xdr:spPr>
    </xdr:sp>
    <xdr:clientData/>
  </xdr:twoCellAnchor>
  <xdr:twoCellAnchor>
    <xdr:from>
      <xdr:col>10</xdr:col>
      <xdr:colOff>295275</xdr:colOff>
      <xdr:row>26</xdr:row>
      <xdr:rowOff>85725</xdr:rowOff>
    </xdr:from>
    <xdr:to>
      <xdr:col>11</xdr:col>
      <xdr:colOff>0</xdr:colOff>
      <xdr:row>26</xdr:row>
      <xdr:rowOff>85725</xdr:rowOff>
    </xdr:to>
    <xdr:sp macro="" textlink="">
      <xdr:nvSpPr>
        <xdr:cNvPr id="66953240" name="Line 77"/>
        <xdr:cNvSpPr>
          <a:spLocks noChangeShapeType="1"/>
        </xdr:cNvSpPr>
      </xdr:nvSpPr>
      <xdr:spPr bwMode="auto">
        <a:xfrm>
          <a:off x="6248400" y="4448175"/>
          <a:ext cx="114300" cy="0"/>
        </a:xfrm>
        <a:prstGeom prst="line">
          <a:avLst/>
        </a:prstGeom>
        <a:noFill/>
        <a:ln w="9525">
          <a:solidFill>
            <a:srgbClr val="000000"/>
          </a:solidFill>
          <a:round/>
          <a:headEnd/>
          <a:tailEnd/>
        </a:ln>
      </xdr:spPr>
    </xdr:sp>
    <xdr:clientData/>
  </xdr:twoCellAnchor>
  <xdr:twoCellAnchor>
    <xdr:from>
      <xdr:col>15</xdr:col>
      <xdr:colOff>152400</xdr:colOff>
      <xdr:row>26</xdr:row>
      <xdr:rowOff>76200</xdr:rowOff>
    </xdr:from>
    <xdr:to>
      <xdr:col>15</xdr:col>
      <xdr:colOff>152400</xdr:colOff>
      <xdr:row>38</xdr:row>
      <xdr:rowOff>95250</xdr:rowOff>
    </xdr:to>
    <xdr:sp macro="" textlink="">
      <xdr:nvSpPr>
        <xdr:cNvPr id="66953241" name="Line 80"/>
        <xdr:cNvSpPr>
          <a:spLocks noChangeShapeType="1"/>
        </xdr:cNvSpPr>
      </xdr:nvSpPr>
      <xdr:spPr bwMode="auto">
        <a:xfrm>
          <a:off x="7820025" y="4438650"/>
          <a:ext cx="0" cy="1962150"/>
        </a:xfrm>
        <a:prstGeom prst="line">
          <a:avLst/>
        </a:prstGeom>
        <a:noFill/>
        <a:ln w="9525">
          <a:solidFill>
            <a:srgbClr val="000000"/>
          </a:solidFill>
          <a:round/>
          <a:headEnd/>
          <a:tailEnd/>
        </a:ln>
      </xdr:spPr>
    </xdr:sp>
    <xdr:clientData/>
  </xdr:twoCellAnchor>
  <xdr:twoCellAnchor>
    <xdr:from>
      <xdr:col>16</xdr:col>
      <xdr:colOff>400050</xdr:colOff>
      <xdr:row>15</xdr:row>
      <xdr:rowOff>9525</xdr:rowOff>
    </xdr:from>
    <xdr:to>
      <xdr:col>16</xdr:col>
      <xdr:colOff>400050</xdr:colOff>
      <xdr:row>17</xdr:row>
      <xdr:rowOff>9525</xdr:rowOff>
    </xdr:to>
    <xdr:sp macro="" textlink="">
      <xdr:nvSpPr>
        <xdr:cNvPr id="66953242" name="Line 87"/>
        <xdr:cNvSpPr>
          <a:spLocks noChangeShapeType="1"/>
        </xdr:cNvSpPr>
      </xdr:nvSpPr>
      <xdr:spPr bwMode="auto">
        <a:xfrm>
          <a:off x="8524875" y="2590800"/>
          <a:ext cx="0" cy="323850"/>
        </a:xfrm>
        <a:prstGeom prst="line">
          <a:avLst/>
        </a:prstGeom>
        <a:noFill/>
        <a:ln w="9525">
          <a:solidFill>
            <a:srgbClr val="000000"/>
          </a:solidFill>
          <a:round/>
          <a:headEnd/>
          <a:tailEnd/>
        </a:ln>
      </xdr:spPr>
    </xdr:sp>
    <xdr:clientData/>
  </xdr:twoCellAnchor>
  <xdr:twoCellAnchor>
    <xdr:from>
      <xdr:col>15</xdr:col>
      <xdr:colOff>152400</xdr:colOff>
      <xdr:row>34</xdr:row>
      <xdr:rowOff>85725</xdr:rowOff>
    </xdr:from>
    <xdr:to>
      <xdr:col>15</xdr:col>
      <xdr:colOff>447675</xdr:colOff>
      <xdr:row>34</xdr:row>
      <xdr:rowOff>85725</xdr:rowOff>
    </xdr:to>
    <xdr:sp macro="" textlink="">
      <xdr:nvSpPr>
        <xdr:cNvPr id="66953243" name="Line 88"/>
        <xdr:cNvSpPr>
          <a:spLocks noChangeShapeType="1"/>
        </xdr:cNvSpPr>
      </xdr:nvSpPr>
      <xdr:spPr bwMode="auto">
        <a:xfrm>
          <a:off x="7820025" y="5743575"/>
          <a:ext cx="295275" cy="0"/>
        </a:xfrm>
        <a:prstGeom prst="line">
          <a:avLst/>
        </a:prstGeom>
        <a:noFill/>
        <a:ln w="9525">
          <a:solidFill>
            <a:srgbClr val="000000"/>
          </a:solidFill>
          <a:round/>
          <a:headEnd/>
          <a:tailEnd/>
        </a:ln>
      </xdr:spPr>
    </xdr:sp>
    <xdr:clientData/>
  </xdr:twoCellAnchor>
  <xdr:twoCellAnchor>
    <xdr:from>
      <xdr:col>20</xdr:col>
      <xdr:colOff>0</xdr:colOff>
      <xdr:row>11</xdr:row>
      <xdr:rowOff>85725</xdr:rowOff>
    </xdr:from>
    <xdr:to>
      <xdr:col>20</xdr:col>
      <xdr:colOff>0</xdr:colOff>
      <xdr:row>34</xdr:row>
      <xdr:rowOff>85725</xdr:rowOff>
    </xdr:to>
    <xdr:sp macro="" textlink="">
      <xdr:nvSpPr>
        <xdr:cNvPr id="66953244" name="Line 89"/>
        <xdr:cNvSpPr>
          <a:spLocks noChangeShapeType="1"/>
        </xdr:cNvSpPr>
      </xdr:nvSpPr>
      <xdr:spPr bwMode="auto">
        <a:xfrm>
          <a:off x="9553575" y="2019300"/>
          <a:ext cx="0" cy="3724275"/>
        </a:xfrm>
        <a:prstGeom prst="line">
          <a:avLst/>
        </a:prstGeom>
        <a:noFill/>
        <a:ln w="9525">
          <a:solidFill>
            <a:srgbClr val="000000"/>
          </a:solidFill>
          <a:round/>
          <a:headEnd/>
          <a:tailEnd/>
        </a:ln>
      </xdr:spPr>
    </xdr:sp>
    <xdr:clientData/>
  </xdr:twoCellAnchor>
  <xdr:twoCellAnchor>
    <xdr:from>
      <xdr:col>15</xdr:col>
      <xdr:colOff>152400</xdr:colOff>
      <xdr:row>36</xdr:row>
      <xdr:rowOff>66675</xdr:rowOff>
    </xdr:from>
    <xdr:to>
      <xdr:col>15</xdr:col>
      <xdr:colOff>161925</xdr:colOff>
      <xdr:row>36</xdr:row>
      <xdr:rowOff>66675</xdr:rowOff>
    </xdr:to>
    <xdr:sp macro="" textlink="">
      <xdr:nvSpPr>
        <xdr:cNvPr id="66953245" name="Line 90"/>
        <xdr:cNvSpPr>
          <a:spLocks noChangeShapeType="1"/>
        </xdr:cNvSpPr>
      </xdr:nvSpPr>
      <xdr:spPr bwMode="auto">
        <a:xfrm>
          <a:off x="7820025" y="6048375"/>
          <a:ext cx="9525" cy="0"/>
        </a:xfrm>
        <a:prstGeom prst="line">
          <a:avLst/>
        </a:prstGeom>
        <a:noFill/>
        <a:ln w="9525">
          <a:solidFill>
            <a:srgbClr val="000000"/>
          </a:solidFill>
          <a:round/>
          <a:headEnd/>
          <a:tailEnd/>
        </a:ln>
      </xdr:spPr>
    </xdr:sp>
    <xdr:clientData/>
  </xdr:twoCellAnchor>
  <xdr:twoCellAnchor>
    <xdr:from>
      <xdr:col>8</xdr:col>
      <xdr:colOff>9525</xdr:colOff>
      <xdr:row>35</xdr:row>
      <xdr:rowOff>85725</xdr:rowOff>
    </xdr:from>
    <xdr:to>
      <xdr:col>15</xdr:col>
      <xdr:colOff>152400</xdr:colOff>
      <xdr:row>35</xdr:row>
      <xdr:rowOff>85725</xdr:rowOff>
    </xdr:to>
    <xdr:sp macro="" textlink="">
      <xdr:nvSpPr>
        <xdr:cNvPr id="66953246" name="Line 91"/>
        <xdr:cNvSpPr>
          <a:spLocks noChangeShapeType="1"/>
        </xdr:cNvSpPr>
      </xdr:nvSpPr>
      <xdr:spPr bwMode="auto">
        <a:xfrm>
          <a:off x="4505325" y="5905500"/>
          <a:ext cx="3314700" cy="0"/>
        </a:xfrm>
        <a:prstGeom prst="line">
          <a:avLst/>
        </a:prstGeom>
        <a:noFill/>
        <a:ln w="9525">
          <a:solidFill>
            <a:srgbClr val="000000"/>
          </a:solidFill>
          <a:round/>
          <a:headEnd/>
          <a:tailEnd/>
        </a:ln>
      </xdr:spPr>
    </xdr:sp>
    <xdr:clientData/>
  </xdr:twoCellAnchor>
  <xdr:twoCellAnchor>
    <xdr:from>
      <xdr:col>12</xdr:col>
      <xdr:colOff>0</xdr:colOff>
      <xdr:row>29</xdr:row>
      <xdr:rowOff>76200</xdr:rowOff>
    </xdr:from>
    <xdr:to>
      <xdr:col>15</xdr:col>
      <xdr:colOff>152400</xdr:colOff>
      <xdr:row>29</xdr:row>
      <xdr:rowOff>76200</xdr:rowOff>
    </xdr:to>
    <xdr:sp macro="" textlink="">
      <xdr:nvSpPr>
        <xdr:cNvPr id="66953247" name="Line 92"/>
        <xdr:cNvSpPr>
          <a:spLocks noChangeShapeType="1"/>
        </xdr:cNvSpPr>
      </xdr:nvSpPr>
      <xdr:spPr bwMode="auto">
        <a:xfrm>
          <a:off x="6543675" y="4924425"/>
          <a:ext cx="1276350" cy="0"/>
        </a:xfrm>
        <a:prstGeom prst="line">
          <a:avLst/>
        </a:prstGeom>
        <a:noFill/>
        <a:ln w="9525">
          <a:solidFill>
            <a:srgbClr val="000000"/>
          </a:solidFill>
          <a:round/>
          <a:headEnd/>
          <a:tailEnd/>
        </a:ln>
      </xdr:spPr>
    </xdr:sp>
    <xdr:clientData/>
  </xdr:twoCellAnchor>
  <xdr:twoCellAnchor>
    <xdr:from>
      <xdr:col>8</xdr:col>
      <xdr:colOff>9525</xdr:colOff>
      <xdr:row>38</xdr:row>
      <xdr:rowOff>85725</xdr:rowOff>
    </xdr:from>
    <xdr:to>
      <xdr:col>15</xdr:col>
      <xdr:colOff>152400</xdr:colOff>
      <xdr:row>38</xdr:row>
      <xdr:rowOff>85725</xdr:rowOff>
    </xdr:to>
    <xdr:sp macro="" textlink="">
      <xdr:nvSpPr>
        <xdr:cNvPr id="66953248" name="Line 93"/>
        <xdr:cNvSpPr>
          <a:spLocks noChangeShapeType="1"/>
        </xdr:cNvSpPr>
      </xdr:nvSpPr>
      <xdr:spPr bwMode="auto">
        <a:xfrm>
          <a:off x="4505325" y="6391275"/>
          <a:ext cx="3314700" cy="0"/>
        </a:xfrm>
        <a:prstGeom prst="line">
          <a:avLst/>
        </a:prstGeom>
        <a:noFill/>
        <a:ln w="9525">
          <a:solidFill>
            <a:srgbClr val="000000"/>
          </a:solidFill>
          <a:round/>
          <a:headEnd/>
          <a:tailEnd/>
        </a:ln>
      </xdr:spPr>
    </xdr:sp>
    <xdr:clientData/>
  </xdr:twoCellAnchor>
  <xdr:twoCellAnchor>
    <xdr:from>
      <xdr:col>8</xdr:col>
      <xdr:colOff>9525</xdr:colOff>
      <xdr:row>31</xdr:row>
      <xdr:rowOff>85725</xdr:rowOff>
    </xdr:from>
    <xdr:to>
      <xdr:col>15</xdr:col>
      <xdr:colOff>152400</xdr:colOff>
      <xdr:row>31</xdr:row>
      <xdr:rowOff>85725</xdr:rowOff>
    </xdr:to>
    <xdr:sp macro="" textlink="">
      <xdr:nvSpPr>
        <xdr:cNvPr id="66953249" name="Line 94"/>
        <xdr:cNvSpPr>
          <a:spLocks noChangeShapeType="1"/>
        </xdr:cNvSpPr>
      </xdr:nvSpPr>
      <xdr:spPr bwMode="auto">
        <a:xfrm>
          <a:off x="4505325" y="5257800"/>
          <a:ext cx="3314700" cy="0"/>
        </a:xfrm>
        <a:prstGeom prst="line">
          <a:avLst/>
        </a:prstGeom>
        <a:noFill/>
        <a:ln w="9525">
          <a:solidFill>
            <a:srgbClr val="000000"/>
          </a:solidFill>
          <a:round/>
          <a:headEnd/>
          <a:tailEnd/>
        </a:ln>
      </xdr:spPr>
    </xdr:sp>
    <xdr:clientData/>
  </xdr:twoCellAnchor>
  <xdr:twoCellAnchor>
    <xdr:from>
      <xdr:col>8</xdr:col>
      <xdr:colOff>0</xdr:colOff>
      <xdr:row>20</xdr:row>
      <xdr:rowOff>95250</xdr:rowOff>
    </xdr:from>
    <xdr:to>
      <xdr:col>15</xdr:col>
      <xdr:colOff>171450</xdr:colOff>
      <xdr:row>20</xdr:row>
      <xdr:rowOff>95250</xdr:rowOff>
    </xdr:to>
    <xdr:sp macro="" textlink="">
      <xdr:nvSpPr>
        <xdr:cNvPr id="66953250" name="Line 95"/>
        <xdr:cNvSpPr>
          <a:spLocks noChangeShapeType="1"/>
        </xdr:cNvSpPr>
      </xdr:nvSpPr>
      <xdr:spPr bwMode="auto">
        <a:xfrm>
          <a:off x="4495800" y="3486150"/>
          <a:ext cx="3343275" cy="0"/>
        </a:xfrm>
        <a:prstGeom prst="line">
          <a:avLst/>
        </a:prstGeom>
        <a:noFill/>
        <a:ln w="9525">
          <a:solidFill>
            <a:srgbClr val="000000"/>
          </a:solidFill>
          <a:round/>
          <a:headEnd/>
          <a:tailEnd/>
        </a:ln>
      </xdr:spPr>
    </xdr:sp>
    <xdr:clientData/>
  </xdr:twoCellAnchor>
  <xdr:twoCellAnchor>
    <xdr:from>
      <xdr:col>12</xdr:col>
      <xdr:colOff>9525</xdr:colOff>
      <xdr:row>17</xdr:row>
      <xdr:rowOff>76200</xdr:rowOff>
    </xdr:from>
    <xdr:to>
      <xdr:col>16</xdr:col>
      <xdr:colOff>0</xdr:colOff>
      <xdr:row>17</xdr:row>
      <xdr:rowOff>76200</xdr:rowOff>
    </xdr:to>
    <xdr:sp macro="" textlink="">
      <xdr:nvSpPr>
        <xdr:cNvPr id="66953251" name="Line 96"/>
        <xdr:cNvSpPr>
          <a:spLocks noChangeShapeType="1"/>
        </xdr:cNvSpPr>
      </xdr:nvSpPr>
      <xdr:spPr bwMode="auto">
        <a:xfrm>
          <a:off x="6553200" y="2981325"/>
          <a:ext cx="1571625" cy="0"/>
        </a:xfrm>
        <a:prstGeom prst="line">
          <a:avLst/>
        </a:prstGeom>
        <a:noFill/>
        <a:ln w="9525">
          <a:solidFill>
            <a:srgbClr val="000000"/>
          </a:solidFill>
          <a:round/>
          <a:headEnd/>
          <a:tailEnd/>
        </a:ln>
      </xdr:spPr>
    </xdr:sp>
    <xdr:clientData/>
  </xdr:twoCellAnchor>
  <xdr:twoCellAnchor>
    <xdr:from>
      <xdr:col>8</xdr:col>
      <xdr:colOff>0</xdr:colOff>
      <xdr:row>16</xdr:row>
      <xdr:rowOff>76200</xdr:rowOff>
    </xdr:from>
    <xdr:to>
      <xdr:col>15</xdr:col>
      <xdr:colOff>171450</xdr:colOff>
      <xdr:row>16</xdr:row>
      <xdr:rowOff>76200</xdr:rowOff>
    </xdr:to>
    <xdr:sp macro="" textlink="">
      <xdr:nvSpPr>
        <xdr:cNvPr id="66953252" name="Line 97"/>
        <xdr:cNvSpPr>
          <a:spLocks noChangeShapeType="1"/>
        </xdr:cNvSpPr>
      </xdr:nvSpPr>
      <xdr:spPr bwMode="auto">
        <a:xfrm>
          <a:off x="4495800" y="2819400"/>
          <a:ext cx="3343275" cy="0"/>
        </a:xfrm>
        <a:prstGeom prst="line">
          <a:avLst/>
        </a:prstGeom>
        <a:noFill/>
        <a:ln w="9525">
          <a:solidFill>
            <a:srgbClr val="000000"/>
          </a:solidFill>
          <a:round/>
          <a:headEnd/>
          <a:tailEnd/>
        </a:ln>
      </xdr:spPr>
    </xdr:sp>
    <xdr:clientData/>
  </xdr:twoCellAnchor>
  <xdr:twoCellAnchor>
    <xdr:from>
      <xdr:col>7</xdr:col>
      <xdr:colOff>152400</xdr:colOff>
      <xdr:row>14</xdr:row>
      <xdr:rowOff>76200</xdr:rowOff>
    </xdr:from>
    <xdr:to>
      <xdr:col>15</xdr:col>
      <xdr:colOff>171450</xdr:colOff>
      <xdr:row>14</xdr:row>
      <xdr:rowOff>76200</xdr:rowOff>
    </xdr:to>
    <xdr:sp macro="" textlink="">
      <xdr:nvSpPr>
        <xdr:cNvPr id="66953253" name="Line 98"/>
        <xdr:cNvSpPr>
          <a:spLocks noChangeShapeType="1"/>
        </xdr:cNvSpPr>
      </xdr:nvSpPr>
      <xdr:spPr bwMode="auto">
        <a:xfrm>
          <a:off x="4486275" y="2495550"/>
          <a:ext cx="3352800" cy="0"/>
        </a:xfrm>
        <a:prstGeom prst="line">
          <a:avLst/>
        </a:prstGeom>
        <a:noFill/>
        <a:ln w="9525">
          <a:solidFill>
            <a:srgbClr val="000000"/>
          </a:solidFill>
          <a:round/>
          <a:headEnd/>
          <a:tailEnd/>
        </a:ln>
      </xdr:spPr>
    </xdr:sp>
    <xdr:clientData/>
  </xdr:twoCellAnchor>
  <xdr:twoCellAnchor>
    <xdr:from>
      <xdr:col>1</xdr:col>
      <xdr:colOff>247650</xdr:colOff>
      <xdr:row>14</xdr:row>
      <xdr:rowOff>85725</xdr:rowOff>
    </xdr:from>
    <xdr:to>
      <xdr:col>5</xdr:col>
      <xdr:colOff>0</xdr:colOff>
      <xdr:row>14</xdr:row>
      <xdr:rowOff>85725</xdr:rowOff>
    </xdr:to>
    <xdr:sp macro="" textlink="">
      <xdr:nvSpPr>
        <xdr:cNvPr id="66953254" name="Line 99"/>
        <xdr:cNvSpPr>
          <a:spLocks noChangeShapeType="1"/>
        </xdr:cNvSpPr>
      </xdr:nvSpPr>
      <xdr:spPr bwMode="auto">
        <a:xfrm>
          <a:off x="1238250" y="2505075"/>
          <a:ext cx="1800225" cy="0"/>
        </a:xfrm>
        <a:prstGeom prst="line">
          <a:avLst/>
        </a:prstGeom>
        <a:noFill/>
        <a:ln w="9525">
          <a:solidFill>
            <a:srgbClr val="000000"/>
          </a:solidFill>
          <a:round/>
          <a:headEnd/>
          <a:tailEnd type="triangle" w="med" len="med"/>
        </a:ln>
      </xdr:spPr>
    </xdr:sp>
    <xdr:clientData/>
  </xdr:twoCellAnchor>
  <xdr:twoCellAnchor>
    <xdr:from>
      <xdr:col>2</xdr:col>
      <xdr:colOff>9525</xdr:colOff>
      <xdr:row>31</xdr:row>
      <xdr:rowOff>85725</xdr:rowOff>
    </xdr:from>
    <xdr:to>
      <xdr:col>5</xdr:col>
      <xdr:colOff>0</xdr:colOff>
      <xdr:row>31</xdr:row>
      <xdr:rowOff>85725</xdr:rowOff>
    </xdr:to>
    <xdr:sp macro="" textlink="">
      <xdr:nvSpPr>
        <xdr:cNvPr id="66953255" name="Line 100"/>
        <xdr:cNvSpPr>
          <a:spLocks noChangeShapeType="1"/>
        </xdr:cNvSpPr>
      </xdr:nvSpPr>
      <xdr:spPr bwMode="auto">
        <a:xfrm>
          <a:off x="1257300" y="5257800"/>
          <a:ext cx="1781175" cy="0"/>
        </a:xfrm>
        <a:prstGeom prst="line">
          <a:avLst/>
        </a:prstGeom>
        <a:noFill/>
        <a:ln w="9525">
          <a:solidFill>
            <a:srgbClr val="000000"/>
          </a:solidFill>
          <a:round/>
          <a:headEnd/>
          <a:tailEnd type="triangle" w="med" len="med"/>
        </a:ln>
      </xdr:spPr>
    </xdr:sp>
    <xdr:clientData/>
  </xdr:twoCellAnchor>
  <xdr:twoCellAnchor>
    <xdr:from>
      <xdr:col>2</xdr:col>
      <xdr:colOff>28575</xdr:colOff>
      <xdr:row>26</xdr:row>
      <xdr:rowOff>40006</xdr:rowOff>
    </xdr:from>
    <xdr:to>
      <xdr:col>8</xdr:col>
      <xdr:colOff>495300</xdr:colOff>
      <xdr:row>26</xdr:row>
      <xdr:rowOff>85725</xdr:rowOff>
    </xdr:to>
    <xdr:sp macro="" textlink="">
      <xdr:nvSpPr>
        <xdr:cNvPr id="66953256" name="Line 101"/>
        <xdr:cNvSpPr>
          <a:spLocks noChangeShapeType="1"/>
        </xdr:cNvSpPr>
      </xdr:nvSpPr>
      <xdr:spPr bwMode="auto">
        <a:xfrm>
          <a:off x="1276350" y="4402456"/>
          <a:ext cx="3714750" cy="45719"/>
        </a:xfrm>
        <a:prstGeom prst="line">
          <a:avLst/>
        </a:prstGeom>
        <a:noFill/>
        <a:ln w="9525">
          <a:solidFill>
            <a:srgbClr val="000000"/>
          </a:solidFill>
          <a:round/>
          <a:headEnd/>
          <a:tailEnd type="triangle" w="med" len="med"/>
        </a:ln>
      </xdr:spPr>
    </xdr:sp>
    <xdr:clientData/>
  </xdr:twoCellAnchor>
  <xdr:twoCellAnchor>
    <xdr:from>
      <xdr:col>4</xdr:col>
      <xdr:colOff>219075</xdr:colOff>
      <xdr:row>9</xdr:row>
      <xdr:rowOff>76200</xdr:rowOff>
    </xdr:from>
    <xdr:to>
      <xdr:col>5</xdr:col>
      <xdr:colOff>0</xdr:colOff>
      <xdr:row>9</xdr:row>
      <xdr:rowOff>76200</xdr:rowOff>
    </xdr:to>
    <xdr:sp macro="" textlink="">
      <xdr:nvSpPr>
        <xdr:cNvPr id="66953257" name="Line 102"/>
        <xdr:cNvSpPr>
          <a:spLocks noChangeShapeType="1"/>
        </xdr:cNvSpPr>
      </xdr:nvSpPr>
      <xdr:spPr bwMode="auto">
        <a:xfrm>
          <a:off x="2676525" y="1685925"/>
          <a:ext cx="361950" cy="0"/>
        </a:xfrm>
        <a:prstGeom prst="line">
          <a:avLst/>
        </a:prstGeom>
        <a:noFill/>
        <a:ln w="9525">
          <a:solidFill>
            <a:srgbClr val="000000"/>
          </a:solidFill>
          <a:round/>
          <a:headEnd/>
          <a:tailEnd type="triangle" w="med" len="med"/>
        </a:ln>
      </xdr:spPr>
    </xdr:sp>
    <xdr:clientData/>
  </xdr:twoCellAnchor>
  <xdr:twoCellAnchor>
    <xdr:from>
      <xdr:col>10</xdr:col>
      <xdr:colOff>9525</xdr:colOff>
      <xdr:row>23</xdr:row>
      <xdr:rowOff>76200</xdr:rowOff>
    </xdr:from>
    <xdr:to>
      <xdr:col>11</xdr:col>
      <xdr:colOff>0</xdr:colOff>
      <xdr:row>23</xdr:row>
      <xdr:rowOff>76200</xdr:rowOff>
    </xdr:to>
    <xdr:sp macro="" textlink="">
      <xdr:nvSpPr>
        <xdr:cNvPr id="66953259" name="Line 104"/>
        <xdr:cNvSpPr>
          <a:spLocks noChangeShapeType="1"/>
        </xdr:cNvSpPr>
      </xdr:nvSpPr>
      <xdr:spPr bwMode="auto">
        <a:xfrm>
          <a:off x="5962650" y="3952875"/>
          <a:ext cx="400050" cy="0"/>
        </a:xfrm>
        <a:prstGeom prst="line">
          <a:avLst/>
        </a:prstGeom>
        <a:noFill/>
        <a:ln w="9525">
          <a:solidFill>
            <a:srgbClr val="000000"/>
          </a:solidFill>
          <a:round/>
          <a:headEnd/>
          <a:tailEnd type="triangle" w="med" len="med"/>
        </a:ln>
      </xdr:spPr>
    </xdr:sp>
    <xdr:clientData/>
  </xdr:twoCellAnchor>
  <xdr:twoCellAnchor>
    <xdr:from>
      <xdr:col>2</xdr:col>
      <xdr:colOff>28575</xdr:colOff>
      <xdr:row>9</xdr:row>
      <xdr:rowOff>133350</xdr:rowOff>
    </xdr:from>
    <xdr:to>
      <xdr:col>4</xdr:col>
      <xdr:colOff>200025</xdr:colOff>
      <xdr:row>9</xdr:row>
      <xdr:rowOff>133350</xdr:rowOff>
    </xdr:to>
    <xdr:sp macro="" textlink="">
      <xdr:nvSpPr>
        <xdr:cNvPr id="66953260" name="Line 105"/>
        <xdr:cNvSpPr>
          <a:spLocks noChangeShapeType="1"/>
        </xdr:cNvSpPr>
      </xdr:nvSpPr>
      <xdr:spPr bwMode="auto">
        <a:xfrm>
          <a:off x="1276350" y="1743075"/>
          <a:ext cx="1381125" cy="0"/>
        </a:xfrm>
        <a:prstGeom prst="line">
          <a:avLst/>
        </a:prstGeom>
        <a:noFill/>
        <a:ln w="9525">
          <a:solidFill>
            <a:srgbClr val="000000"/>
          </a:solidFill>
          <a:round/>
          <a:headEnd/>
          <a:tailEnd/>
        </a:ln>
      </xdr:spPr>
    </xdr:sp>
    <xdr:clientData/>
  </xdr:twoCellAnchor>
  <xdr:twoCellAnchor>
    <xdr:from>
      <xdr:col>2</xdr:col>
      <xdr:colOff>28575</xdr:colOff>
      <xdr:row>10</xdr:row>
      <xdr:rowOff>95250</xdr:rowOff>
    </xdr:from>
    <xdr:to>
      <xdr:col>4</xdr:col>
      <xdr:colOff>209550</xdr:colOff>
      <xdr:row>10</xdr:row>
      <xdr:rowOff>95250</xdr:rowOff>
    </xdr:to>
    <xdr:sp macro="" textlink="">
      <xdr:nvSpPr>
        <xdr:cNvPr id="66953261" name="Line 106"/>
        <xdr:cNvSpPr>
          <a:spLocks noChangeShapeType="1"/>
        </xdr:cNvSpPr>
      </xdr:nvSpPr>
      <xdr:spPr bwMode="auto">
        <a:xfrm>
          <a:off x="1276350" y="1866900"/>
          <a:ext cx="1390650" cy="0"/>
        </a:xfrm>
        <a:prstGeom prst="line">
          <a:avLst/>
        </a:prstGeom>
        <a:noFill/>
        <a:ln w="9525">
          <a:solidFill>
            <a:srgbClr val="000000"/>
          </a:solidFill>
          <a:round/>
          <a:headEnd/>
          <a:tailEnd/>
        </a:ln>
      </xdr:spPr>
    </xdr:sp>
    <xdr:clientData/>
  </xdr:twoCellAnchor>
  <xdr:twoCellAnchor>
    <xdr:from>
      <xdr:col>2</xdr:col>
      <xdr:colOff>28575</xdr:colOff>
      <xdr:row>11</xdr:row>
      <xdr:rowOff>95250</xdr:rowOff>
    </xdr:from>
    <xdr:to>
      <xdr:col>4</xdr:col>
      <xdr:colOff>219075</xdr:colOff>
      <xdr:row>11</xdr:row>
      <xdr:rowOff>95250</xdr:rowOff>
    </xdr:to>
    <xdr:sp macro="" textlink="">
      <xdr:nvSpPr>
        <xdr:cNvPr id="66953262" name="Line 107"/>
        <xdr:cNvSpPr>
          <a:spLocks noChangeShapeType="1"/>
        </xdr:cNvSpPr>
      </xdr:nvSpPr>
      <xdr:spPr bwMode="auto">
        <a:xfrm>
          <a:off x="1276350" y="2028825"/>
          <a:ext cx="1400175" cy="0"/>
        </a:xfrm>
        <a:prstGeom prst="line">
          <a:avLst/>
        </a:prstGeom>
        <a:noFill/>
        <a:ln w="9525">
          <a:solidFill>
            <a:srgbClr val="000000"/>
          </a:solidFill>
          <a:round/>
          <a:headEnd/>
          <a:tailEnd/>
        </a:ln>
      </xdr:spPr>
    </xdr:sp>
    <xdr:clientData/>
  </xdr:twoCellAnchor>
  <xdr:twoCellAnchor>
    <xdr:from>
      <xdr:col>2</xdr:col>
      <xdr:colOff>28575</xdr:colOff>
      <xdr:row>35</xdr:row>
      <xdr:rowOff>95250</xdr:rowOff>
    </xdr:from>
    <xdr:to>
      <xdr:col>4</xdr:col>
      <xdr:colOff>171450</xdr:colOff>
      <xdr:row>35</xdr:row>
      <xdr:rowOff>95250</xdr:rowOff>
    </xdr:to>
    <xdr:sp macro="" textlink="">
      <xdr:nvSpPr>
        <xdr:cNvPr id="66953263" name="Line 113"/>
        <xdr:cNvSpPr>
          <a:spLocks noChangeShapeType="1"/>
        </xdr:cNvSpPr>
      </xdr:nvSpPr>
      <xdr:spPr bwMode="auto">
        <a:xfrm>
          <a:off x="1276350" y="5915025"/>
          <a:ext cx="1352550" cy="0"/>
        </a:xfrm>
        <a:prstGeom prst="line">
          <a:avLst/>
        </a:prstGeom>
        <a:noFill/>
        <a:ln w="9525">
          <a:solidFill>
            <a:srgbClr val="000000"/>
          </a:solidFill>
          <a:round/>
          <a:headEnd/>
          <a:tailEnd/>
        </a:ln>
      </xdr:spPr>
    </xdr:sp>
    <xdr:clientData/>
  </xdr:twoCellAnchor>
  <xdr:twoCellAnchor>
    <xdr:from>
      <xdr:col>2</xdr:col>
      <xdr:colOff>28575</xdr:colOff>
      <xdr:row>36</xdr:row>
      <xdr:rowOff>95250</xdr:rowOff>
    </xdr:from>
    <xdr:to>
      <xdr:col>4</xdr:col>
      <xdr:colOff>190500</xdr:colOff>
      <xdr:row>36</xdr:row>
      <xdr:rowOff>95250</xdr:rowOff>
    </xdr:to>
    <xdr:sp macro="" textlink="">
      <xdr:nvSpPr>
        <xdr:cNvPr id="66953264" name="Line 114"/>
        <xdr:cNvSpPr>
          <a:spLocks noChangeShapeType="1"/>
        </xdr:cNvSpPr>
      </xdr:nvSpPr>
      <xdr:spPr bwMode="auto">
        <a:xfrm>
          <a:off x="1276350" y="6076950"/>
          <a:ext cx="1371600" cy="0"/>
        </a:xfrm>
        <a:prstGeom prst="line">
          <a:avLst/>
        </a:prstGeom>
        <a:noFill/>
        <a:ln w="9525">
          <a:solidFill>
            <a:srgbClr val="000000"/>
          </a:solidFill>
          <a:round/>
          <a:headEnd/>
          <a:tailEnd/>
        </a:ln>
      </xdr:spPr>
    </xdr:sp>
    <xdr:clientData/>
  </xdr:twoCellAnchor>
  <xdr:twoCellAnchor>
    <xdr:from>
      <xdr:col>6</xdr:col>
      <xdr:colOff>9525</xdr:colOff>
      <xdr:row>31</xdr:row>
      <xdr:rowOff>85725</xdr:rowOff>
    </xdr:from>
    <xdr:to>
      <xdr:col>6</xdr:col>
      <xdr:colOff>361950</xdr:colOff>
      <xdr:row>31</xdr:row>
      <xdr:rowOff>85725</xdr:rowOff>
    </xdr:to>
    <xdr:sp macro="" textlink="">
      <xdr:nvSpPr>
        <xdr:cNvPr id="66953265" name="Line 116"/>
        <xdr:cNvSpPr>
          <a:spLocks noChangeShapeType="1"/>
        </xdr:cNvSpPr>
      </xdr:nvSpPr>
      <xdr:spPr bwMode="auto">
        <a:xfrm>
          <a:off x="3981450" y="5257800"/>
          <a:ext cx="352425" cy="0"/>
        </a:xfrm>
        <a:prstGeom prst="line">
          <a:avLst/>
        </a:prstGeom>
        <a:noFill/>
        <a:ln w="9525">
          <a:solidFill>
            <a:srgbClr val="000000"/>
          </a:solidFill>
          <a:round/>
          <a:headEnd/>
          <a:tailEnd/>
        </a:ln>
      </xdr:spPr>
    </xdr:sp>
    <xdr:clientData/>
  </xdr:twoCellAnchor>
  <xdr:twoCellAnchor>
    <xdr:from>
      <xdr:col>6</xdr:col>
      <xdr:colOff>9525</xdr:colOff>
      <xdr:row>35</xdr:row>
      <xdr:rowOff>85725</xdr:rowOff>
    </xdr:from>
    <xdr:to>
      <xdr:col>6</xdr:col>
      <xdr:colOff>361950</xdr:colOff>
      <xdr:row>35</xdr:row>
      <xdr:rowOff>85725</xdr:rowOff>
    </xdr:to>
    <xdr:sp macro="" textlink="">
      <xdr:nvSpPr>
        <xdr:cNvPr id="66953266" name="Line 117"/>
        <xdr:cNvSpPr>
          <a:spLocks noChangeShapeType="1"/>
        </xdr:cNvSpPr>
      </xdr:nvSpPr>
      <xdr:spPr bwMode="auto">
        <a:xfrm>
          <a:off x="3981450" y="5905500"/>
          <a:ext cx="352425" cy="0"/>
        </a:xfrm>
        <a:prstGeom prst="line">
          <a:avLst/>
        </a:prstGeom>
        <a:noFill/>
        <a:ln w="9525">
          <a:solidFill>
            <a:srgbClr val="000000"/>
          </a:solidFill>
          <a:round/>
          <a:headEnd/>
          <a:tailEnd/>
        </a:ln>
      </xdr:spPr>
    </xdr:sp>
    <xdr:clientData/>
  </xdr:twoCellAnchor>
  <xdr:twoCellAnchor>
    <xdr:from>
      <xdr:col>6</xdr:col>
      <xdr:colOff>9525</xdr:colOff>
      <xdr:row>38</xdr:row>
      <xdr:rowOff>85725</xdr:rowOff>
    </xdr:from>
    <xdr:to>
      <xdr:col>6</xdr:col>
      <xdr:colOff>361950</xdr:colOff>
      <xdr:row>38</xdr:row>
      <xdr:rowOff>85725</xdr:rowOff>
    </xdr:to>
    <xdr:sp macro="" textlink="">
      <xdr:nvSpPr>
        <xdr:cNvPr id="66953267" name="Line 118"/>
        <xdr:cNvSpPr>
          <a:spLocks noChangeShapeType="1"/>
        </xdr:cNvSpPr>
      </xdr:nvSpPr>
      <xdr:spPr bwMode="auto">
        <a:xfrm>
          <a:off x="3981450" y="6391275"/>
          <a:ext cx="352425" cy="0"/>
        </a:xfrm>
        <a:prstGeom prst="line">
          <a:avLst/>
        </a:prstGeom>
        <a:noFill/>
        <a:ln w="9525">
          <a:solidFill>
            <a:srgbClr val="000000"/>
          </a:solidFill>
          <a:round/>
          <a:headEnd/>
          <a:tailEnd/>
        </a:ln>
      </xdr:spPr>
    </xdr:sp>
    <xdr:clientData/>
  </xdr:twoCellAnchor>
  <xdr:twoCellAnchor>
    <xdr:from>
      <xdr:col>10</xdr:col>
      <xdr:colOff>9525</xdr:colOff>
      <xdr:row>26</xdr:row>
      <xdr:rowOff>85725</xdr:rowOff>
    </xdr:from>
    <xdr:to>
      <xdr:col>10</xdr:col>
      <xdr:colOff>409575</xdr:colOff>
      <xdr:row>26</xdr:row>
      <xdr:rowOff>85725</xdr:rowOff>
    </xdr:to>
    <xdr:sp macro="" textlink="">
      <xdr:nvSpPr>
        <xdr:cNvPr id="66953268" name="Line 119"/>
        <xdr:cNvSpPr>
          <a:spLocks noChangeShapeType="1"/>
        </xdr:cNvSpPr>
      </xdr:nvSpPr>
      <xdr:spPr bwMode="auto">
        <a:xfrm>
          <a:off x="5962650" y="4448175"/>
          <a:ext cx="400050" cy="0"/>
        </a:xfrm>
        <a:prstGeom prst="line">
          <a:avLst/>
        </a:prstGeom>
        <a:noFill/>
        <a:ln w="9525">
          <a:solidFill>
            <a:srgbClr val="000000"/>
          </a:solidFill>
          <a:round/>
          <a:headEnd/>
          <a:tailEnd/>
        </a:ln>
      </xdr:spPr>
    </xdr:sp>
    <xdr:clientData/>
  </xdr:twoCellAnchor>
  <xdr:twoCellAnchor>
    <xdr:from>
      <xdr:col>10</xdr:col>
      <xdr:colOff>9525</xdr:colOff>
      <xdr:row>29</xdr:row>
      <xdr:rowOff>85725</xdr:rowOff>
    </xdr:from>
    <xdr:to>
      <xdr:col>10</xdr:col>
      <xdr:colOff>409575</xdr:colOff>
      <xdr:row>29</xdr:row>
      <xdr:rowOff>85725</xdr:rowOff>
    </xdr:to>
    <xdr:sp macro="" textlink="">
      <xdr:nvSpPr>
        <xdr:cNvPr id="66953269" name="Line 120"/>
        <xdr:cNvSpPr>
          <a:spLocks noChangeShapeType="1"/>
        </xdr:cNvSpPr>
      </xdr:nvSpPr>
      <xdr:spPr bwMode="auto">
        <a:xfrm>
          <a:off x="5962650" y="4933950"/>
          <a:ext cx="400050" cy="0"/>
        </a:xfrm>
        <a:prstGeom prst="line">
          <a:avLst/>
        </a:prstGeom>
        <a:noFill/>
        <a:ln w="9525">
          <a:solidFill>
            <a:srgbClr val="000000"/>
          </a:solidFill>
          <a:round/>
          <a:headEnd/>
          <a:tailEnd/>
        </a:ln>
      </xdr:spPr>
    </xdr:sp>
    <xdr:clientData/>
  </xdr:twoCellAnchor>
  <xdr:twoCellAnchor>
    <xdr:from>
      <xdr:col>6</xdr:col>
      <xdr:colOff>9525</xdr:colOff>
      <xdr:row>16</xdr:row>
      <xdr:rowOff>85725</xdr:rowOff>
    </xdr:from>
    <xdr:to>
      <xdr:col>6</xdr:col>
      <xdr:colOff>361950</xdr:colOff>
      <xdr:row>16</xdr:row>
      <xdr:rowOff>85725</xdr:rowOff>
    </xdr:to>
    <xdr:sp macro="" textlink="">
      <xdr:nvSpPr>
        <xdr:cNvPr id="66953270" name="Line 121"/>
        <xdr:cNvSpPr>
          <a:spLocks noChangeShapeType="1"/>
        </xdr:cNvSpPr>
      </xdr:nvSpPr>
      <xdr:spPr bwMode="auto">
        <a:xfrm>
          <a:off x="3981450" y="2828925"/>
          <a:ext cx="352425" cy="0"/>
        </a:xfrm>
        <a:prstGeom prst="line">
          <a:avLst/>
        </a:prstGeom>
        <a:noFill/>
        <a:ln w="9525">
          <a:solidFill>
            <a:srgbClr val="000000"/>
          </a:solidFill>
          <a:round/>
          <a:headEnd/>
          <a:tailEnd/>
        </a:ln>
      </xdr:spPr>
    </xdr:sp>
    <xdr:clientData/>
  </xdr:twoCellAnchor>
  <xdr:twoCellAnchor>
    <xdr:from>
      <xdr:col>12</xdr:col>
      <xdr:colOff>38100</xdr:colOff>
      <xdr:row>18</xdr:row>
      <xdr:rowOff>85724</xdr:rowOff>
    </xdr:from>
    <xdr:to>
      <xdr:col>15</xdr:col>
      <xdr:colOff>171450</xdr:colOff>
      <xdr:row>18</xdr:row>
      <xdr:rowOff>131443</xdr:rowOff>
    </xdr:to>
    <xdr:sp macro="" textlink="">
      <xdr:nvSpPr>
        <xdr:cNvPr id="66953272" name="Line 128"/>
        <xdr:cNvSpPr>
          <a:spLocks noChangeShapeType="1"/>
        </xdr:cNvSpPr>
      </xdr:nvSpPr>
      <xdr:spPr bwMode="auto">
        <a:xfrm flipV="1">
          <a:off x="6858000" y="3152774"/>
          <a:ext cx="1257300" cy="45719"/>
        </a:xfrm>
        <a:prstGeom prst="line">
          <a:avLst/>
        </a:prstGeom>
        <a:noFill/>
        <a:ln w="9525">
          <a:solidFill>
            <a:srgbClr val="000000"/>
          </a:solidFill>
          <a:round/>
          <a:headEnd/>
          <a:tailEnd/>
        </a:ln>
      </xdr:spPr>
    </xdr:sp>
    <xdr:clientData/>
  </xdr:twoCellAnchor>
  <xdr:twoCellAnchor>
    <xdr:from>
      <xdr:col>10</xdr:col>
      <xdr:colOff>9524</xdr:colOff>
      <xdr:row>19</xdr:row>
      <xdr:rowOff>57149</xdr:rowOff>
    </xdr:from>
    <xdr:to>
      <xdr:col>10</xdr:col>
      <xdr:colOff>390525</xdr:colOff>
      <xdr:row>19</xdr:row>
      <xdr:rowOff>102868</xdr:rowOff>
    </xdr:to>
    <xdr:sp macro="" textlink="">
      <xdr:nvSpPr>
        <xdr:cNvPr id="149" name="Line 26"/>
        <xdr:cNvSpPr>
          <a:spLocks noChangeShapeType="1"/>
        </xdr:cNvSpPr>
      </xdr:nvSpPr>
      <xdr:spPr bwMode="auto">
        <a:xfrm>
          <a:off x="6324599" y="3286124"/>
          <a:ext cx="381001" cy="45719"/>
        </a:xfrm>
        <a:prstGeom prst="line">
          <a:avLst/>
        </a:prstGeom>
        <a:noFill/>
        <a:ln w="9525">
          <a:solidFill>
            <a:srgbClr val="000000"/>
          </a:solidFill>
          <a:round/>
          <a:headEnd/>
          <a:tailEnd/>
        </a:ln>
      </xdr:spPr>
    </xdr:sp>
    <xdr:clientData/>
  </xdr:twoCellAnchor>
</xdr:wsDr>
</file>

<file path=xl/drawings/drawing50.xml><?xml version="1.0" encoding="utf-8"?>
<c:userShapes xmlns:c="http://schemas.openxmlformats.org/drawingml/2006/chart">
  <cdr:relSizeAnchor xmlns:cdr="http://schemas.openxmlformats.org/drawingml/2006/chartDrawing">
    <cdr:from>
      <cdr:x>0.22317</cdr:x>
      <cdr:y>0.66433</cdr:y>
    </cdr:from>
    <cdr:to>
      <cdr:x>0.23426</cdr:x>
      <cdr:y>0.71316</cdr:y>
    </cdr:to>
    <cdr:sp macro="" textlink="">
      <cdr:nvSpPr>
        <cdr:cNvPr id="64513" name="Texto 1"/>
        <cdr:cNvSpPr txBox="1">
          <a:spLocks xmlns:a="http://schemas.openxmlformats.org/drawingml/2006/main" noChangeArrowheads="1"/>
        </cdr:cNvSpPr>
      </cdr:nvSpPr>
      <cdr:spPr bwMode="auto">
        <a:xfrm xmlns:a="http://schemas.openxmlformats.org/drawingml/2006/main">
          <a:off x="1527268" y="2717769"/>
          <a:ext cx="75759"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0.25398</cdr:x>
      <cdr:y>0.73563</cdr:y>
    </cdr:from>
    <cdr:to>
      <cdr:x>0.26507</cdr:x>
      <cdr:y>0.78446</cdr:y>
    </cdr:to>
    <cdr:sp macro="" textlink="">
      <cdr:nvSpPr>
        <cdr:cNvPr id="64514" name="Texto 2"/>
        <cdr:cNvSpPr txBox="1">
          <a:spLocks xmlns:a="http://schemas.openxmlformats.org/drawingml/2006/main" noChangeArrowheads="1"/>
        </cdr:cNvSpPr>
      </cdr:nvSpPr>
      <cdr:spPr bwMode="auto">
        <a:xfrm xmlns:a="http://schemas.openxmlformats.org/drawingml/2006/main">
          <a:off x="1737711" y="3009110"/>
          <a:ext cx="75759"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0.3018</cdr:x>
      <cdr:y>0.76151</cdr:y>
    </cdr:from>
    <cdr:to>
      <cdr:x>0.3129</cdr:x>
      <cdr:y>0.81034</cdr:y>
    </cdr:to>
    <cdr:sp macro="" textlink="">
      <cdr:nvSpPr>
        <cdr:cNvPr id="64515" name="Texto 4"/>
        <cdr:cNvSpPr txBox="1">
          <a:spLocks xmlns:a="http://schemas.openxmlformats.org/drawingml/2006/main" noChangeArrowheads="1"/>
        </cdr:cNvSpPr>
      </cdr:nvSpPr>
      <cdr:spPr bwMode="auto">
        <a:xfrm xmlns:a="http://schemas.openxmlformats.org/drawingml/2006/main">
          <a:off x="2064318" y="3114871"/>
          <a:ext cx="75760"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0.30624</cdr:x>
      <cdr:y>0.71292</cdr:y>
    </cdr:from>
    <cdr:to>
      <cdr:x>0.31733</cdr:x>
      <cdr:y>0.76175</cdr:y>
    </cdr:to>
    <cdr:sp macro="" textlink="">
      <cdr:nvSpPr>
        <cdr:cNvPr id="64516" name="Texto 5"/>
        <cdr:cNvSpPr txBox="1">
          <a:spLocks xmlns:a="http://schemas.openxmlformats.org/drawingml/2006/main" noChangeArrowheads="1"/>
        </cdr:cNvSpPr>
      </cdr:nvSpPr>
      <cdr:spPr bwMode="auto">
        <a:xfrm xmlns:a="http://schemas.openxmlformats.org/drawingml/2006/main">
          <a:off x="2094622" y="2916320"/>
          <a:ext cx="75760"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0.06688</cdr:x>
      <cdr:y>0.53028</cdr:y>
    </cdr:from>
    <cdr:to>
      <cdr:x>0.07797</cdr:x>
      <cdr:y>0.57447</cdr:y>
    </cdr:to>
    <cdr:sp macro="" textlink="">
      <cdr:nvSpPr>
        <cdr:cNvPr id="64517" name="Texto 6"/>
        <cdr:cNvSpPr txBox="1">
          <a:spLocks xmlns:a="http://schemas.openxmlformats.org/drawingml/2006/main" noChangeArrowheads="1"/>
        </cdr:cNvSpPr>
      </cdr:nvSpPr>
      <cdr:spPr bwMode="auto">
        <a:xfrm xmlns:a="http://schemas.openxmlformats.org/drawingml/2006/main">
          <a:off x="459901" y="2170008"/>
          <a:ext cx="75760" cy="180591"/>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userShapes>
</file>

<file path=xl/drawings/drawing51.xml><?xml version="1.0" encoding="utf-8"?>
<xdr:wsDr xmlns:xdr="http://schemas.openxmlformats.org/drawingml/2006/spreadsheetDrawing" xmlns:a="http://schemas.openxmlformats.org/drawingml/2006/main">
  <xdr:twoCellAnchor>
    <xdr:from>
      <xdr:col>0</xdr:col>
      <xdr:colOff>28575</xdr:colOff>
      <xdr:row>19</xdr:row>
      <xdr:rowOff>19050</xdr:rowOff>
    </xdr:from>
    <xdr:to>
      <xdr:col>6</xdr:col>
      <xdr:colOff>409575</xdr:colOff>
      <xdr:row>33</xdr:row>
      <xdr:rowOff>152400</xdr:rowOff>
    </xdr:to>
    <xdr:graphicFrame macro="">
      <xdr:nvGraphicFramePr>
        <xdr:cNvPr id="655974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37</xdr:row>
      <xdr:rowOff>19050</xdr:rowOff>
    </xdr:from>
    <xdr:to>
      <xdr:col>6</xdr:col>
      <xdr:colOff>390525</xdr:colOff>
      <xdr:row>58</xdr:row>
      <xdr:rowOff>38100</xdr:rowOff>
    </xdr:to>
    <xdr:graphicFrame macro="">
      <xdr:nvGraphicFramePr>
        <xdr:cNvPr id="6559749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xdr:colOff>
      <xdr:row>19</xdr:row>
      <xdr:rowOff>19050</xdr:rowOff>
    </xdr:from>
    <xdr:to>
      <xdr:col>6</xdr:col>
      <xdr:colOff>409575</xdr:colOff>
      <xdr:row>33</xdr:row>
      <xdr:rowOff>152400</xdr:rowOff>
    </xdr:to>
    <xdr:graphicFrame macro="">
      <xdr:nvGraphicFramePr>
        <xdr:cNvPr id="6559749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95250</xdr:colOff>
      <xdr:row>37</xdr:row>
      <xdr:rowOff>19050</xdr:rowOff>
    </xdr:from>
    <xdr:to>
      <xdr:col>6</xdr:col>
      <xdr:colOff>390525</xdr:colOff>
      <xdr:row>58</xdr:row>
      <xdr:rowOff>38100</xdr:rowOff>
    </xdr:to>
    <xdr:graphicFrame macro="">
      <xdr:nvGraphicFramePr>
        <xdr:cNvPr id="6559749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752475</xdr:colOff>
      <xdr:row>53</xdr:row>
      <xdr:rowOff>114300</xdr:rowOff>
    </xdr:from>
    <xdr:to>
      <xdr:col>8</xdr:col>
      <xdr:colOff>47625</xdr:colOff>
      <xdr:row>75</xdr:row>
      <xdr:rowOff>66675</xdr:rowOff>
    </xdr:to>
    <xdr:graphicFrame macro="">
      <xdr:nvGraphicFramePr>
        <xdr:cNvPr id="656026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771525</xdr:colOff>
      <xdr:row>27</xdr:row>
      <xdr:rowOff>9525</xdr:rowOff>
    </xdr:from>
    <xdr:to>
      <xdr:col>8</xdr:col>
      <xdr:colOff>0</xdr:colOff>
      <xdr:row>48</xdr:row>
      <xdr:rowOff>0</xdr:rowOff>
    </xdr:to>
    <xdr:graphicFrame macro="">
      <xdr:nvGraphicFramePr>
        <xdr:cNvPr id="656026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752475</xdr:colOff>
      <xdr:row>53</xdr:row>
      <xdr:rowOff>114300</xdr:rowOff>
    </xdr:from>
    <xdr:to>
      <xdr:col>8</xdr:col>
      <xdr:colOff>47625</xdr:colOff>
      <xdr:row>75</xdr:row>
      <xdr:rowOff>66675</xdr:rowOff>
    </xdr:to>
    <xdr:graphicFrame macro="">
      <xdr:nvGraphicFramePr>
        <xdr:cNvPr id="656026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771525</xdr:colOff>
      <xdr:row>26</xdr:row>
      <xdr:rowOff>127000</xdr:rowOff>
    </xdr:from>
    <xdr:to>
      <xdr:col>8</xdr:col>
      <xdr:colOff>0</xdr:colOff>
      <xdr:row>48</xdr:row>
      <xdr:rowOff>1</xdr:rowOff>
    </xdr:to>
    <xdr:graphicFrame macro="">
      <xdr:nvGraphicFramePr>
        <xdr:cNvPr id="65602614" name="Chart 19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xdr:col>
      <xdr:colOff>9525</xdr:colOff>
      <xdr:row>23</xdr:row>
      <xdr:rowOff>0</xdr:rowOff>
    </xdr:from>
    <xdr:to>
      <xdr:col>8</xdr:col>
      <xdr:colOff>104775</xdr:colOff>
      <xdr:row>36</xdr:row>
      <xdr:rowOff>152400</xdr:rowOff>
    </xdr:to>
    <xdr:graphicFrame macro="">
      <xdr:nvGraphicFramePr>
        <xdr:cNvPr id="6037701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41</xdr:row>
      <xdr:rowOff>0</xdr:rowOff>
    </xdr:from>
    <xdr:to>
      <xdr:col>8</xdr:col>
      <xdr:colOff>104775</xdr:colOff>
      <xdr:row>55</xdr:row>
      <xdr:rowOff>0</xdr:rowOff>
    </xdr:to>
    <xdr:graphicFrame macro="">
      <xdr:nvGraphicFramePr>
        <xdr:cNvPr id="6037701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6</xdr:col>
      <xdr:colOff>142875</xdr:colOff>
      <xdr:row>46</xdr:row>
      <xdr:rowOff>142875</xdr:rowOff>
    </xdr:from>
    <xdr:ext cx="609600" cy="180975"/>
    <xdr:sp macro="" textlink="">
      <xdr:nvSpPr>
        <xdr:cNvPr id="71683" name="Texto 6"/>
        <xdr:cNvSpPr txBox="1">
          <a:spLocks noChangeArrowheads="1"/>
        </xdr:cNvSpPr>
      </xdr:nvSpPr>
      <xdr:spPr bwMode="auto">
        <a:xfrm>
          <a:off x="3629025" y="8239125"/>
          <a:ext cx="647700"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000080"/>
              </a:solidFill>
              <a:latin typeface="Arial"/>
              <a:cs typeface="Arial"/>
            </a:rPr>
            <a:t>ELECTIVAS</a:t>
          </a:r>
        </a:p>
      </xdr:txBody>
    </xdr:sp>
    <xdr:clientData/>
  </xdr:oneCellAnchor>
  <xdr:oneCellAnchor>
    <xdr:from>
      <xdr:col>6</xdr:col>
      <xdr:colOff>171450</xdr:colOff>
      <xdr:row>26</xdr:row>
      <xdr:rowOff>76200</xdr:rowOff>
    </xdr:from>
    <xdr:ext cx="609600" cy="180975"/>
    <xdr:sp macro="" textlink="">
      <xdr:nvSpPr>
        <xdr:cNvPr id="71684" name="Texto 7"/>
        <xdr:cNvSpPr txBox="1">
          <a:spLocks noChangeArrowheads="1"/>
        </xdr:cNvSpPr>
      </xdr:nvSpPr>
      <xdr:spPr bwMode="auto">
        <a:xfrm>
          <a:off x="3657600" y="4933950"/>
          <a:ext cx="647700"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000080"/>
              </a:solidFill>
              <a:latin typeface="Arial"/>
              <a:cs typeface="Arial"/>
            </a:rPr>
            <a:t>ELECTIVAS</a:t>
          </a:r>
        </a:p>
      </xdr:txBody>
    </xdr:sp>
    <xdr:clientData/>
  </xdr:oneCellAnchor>
  <xdr:oneCellAnchor>
    <xdr:from>
      <xdr:col>5</xdr:col>
      <xdr:colOff>495300</xdr:colOff>
      <xdr:row>51</xdr:row>
      <xdr:rowOff>0</xdr:rowOff>
    </xdr:from>
    <xdr:ext cx="619125" cy="180975"/>
    <xdr:sp macro="" textlink="">
      <xdr:nvSpPr>
        <xdr:cNvPr id="71685" name="Texto 8"/>
        <xdr:cNvSpPr txBox="1">
          <a:spLocks noChangeArrowheads="1"/>
        </xdr:cNvSpPr>
      </xdr:nvSpPr>
      <xdr:spPr bwMode="auto">
        <a:xfrm>
          <a:off x="3381375" y="8905875"/>
          <a:ext cx="657225"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FF0000"/>
              </a:solidFill>
              <a:latin typeface="Arial"/>
              <a:cs typeface="Arial"/>
            </a:rPr>
            <a:t>URGENCIAS</a:t>
          </a:r>
        </a:p>
      </xdr:txBody>
    </xdr:sp>
    <xdr:clientData/>
  </xdr:oneCellAnchor>
  <xdr:oneCellAnchor>
    <xdr:from>
      <xdr:col>5</xdr:col>
      <xdr:colOff>257175</xdr:colOff>
      <xdr:row>31</xdr:row>
      <xdr:rowOff>28575</xdr:rowOff>
    </xdr:from>
    <xdr:ext cx="619125" cy="180975"/>
    <xdr:sp macro="" textlink="">
      <xdr:nvSpPr>
        <xdr:cNvPr id="71686" name="Texto 9"/>
        <xdr:cNvSpPr txBox="1">
          <a:spLocks noChangeArrowheads="1"/>
        </xdr:cNvSpPr>
      </xdr:nvSpPr>
      <xdr:spPr bwMode="auto">
        <a:xfrm>
          <a:off x="3143250" y="5695950"/>
          <a:ext cx="657225"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FF0000"/>
              </a:solidFill>
              <a:latin typeface="Arial"/>
              <a:cs typeface="Arial"/>
            </a:rPr>
            <a:t>URGENCIAS</a:t>
          </a:r>
        </a:p>
      </xdr:txBody>
    </xdr:sp>
    <xdr:clientData/>
  </xdr:oneCellAnchor>
  <xdr:twoCellAnchor>
    <xdr:from>
      <xdr:col>1</xdr:col>
      <xdr:colOff>381000</xdr:colOff>
      <xdr:row>67</xdr:row>
      <xdr:rowOff>9525</xdr:rowOff>
    </xdr:from>
    <xdr:to>
      <xdr:col>8</xdr:col>
      <xdr:colOff>485775</xdr:colOff>
      <xdr:row>81</xdr:row>
      <xdr:rowOff>9525</xdr:rowOff>
    </xdr:to>
    <xdr:graphicFrame macro="">
      <xdr:nvGraphicFramePr>
        <xdr:cNvPr id="60377023"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6</xdr:col>
      <xdr:colOff>504825</xdr:colOff>
      <xdr:row>73</xdr:row>
      <xdr:rowOff>19050</xdr:rowOff>
    </xdr:from>
    <xdr:ext cx="609600" cy="180975"/>
    <xdr:sp macro="" textlink="">
      <xdr:nvSpPr>
        <xdr:cNvPr id="71688" name="Texto 6"/>
        <xdr:cNvSpPr txBox="1">
          <a:spLocks noChangeArrowheads="1"/>
        </xdr:cNvSpPr>
      </xdr:nvSpPr>
      <xdr:spPr bwMode="auto">
        <a:xfrm>
          <a:off x="3990975" y="12487275"/>
          <a:ext cx="647700"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000080"/>
              </a:solidFill>
              <a:latin typeface="Arial"/>
              <a:cs typeface="Arial"/>
            </a:rPr>
            <a:t>ELECTIVAS</a:t>
          </a:r>
        </a:p>
      </xdr:txBody>
    </xdr:sp>
    <xdr:clientData/>
  </xdr:oneCellAnchor>
  <xdr:oneCellAnchor>
    <xdr:from>
      <xdr:col>4</xdr:col>
      <xdr:colOff>495300</xdr:colOff>
      <xdr:row>75</xdr:row>
      <xdr:rowOff>85725</xdr:rowOff>
    </xdr:from>
    <xdr:ext cx="619125" cy="180975"/>
    <xdr:sp macro="" textlink="">
      <xdr:nvSpPr>
        <xdr:cNvPr id="71689" name="Texto 8"/>
        <xdr:cNvSpPr txBox="1">
          <a:spLocks noChangeArrowheads="1"/>
        </xdr:cNvSpPr>
      </xdr:nvSpPr>
      <xdr:spPr bwMode="auto">
        <a:xfrm>
          <a:off x="2781300" y="12877800"/>
          <a:ext cx="657225"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FF0000"/>
              </a:solidFill>
              <a:latin typeface="Arial"/>
              <a:cs typeface="Arial"/>
            </a:rPr>
            <a:t>URGENCIAS</a:t>
          </a:r>
        </a:p>
      </xdr:txBody>
    </xdr:sp>
    <xdr:clientData/>
  </xdr:oneCellAnchor>
  <xdr:twoCellAnchor>
    <xdr:from>
      <xdr:col>1</xdr:col>
      <xdr:colOff>400050</xdr:colOff>
      <xdr:row>85</xdr:row>
      <xdr:rowOff>0</xdr:rowOff>
    </xdr:from>
    <xdr:to>
      <xdr:col>8</xdr:col>
      <xdr:colOff>504825</xdr:colOff>
      <xdr:row>99</xdr:row>
      <xdr:rowOff>0</xdr:rowOff>
    </xdr:to>
    <xdr:graphicFrame macro="">
      <xdr:nvGraphicFramePr>
        <xdr:cNvPr id="603770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6</xdr:col>
      <xdr:colOff>542925</xdr:colOff>
      <xdr:row>91</xdr:row>
      <xdr:rowOff>28575</xdr:rowOff>
    </xdr:from>
    <xdr:ext cx="609600" cy="180975"/>
    <xdr:sp macro="" textlink="">
      <xdr:nvSpPr>
        <xdr:cNvPr id="71691" name="Texto 6"/>
        <xdr:cNvSpPr txBox="1">
          <a:spLocks noChangeArrowheads="1"/>
        </xdr:cNvSpPr>
      </xdr:nvSpPr>
      <xdr:spPr bwMode="auto">
        <a:xfrm>
          <a:off x="4029075" y="15411450"/>
          <a:ext cx="647700"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000080"/>
              </a:solidFill>
              <a:latin typeface="Arial"/>
              <a:cs typeface="Arial"/>
            </a:rPr>
            <a:t>ELECTIVAS</a:t>
          </a:r>
        </a:p>
      </xdr:txBody>
    </xdr:sp>
    <xdr:clientData/>
  </xdr:oneCellAnchor>
  <xdr:oneCellAnchor>
    <xdr:from>
      <xdr:col>5</xdr:col>
      <xdr:colOff>495300</xdr:colOff>
      <xdr:row>93</xdr:row>
      <xdr:rowOff>114300</xdr:rowOff>
    </xdr:from>
    <xdr:ext cx="619125" cy="180975"/>
    <xdr:sp macro="" textlink="">
      <xdr:nvSpPr>
        <xdr:cNvPr id="71692" name="Texto 8"/>
        <xdr:cNvSpPr txBox="1">
          <a:spLocks noChangeArrowheads="1"/>
        </xdr:cNvSpPr>
      </xdr:nvSpPr>
      <xdr:spPr bwMode="auto">
        <a:xfrm>
          <a:off x="3381375" y="15821025"/>
          <a:ext cx="657225"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FF0000"/>
              </a:solidFill>
              <a:latin typeface="Arial"/>
              <a:cs typeface="Arial"/>
            </a:rPr>
            <a:t>URGENCIAS</a:t>
          </a:r>
        </a:p>
      </xdr:txBody>
    </xdr:sp>
    <xdr:clientData/>
  </xdr:oneCellAnchor>
</xdr:wsDr>
</file>

<file path=xl/drawings/drawing54.xml><?xml version="1.0" encoding="utf-8"?>
<xdr:wsDr xmlns:xdr="http://schemas.openxmlformats.org/drawingml/2006/spreadsheetDrawing" xmlns:a="http://schemas.openxmlformats.org/drawingml/2006/main">
  <xdr:twoCellAnchor>
    <xdr:from>
      <xdr:col>1</xdr:col>
      <xdr:colOff>342900</xdr:colOff>
      <xdr:row>24</xdr:row>
      <xdr:rowOff>19050</xdr:rowOff>
    </xdr:from>
    <xdr:to>
      <xdr:col>11</xdr:col>
      <xdr:colOff>9525</xdr:colOff>
      <xdr:row>39</xdr:row>
      <xdr:rowOff>19050</xdr:rowOff>
    </xdr:to>
    <xdr:graphicFrame macro="">
      <xdr:nvGraphicFramePr>
        <xdr:cNvPr id="3277310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342900</xdr:colOff>
      <xdr:row>44</xdr:row>
      <xdr:rowOff>19050</xdr:rowOff>
    </xdr:from>
    <xdr:to>
      <xdr:col>11</xdr:col>
      <xdr:colOff>9525</xdr:colOff>
      <xdr:row>59</xdr:row>
      <xdr:rowOff>19050</xdr:rowOff>
    </xdr:to>
    <xdr:graphicFrame macro="">
      <xdr:nvGraphicFramePr>
        <xdr:cNvPr id="327731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0.01073</cdr:x>
      <cdr:y>0.14469</cdr:y>
    </cdr:from>
    <cdr:to>
      <cdr:x>0.07507</cdr:x>
      <cdr:y>0.20331</cdr:y>
    </cdr:to>
    <cdr:sp macro="" textlink="">
      <cdr:nvSpPr>
        <cdr:cNvPr id="77825" name="Texto 1"/>
        <cdr:cNvSpPr txBox="1">
          <a:spLocks xmlns:a="http://schemas.openxmlformats.org/drawingml/2006/main" noChangeArrowheads="1"/>
        </cdr:cNvSpPr>
      </cdr:nvSpPr>
      <cdr:spPr bwMode="auto">
        <a:xfrm xmlns:a="http://schemas.openxmlformats.org/drawingml/2006/main">
          <a:off x="50800" y="355995"/>
          <a:ext cx="285579" cy="14293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s-ES" sz="600" b="0" i="0" strike="noStrike">
              <a:solidFill>
                <a:srgbClr val="000000"/>
              </a:solidFill>
              <a:latin typeface="Arial"/>
              <a:cs typeface="Arial"/>
            </a:rPr>
            <a:t>TASA</a:t>
          </a:r>
        </a:p>
      </cdr:txBody>
    </cdr:sp>
  </cdr:relSizeAnchor>
</c:userShapes>
</file>

<file path=xl/drawings/drawing56.xml><?xml version="1.0" encoding="utf-8"?>
<c:userShapes xmlns:c="http://schemas.openxmlformats.org/drawingml/2006/chart">
  <cdr:relSizeAnchor xmlns:cdr="http://schemas.openxmlformats.org/drawingml/2006/chartDrawing">
    <cdr:from>
      <cdr:x>0.01342</cdr:x>
      <cdr:y>0.14469</cdr:y>
    </cdr:from>
    <cdr:to>
      <cdr:x>0.07776</cdr:x>
      <cdr:y>0.20331</cdr:y>
    </cdr:to>
    <cdr:sp macro="" textlink="">
      <cdr:nvSpPr>
        <cdr:cNvPr id="78849" name="Texto 1"/>
        <cdr:cNvSpPr txBox="1">
          <a:spLocks xmlns:a="http://schemas.openxmlformats.org/drawingml/2006/main" noChangeArrowheads="1"/>
        </cdr:cNvSpPr>
      </cdr:nvSpPr>
      <cdr:spPr bwMode="auto">
        <a:xfrm xmlns:a="http://schemas.openxmlformats.org/drawingml/2006/main">
          <a:off x="62744" y="355995"/>
          <a:ext cx="285579" cy="14293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s-ES" sz="600" b="0" i="0" strike="noStrike">
              <a:solidFill>
                <a:srgbClr val="000000"/>
              </a:solidFill>
              <a:latin typeface="Arial"/>
              <a:cs typeface="Arial"/>
            </a:rPr>
            <a:t>TASA</a:t>
          </a:r>
        </a:p>
      </cdr:txBody>
    </cdr:sp>
  </cdr:relSizeAnchor>
</c:userShapes>
</file>

<file path=xl/drawings/drawing57.xml><?xml version="1.0" encoding="utf-8"?>
<xdr:wsDr xmlns:xdr="http://schemas.openxmlformats.org/drawingml/2006/spreadsheetDrawing" xmlns:a="http://schemas.openxmlformats.org/drawingml/2006/main">
  <xdr:twoCellAnchor>
    <xdr:from>
      <xdr:col>0</xdr:col>
      <xdr:colOff>523875</xdr:colOff>
      <xdr:row>22</xdr:row>
      <xdr:rowOff>19050</xdr:rowOff>
    </xdr:from>
    <xdr:to>
      <xdr:col>8</xdr:col>
      <xdr:colOff>95250</xdr:colOff>
      <xdr:row>40</xdr:row>
      <xdr:rowOff>9525</xdr:rowOff>
    </xdr:to>
    <xdr:graphicFrame macro="">
      <xdr:nvGraphicFramePr>
        <xdr:cNvPr id="3277618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47</xdr:row>
      <xdr:rowOff>0</xdr:rowOff>
    </xdr:from>
    <xdr:to>
      <xdr:col>8</xdr:col>
      <xdr:colOff>0</xdr:colOff>
      <xdr:row>64</xdr:row>
      <xdr:rowOff>114300</xdr:rowOff>
    </xdr:to>
    <xdr:graphicFrame macro="">
      <xdr:nvGraphicFramePr>
        <xdr:cNvPr id="3277618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0</xdr:col>
      <xdr:colOff>523875</xdr:colOff>
      <xdr:row>22</xdr:row>
      <xdr:rowOff>19050</xdr:rowOff>
    </xdr:from>
    <xdr:to>
      <xdr:col>8</xdr:col>
      <xdr:colOff>0</xdr:colOff>
      <xdr:row>40</xdr:row>
      <xdr:rowOff>9525</xdr:rowOff>
    </xdr:to>
    <xdr:graphicFrame macro="">
      <xdr:nvGraphicFramePr>
        <xdr:cNvPr id="3277925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47</xdr:row>
      <xdr:rowOff>0</xdr:rowOff>
    </xdr:from>
    <xdr:to>
      <xdr:col>8</xdr:col>
      <xdr:colOff>0</xdr:colOff>
      <xdr:row>64</xdr:row>
      <xdr:rowOff>114300</xdr:rowOff>
    </xdr:to>
    <xdr:graphicFrame macro="">
      <xdr:nvGraphicFramePr>
        <xdr:cNvPr id="3277925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0</xdr:col>
      <xdr:colOff>523875</xdr:colOff>
      <xdr:row>22</xdr:row>
      <xdr:rowOff>19050</xdr:rowOff>
    </xdr:from>
    <xdr:to>
      <xdr:col>8</xdr:col>
      <xdr:colOff>0</xdr:colOff>
      <xdr:row>40</xdr:row>
      <xdr:rowOff>9525</xdr:rowOff>
    </xdr:to>
    <xdr:graphicFrame macro="">
      <xdr:nvGraphicFramePr>
        <xdr:cNvPr id="327823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47</xdr:row>
      <xdr:rowOff>0</xdr:rowOff>
    </xdr:from>
    <xdr:to>
      <xdr:col>8</xdr:col>
      <xdr:colOff>0</xdr:colOff>
      <xdr:row>64</xdr:row>
      <xdr:rowOff>114300</xdr:rowOff>
    </xdr:to>
    <xdr:graphicFrame macro="">
      <xdr:nvGraphicFramePr>
        <xdr:cNvPr id="327823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581025</xdr:colOff>
      <xdr:row>35</xdr:row>
      <xdr:rowOff>152400</xdr:rowOff>
    </xdr:from>
    <xdr:to>
      <xdr:col>6</xdr:col>
      <xdr:colOff>333375</xdr:colOff>
      <xdr:row>49</xdr:row>
      <xdr:rowOff>0</xdr:rowOff>
    </xdr:to>
    <xdr:graphicFrame macro="">
      <xdr:nvGraphicFramePr>
        <xdr:cNvPr id="6548892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581025</xdr:colOff>
      <xdr:row>35</xdr:row>
      <xdr:rowOff>152400</xdr:rowOff>
    </xdr:from>
    <xdr:to>
      <xdr:col>6</xdr:col>
      <xdr:colOff>333375</xdr:colOff>
      <xdr:row>49</xdr:row>
      <xdr:rowOff>0</xdr:rowOff>
    </xdr:to>
    <xdr:graphicFrame macro="">
      <xdr:nvGraphicFramePr>
        <xdr:cNvPr id="654889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0</xdr:col>
      <xdr:colOff>523875</xdr:colOff>
      <xdr:row>22</xdr:row>
      <xdr:rowOff>19050</xdr:rowOff>
    </xdr:from>
    <xdr:to>
      <xdr:col>8</xdr:col>
      <xdr:colOff>0</xdr:colOff>
      <xdr:row>40</xdr:row>
      <xdr:rowOff>9525</xdr:rowOff>
    </xdr:to>
    <xdr:graphicFrame macro="">
      <xdr:nvGraphicFramePr>
        <xdr:cNvPr id="3278539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47</xdr:row>
      <xdr:rowOff>0</xdr:rowOff>
    </xdr:from>
    <xdr:to>
      <xdr:col>8</xdr:col>
      <xdr:colOff>0</xdr:colOff>
      <xdr:row>64</xdr:row>
      <xdr:rowOff>114300</xdr:rowOff>
    </xdr:to>
    <xdr:graphicFrame macro="">
      <xdr:nvGraphicFramePr>
        <xdr:cNvPr id="3278539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0</xdr:col>
      <xdr:colOff>523875</xdr:colOff>
      <xdr:row>22</xdr:row>
      <xdr:rowOff>19050</xdr:rowOff>
    </xdr:from>
    <xdr:to>
      <xdr:col>8</xdr:col>
      <xdr:colOff>0</xdr:colOff>
      <xdr:row>40</xdr:row>
      <xdr:rowOff>9525</xdr:rowOff>
    </xdr:to>
    <xdr:graphicFrame macro="">
      <xdr:nvGraphicFramePr>
        <xdr:cNvPr id="3278846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47</xdr:row>
      <xdr:rowOff>0</xdr:rowOff>
    </xdr:from>
    <xdr:to>
      <xdr:col>8</xdr:col>
      <xdr:colOff>0</xdr:colOff>
      <xdr:row>64</xdr:row>
      <xdr:rowOff>114300</xdr:rowOff>
    </xdr:to>
    <xdr:graphicFrame macro="">
      <xdr:nvGraphicFramePr>
        <xdr:cNvPr id="3278847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0</xdr:col>
      <xdr:colOff>523875</xdr:colOff>
      <xdr:row>22</xdr:row>
      <xdr:rowOff>19050</xdr:rowOff>
    </xdr:from>
    <xdr:to>
      <xdr:col>8</xdr:col>
      <xdr:colOff>0</xdr:colOff>
      <xdr:row>40</xdr:row>
      <xdr:rowOff>9525</xdr:rowOff>
    </xdr:to>
    <xdr:graphicFrame macro="">
      <xdr:nvGraphicFramePr>
        <xdr:cNvPr id="3279154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47</xdr:row>
      <xdr:rowOff>0</xdr:rowOff>
    </xdr:from>
    <xdr:to>
      <xdr:col>8</xdr:col>
      <xdr:colOff>0</xdr:colOff>
      <xdr:row>64</xdr:row>
      <xdr:rowOff>114300</xdr:rowOff>
    </xdr:to>
    <xdr:graphicFrame macro="">
      <xdr:nvGraphicFramePr>
        <xdr:cNvPr id="3279154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0.01678</cdr:x>
      <cdr:y>0.05824</cdr:y>
    </cdr:from>
    <cdr:to>
      <cdr:x>0.05743</cdr:x>
      <cdr:y>0.15232</cdr:y>
    </cdr:to>
    <cdr:sp macro="" textlink="">
      <cdr:nvSpPr>
        <cdr:cNvPr id="16385" name="Texto 1"/>
        <cdr:cNvSpPr txBox="1">
          <a:spLocks xmlns:a="http://schemas.openxmlformats.org/drawingml/2006/main" noChangeArrowheads="1"/>
        </cdr:cNvSpPr>
      </cdr:nvSpPr>
      <cdr:spPr bwMode="auto">
        <a:xfrm xmlns:a="http://schemas.openxmlformats.org/drawingml/2006/main">
          <a:off x="81790" y="126881"/>
          <a:ext cx="190528" cy="1998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s-ES" sz="1000" b="0" i="0" strike="noStrike">
              <a:solidFill>
                <a:srgbClr val="000000"/>
              </a:solidFill>
              <a:latin typeface="Arial"/>
              <a:cs typeface="Arial"/>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0.01678</cdr:x>
      <cdr:y>0.05824</cdr:y>
    </cdr:from>
    <cdr:to>
      <cdr:x>0.05743</cdr:x>
      <cdr:y>0.15232</cdr:y>
    </cdr:to>
    <cdr:sp macro="" textlink="">
      <cdr:nvSpPr>
        <cdr:cNvPr id="16385" name="Texto 1"/>
        <cdr:cNvSpPr txBox="1">
          <a:spLocks xmlns:a="http://schemas.openxmlformats.org/drawingml/2006/main" noChangeArrowheads="1"/>
        </cdr:cNvSpPr>
      </cdr:nvSpPr>
      <cdr:spPr bwMode="auto">
        <a:xfrm xmlns:a="http://schemas.openxmlformats.org/drawingml/2006/main">
          <a:off x="81790" y="126881"/>
          <a:ext cx="190528" cy="1998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s-ES" sz="1000" b="0" i="0" strike="noStrike">
              <a:solidFill>
                <a:srgbClr val="000000"/>
              </a:solidFill>
              <a:latin typeface="Arial"/>
              <a:cs typeface="Arial"/>
            </a:rPr>
            <a:t>%</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28575</xdr:colOff>
      <xdr:row>63</xdr:row>
      <xdr:rowOff>9525</xdr:rowOff>
    </xdr:from>
    <xdr:to>
      <xdr:col>5</xdr:col>
      <xdr:colOff>628650</xdr:colOff>
      <xdr:row>113</xdr:row>
      <xdr:rowOff>28575</xdr:rowOff>
    </xdr:to>
    <xdr:graphicFrame macro="">
      <xdr:nvGraphicFramePr>
        <xdr:cNvPr id="6549199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62</xdr:row>
      <xdr:rowOff>152400</xdr:rowOff>
    </xdr:from>
    <xdr:to>
      <xdr:col>5</xdr:col>
      <xdr:colOff>600075</xdr:colOff>
      <xdr:row>113</xdr:row>
      <xdr:rowOff>9525</xdr:rowOff>
    </xdr:to>
    <xdr:graphicFrame macro="">
      <xdr:nvGraphicFramePr>
        <xdr:cNvPr id="6549199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blacion/POB_SSALUD_COMU_1990_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m2015/Cons/A/108707Ac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m2015/Cons/A/108404Aco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m2015/Cons/A/108306Ac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m2015/Cons/A/108302Aco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m2015/Cons/A/108700Aco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em2015/Cons/A/108401Ac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m2015/Cons/A/108308Aco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m2015/Cons/A/108405Aco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em2015/Cons/A/108301Aco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m2015/Cons/A/108305Ac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espaldo/Poblacion/POB_SS_COMUNA_2005_20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m2015/Cons/A/108312Ac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Rem2015/Cons/A/108712Aco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m2015/Cons/A/108310Aco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em2015/Cons/A/108304Acon.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em2015/Cons/A/108406Ac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m2015/Cons/A/108309Aco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em2015/Cons/A/108709Aco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em2015/Cons/A/108409Aco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Rem2015/Cons/A/108300Aco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em2015/Cons/A/108303Ac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riana/Downloads/naci2015.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Rem2015/Cons/A/108703Aco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Rem2015/PPV/108010%20PPV_2015%20Acon.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Rem2015/Cons/A/108101Acon.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Rem2015/Cons/A/108100Acon.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Rem2015/Cons/A/108104Aco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em2015/Cons/A/108105Aco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Rem2015/Cons/A/108311Aco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Rem2015/Cons/A/108102Aco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respaldo/zestadis/Mem2014/2014.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Rem2015/Cons/D/080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espaldo/zestadis/Mem2013/2013.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Rem/Rem2013/Con13/D/08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em2014/Cons/A/cons-consulta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m2015/Cons/A/consultas-c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m2015/INTERCONSULTAS201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m2015/Cons/A/108000Aco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m2015/Cons/A/108307Ac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1990"/>
      <sheetName val="1991"/>
      <sheetName val="1992"/>
      <sheetName val="1993"/>
      <sheetName val="1994"/>
      <sheetName val="1995"/>
      <sheetName val="1996"/>
      <sheetName val="1997"/>
      <sheetName val="1998"/>
      <sheetName val="1999"/>
      <sheetName val="2000"/>
      <sheetName val="2001"/>
      <sheetName val="2002"/>
      <sheetName val="2003"/>
      <sheetName val="2004"/>
      <sheetName val="2005"/>
      <sheetName val="Hoja1"/>
      <sheetName val="2006"/>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sheetData sheetId="3"/>
      <sheetData sheetId="4"/>
      <sheetData sheetId="5"/>
      <sheetData sheetId="6"/>
      <sheetData sheetId="7"/>
      <sheetData sheetId="8"/>
      <sheetData sheetId="9">
        <row r="11">
          <cell r="D11">
            <v>33</v>
          </cell>
        </row>
        <row r="13">
          <cell r="D13">
            <v>1</v>
          </cell>
        </row>
        <row r="21">
          <cell r="E21">
            <v>51</v>
          </cell>
          <cell r="F21">
            <v>49</v>
          </cell>
          <cell r="G21">
            <v>54</v>
          </cell>
          <cell r="H21">
            <v>49</v>
          </cell>
          <cell r="I21">
            <v>46</v>
          </cell>
          <cell r="J21">
            <v>30</v>
          </cell>
          <cell r="K21">
            <v>218</v>
          </cell>
          <cell r="L21">
            <v>19</v>
          </cell>
        </row>
        <row r="22">
          <cell r="E22">
            <v>7</v>
          </cell>
          <cell r="F22">
            <v>8</v>
          </cell>
          <cell r="G22">
            <v>33</v>
          </cell>
          <cell r="H22">
            <v>19</v>
          </cell>
          <cell r="I22">
            <v>56</v>
          </cell>
          <cell r="J22">
            <v>81</v>
          </cell>
          <cell r="K22">
            <v>245</v>
          </cell>
          <cell r="L22">
            <v>56</v>
          </cell>
        </row>
        <row r="23">
          <cell r="E23">
            <v>3</v>
          </cell>
          <cell r="F23">
            <v>12</v>
          </cell>
          <cell r="G23">
            <v>37</v>
          </cell>
          <cell r="H23">
            <v>29</v>
          </cell>
          <cell r="I23">
            <v>28</v>
          </cell>
          <cell r="J23">
            <v>21</v>
          </cell>
          <cell r="K23">
            <v>146</v>
          </cell>
          <cell r="L23">
            <v>10</v>
          </cell>
        </row>
        <row r="24">
          <cell r="E24">
            <v>0</v>
          </cell>
          <cell r="F24">
            <v>1</v>
          </cell>
          <cell r="G24">
            <v>3</v>
          </cell>
          <cell r="H24">
            <v>1</v>
          </cell>
          <cell r="I24">
            <v>4</v>
          </cell>
          <cell r="J24">
            <v>3</v>
          </cell>
          <cell r="K24">
            <v>17</v>
          </cell>
          <cell r="L24">
            <v>6</v>
          </cell>
        </row>
        <row r="25">
          <cell r="E25">
            <v>1</v>
          </cell>
          <cell r="F25">
            <v>1</v>
          </cell>
          <cell r="G25">
            <v>2</v>
          </cell>
          <cell r="H25">
            <v>7</v>
          </cell>
          <cell r="I25">
            <v>7</v>
          </cell>
          <cell r="J25">
            <v>0</v>
          </cell>
          <cell r="K25">
            <v>128</v>
          </cell>
          <cell r="L25">
            <v>0</v>
          </cell>
        </row>
        <row r="26">
          <cell r="E26">
            <v>0</v>
          </cell>
          <cell r="F26">
            <v>0</v>
          </cell>
          <cell r="G26">
            <v>0</v>
          </cell>
          <cell r="H26">
            <v>0</v>
          </cell>
          <cell r="I26">
            <v>0</v>
          </cell>
          <cell r="J26">
            <v>9</v>
          </cell>
          <cell r="K26">
            <v>24</v>
          </cell>
          <cell r="L26">
            <v>16</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sheetData sheetId="3"/>
      <sheetData sheetId="4"/>
      <sheetData sheetId="5"/>
      <sheetData sheetId="6"/>
      <sheetData sheetId="7"/>
      <sheetData sheetId="8"/>
      <sheetData sheetId="9">
        <row r="11">
          <cell r="D11">
            <v>169</v>
          </cell>
        </row>
        <row r="13">
          <cell r="D13">
            <v>10</v>
          </cell>
        </row>
        <row r="21">
          <cell r="E21">
            <v>19</v>
          </cell>
          <cell r="F21">
            <v>5</v>
          </cell>
          <cell r="G21">
            <v>18</v>
          </cell>
          <cell r="H21">
            <v>25</v>
          </cell>
          <cell r="I21">
            <v>21</v>
          </cell>
          <cell r="J21">
            <v>24</v>
          </cell>
          <cell r="K21">
            <v>139</v>
          </cell>
          <cell r="L21">
            <v>23</v>
          </cell>
        </row>
        <row r="22">
          <cell r="E22">
            <v>0</v>
          </cell>
          <cell r="F22">
            <v>0</v>
          </cell>
          <cell r="G22">
            <v>3</v>
          </cell>
          <cell r="H22">
            <v>10</v>
          </cell>
          <cell r="I22">
            <v>46</v>
          </cell>
          <cell r="J22">
            <v>20</v>
          </cell>
          <cell r="K22">
            <v>171</v>
          </cell>
          <cell r="L22">
            <v>3</v>
          </cell>
        </row>
        <row r="23">
          <cell r="E23">
            <v>1</v>
          </cell>
          <cell r="F23">
            <v>2</v>
          </cell>
          <cell r="G23">
            <v>3</v>
          </cell>
          <cell r="H23">
            <v>0</v>
          </cell>
          <cell r="I23">
            <v>3</v>
          </cell>
          <cell r="J23">
            <v>0</v>
          </cell>
          <cell r="K23">
            <v>2</v>
          </cell>
          <cell r="L23">
            <v>2</v>
          </cell>
        </row>
        <row r="24">
          <cell r="E24">
            <v>0</v>
          </cell>
          <cell r="F24">
            <v>0</v>
          </cell>
          <cell r="G24">
            <v>0</v>
          </cell>
          <cell r="H24">
            <v>0</v>
          </cell>
          <cell r="I24">
            <v>1</v>
          </cell>
          <cell r="J24">
            <v>1</v>
          </cell>
          <cell r="K24">
            <v>3</v>
          </cell>
          <cell r="L24">
            <v>0</v>
          </cell>
        </row>
        <row r="25">
          <cell r="E25">
            <v>0</v>
          </cell>
          <cell r="F25">
            <v>0</v>
          </cell>
          <cell r="G25">
            <v>0</v>
          </cell>
          <cell r="H25">
            <v>0</v>
          </cell>
          <cell r="I25">
            <v>0</v>
          </cell>
          <cell r="J25">
            <v>0</v>
          </cell>
          <cell r="K25">
            <v>0</v>
          </cell>
          <cell r="L25">
            <v>0</v>
          </cell>
        </row>
        <row r="26">
          <cell r="E26">
            <v>0</v>
          </cell>
          <cell r="F26">
            <v>0</v>
          </cell>
          <cell r="G26">
            <v>0</v>
          </cell>
          <cell r="H26">
            <v>1</v>
          </cell>
          <cell r="I26">
            <v>0</v>
          </cell>
          <cell r="J26">
            <v>2</v>
          </cell>
          <cell r="K26">
            <v>6</v>
          </cell>
          <cell r="L26">
            <v>5</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sheetData sheetId="3"/>
      <sheetData sheetId="4"/>
      <sheetData sheetId="5"/>
      <sheetData sheetId="6"/>
      <sheetData sheetId="7"/>
      <sheetData sheetId="8"/>
      <sheetData sheetId="9">
        <row r="11">
          <cell r="D11">
            <v>6009</v>
          </cell>
        </row>
        <row r="13">
          <cell r="D13">
            <v>564</v>
          </cell>
        </row>
        <row r="21">
          <cell r="E21">
            <v>170</v>
          </cell>
          <cell r="F21">
            <v>150</v>
          </cell>
          <cell r="G21">
            <v>171</v>
          </cell>
          <cell r="H21">
            <v>92</v>
          </cell>
          <cell r="I21">
            <v>334</v>
          </cell>
          <cell r="J21">
            <v>94</v>
          </cell>
          <cell r="K21">
            <v>730</v>
          </cell>
          <cell r="L21">
            <v>229</v>
          </cell>
        </row>
        <row r="22">
          <cell r="E22">
            <v>1</v>
          </cell>
          <cell r="F22">
            <v>3</v>
          </cell>
          <cell r="G22">
            <v>24</v>
          </cell>
          <cell r="H22">
            <v>23</v>
          </cell>
          <cell r="I22">
            <v>431</v>
          </cell>
          <cell r="J22">
            <v>94</v>
          </cell>
          <cell r="K22">
            <v>890</v>
          </cell>
          <cell r="L22">
            <v>20</v>
          </cell>
        </row>
        <row r="23">
          <cell r="E23">
            <v>0</v>
          </cell>
          <cell r="F23">
            <v>0</v>
          </cell>
          <cell r="G23">
            <v>0</v>
          </cell>
          <cell r="H23">
            <v>0</v>
          </cell>
          <cell r="I23">
            <v>0</v>
          </cell>
          <cell r="J23">
            <v>0</v>
          </cell>
          <cell r="K23">
            <v>1</v>
          </cell>
          <cell r="L23">
            <v>0</v>
          </cell>
        </row>
        <row r="24">
          <cell r="E24">
            <v>3</v>
          </cell>
          <cell r="F24">
            <v>1</v>
          </cell>
          <cell r="G24">
            <v>6</v>
          </cell>
          <cell r="H24">
            <v>13</v>
          </cell>
          <cell r="I24">
            <v>24</v>
          </cell>
          <cell r="J24">
            <v>5</v>
          </cell>
          <cell r="K24">
            <v>31</v>
          </cell>
          <cell r="L24">
            <v>21</v>
          </cell>
        </row>
        <row r="25">
          <cell r="E25">
            <v>0</v>
          </cell>
          <cell r="F25">
            <v>0</v>
          </cell>
          <cell r="G25">
            <v>0</v>
          </cell>
          <cell r="H25">
            <v>0</v>
          </cell>
          <cell r="I25">
            <v>0</v>
          </cell>
          <cell r="J25">
            <v>0</v>
          </cell>
          <cell r="K25">
            <v>0</v>
          </cell>
          <cell r="L25">
            <v>0</v>
          </cell>
        </row>
        <row r="26">
          <cell r="E26">
            <v>6</v>
          </cell>
          <cell r="F26">
            <v>7</v>
          </cell>
          <cell r="G26">
            <v>12</v>
          </cell>
          <cell r="H26">
            <v>15</v>
          </cell>
          <cell r="I26">
            <v>20</v>
          </cell>
          <cell r="J26">
            <v>38</v>
          </cell>
          <cell r="K26">
            <v>167</v>
          </cell>
          <cell r="L26">
            <v>97</v>
          </cell>
        </row>
      </sheetData>
      <sheetData sheetId="10"/>
      <sheetData sheetId="11"/>
      <sheetData sheetId="12">
        <row r="10">
          <cell r="B10">
            <v>97</v>
          </cell>
          <cell r="E10">
            <v>40</v>
          </cell>
          <cell r="F10">
            <v>52</v>
          </cell>
        </row>
        <row r="22">
          <cell r="B22">
            <v>9338</v>
          </cell>
        </row>
        <row r="23">
          <cell r="B23">
            <v>8</v>
          </cell>
        </row>
        <row r="24">
          <cell r="B24">
            <v>45</v>
          </cell>
        </row>
        <row r="25">
          <cell r="B25">
            <v>77</v>
          </cell>
        </row>
        <row r="26">
          <cell r="B26">
            <v>0</v>
          </cell>
        </row>
      </sheetData>
      <sheetData sheetId="13"/>
      <sheetData sheetId="14"/>
      <sheetData sheetId="15"/>
      <sheetData sheetId="16"/>
      <sheetData sheetId="17"/>
      <sheetData sheetId="18"/>
      <sheetData sheetId="19"/>
      <sheetData sheetId="20"/>
      <sheetData sheetId="2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sheetData sheetId="3"/>
      <sheetData sheetId="4"/>
      <sheetData sheetId="5"/>
      <sheetData sheetId="6"/>
      <sheetData sheetId="7"/>
      <sheetData sheetId="8"/>
      <sheetData sheetId="9">
        <row r="11">
          <cell r="D11">
            <v>2737</v>
          </cell>
        </row>
        <row r="13">
          <cell r="D13">
            <v>416</v>
          </cell>
        </row>
        <row r="21">
          <cell r="E21">
            <v>118</v>
          </cell>
          <cell r="F21">
            <v>46</v>
          </cell>
          <cell r="G21">
            <v>95</v>
          </cell>
          <cell r="H21">
            <v>69</v>
          </cell>
          <cell r="I21">
            <v>125</v>
          </cell>
          <cell r="J21">
            <v>88</v>
          </cell>
          <cell r="K21">
            <v>170</v>
          </cell>
          <cell r="L21">
            <v>101</v>
          </cell>
        </row>
        <row r="22">
          <cell r="E22">
            <v>24</v>
          </cell>
          <cell r="F22">
            <v>90</v>
          </cell>
          <cell r="G22">
            <v>265</v>
          </cell>
          <cell r="H22">
            <v>198</v>
          </cell>
          <cell r="I22">
            <v>396</v>
          </cell>
          <cell r="J22">
            <v>881</v>
          </cell>
          <cell r="K22">
            <v>1226</v>
          </cell>
          <cell r="L22">
            <v>285</v>
          </cell>
        </row>
        <row r="23">
          <cell r="E23">
            <v>67</v>
          </cell>
          <cell r="F23">
            <v>25</v>
          </cell>
          <cell r="G23">
            <v>26</v>
          </cell>
          <cell r="H23">
            <v>15</v>
          </cell>
          <cell r="I23">
            <v>9</v>
          </cell>
          <cell r="J23">
            <v>8</v>
          </cell>
          <cell r="K23">
            <v>55</v>
          </cell>
          <cell r="L23">
            <v>7</v>
          </cell>
        </row>
        <row r="24">
          <cell r="E24">
            <v>0</v>
          </cell>
          <cell r="F24">
            <v>0</v>
          </cell>
          <cell r="G24">
            <v>0</v>
          </cell>
          <cell r="H24">
            <v>0</v>
          </cell>
          <cell r="I24">
            <v>0</v>
          </cell>
          <cell r="J24">
            <v>0</v>
          </cell>
          <cell r="K24">
            <v>0</v>
          </cell>
          <cell r="L24">
            <v>0</v>
          </cell>
        </row>
        <row r="25">
          <cell r="E25">
            <v>0</v>
          </cell>
          <cell r="F25">
            <v>0</v>
          </cell>
          <cell r="G25">
            <v>0</v>
          </cell>
          <cell r="H25">
            <v>0</v>
          </cell>
          <cell r="I25">
            <v>0</v>
          </cell>
          <cell r="J25">
            <v>0</v>
          </cell>
          <cell r="K25">
            <v>0</v>
          </cell>
          <cell r="L25">
            <v>0</v>
          </cell>
        </row>
        <row r="26">
          <cell r="E26">
            <v>2</v>
          </cell>
          <cell r="F26">
            <v>7</v>
          </cell>
          <cell r="G26">
            <v>1</v>
          </cell>
          <cell r="H26">
            <v>1</v>
          </cell>
          <cell r="I26">
            <v>12</v>
          </cell>
          <cell r="J26">
            <v>66</v>
          </cell>
          <cell r="K26">
            <v>145</v>
          </cell>
          <cell r="L26">
            <v>158</v>
          </cell>
        </row>
      </sheetData>
      <sheetData sheetId="10"/>
      <sheetData sheetId="11"/>
      <sheetData sheetId="12">
        <row r="10">
          <cell r="B10">
            <v>24</v>
          </cell>
          <cell r="E10">
            <v>24</v>
          </cell>
          <cell r="F10">
            <v>0</v>
          </cell>
        </row>
        <row r="22">
          <cell r="B22">
            <v>3301</v>
          </cell>
        </row>
        <row r="23">
          <cell r="B23">
            <v>0</v>
          </cell>
        </row>
        <row r="24">
          <cell r="B24">
            <v>8</v>
          </cell>
        </row>
        <row r="25">
          <cell r="B25">
            <v>0</v>
          </cell>
        </row>
        <row r="26">
          <cell r="B26">
            <v>0</v>
          </cell>
        </row>
      </sheetData>
      <sheetData sheetId="13"/>
      <sheetData sheetId="14"/>
      <sheetData sheetId="15"/>
      <sheetData sheetId="16"/>
      <sheetData sheetId="17"/>
      <sheetData sheetId="18"/>
      <sheetData sheetId="19"/>
      <sheetData sheetId="20"/>
      <sheetData sheetId="2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sheetData sheetId="3"/>
      <sheetData sheetId="4"/>
      <sheetData sheetId="5"/>
      <sheetData sheetId="6"/>
      <sheetData sheetId="7"/>
      <sheetData sheetId="8"/>
      <sheetData sheetId="9">
        <row r="11">
          <cell r="D11">
            <v>509</v>
          </cell>
        </row>
        <row r="13">
          <cell r="D13">
            <v>47</v>
          </cell>
        </row>
        <row r="21">
          <cell r="E21">
            <v>22</v>
          </cell>
          <cell r="F21">
            <v>22</v>
          </cell>
          <cell r="G21">
            <v>22</v>
          </cell>
          <cell r="H21">
            <v>11</v>
          </cell>
          <cell r="I21">
            <v>28</v>
          </cell>
          <cell r="J21">
            <v>7</v>
          </cell>
          <cell r="K21">
            <v>66</v>
          </cell>
          <cell r="L21">
            <v>33</v>
          </cell>
        </row>
        <row r="22">
          <cell r="E22">
            <v>9</v>
          </cell>
          <cell r="F22">
            <v>53</v>
          </cell>
          <cell r="G22">
            <v>76</v>
          </cell>
          <cell r="H22">
            <v>20</v>
          </cell>
          <cell r="I22">
            <v>80</v>
          </cell>
          <cell r="J22">
            <v>94</v>
          </cell>
          <cell r="K22">
            <v>132</v>
          </cell>
          <cell r="L22">
            <v>65</v>
          </cell>
        </row>
        <row r="23">
          <cell r="E23">
            <v>15</v>
          </cell>
          <cell r="F23">
            <v>6</v>
          </cell>
          <cell r="G23">
            <v>13</v>
          </cell>
          <cell r="H23">
            <v>4</v>
          </cell>
          <cell r="I23">
            <v>7</v>
          </cell>
          <cell r="J23">
            <v>0</v>
          </cell>
          <cell r="K23">
            <v>10</v>
          </cell>
          <cell r="L23">
            <v>0</v>
          </cell>
        </row>
        <row r="24">
          <cell r="E24">
            <v>0</v>
          </cell>
          <cell r="F24">
            <v>0</v>
          </cell>
          <cell r="G24">
            <v>0</v>
          </cell>
          <cell r="H24">
            <v>0</v>
          </cell>
          <cell r="I24">
            <v>0</v>
          </cell>
          <cell r="J24">
            <v>0</v>
          </cell>
          <cell r="K24">
            <v>0</v>
          </cell>
          <cell r="L24">
            <v>0</v>
          </cell>
        </row>
        <row r="25">
          <cell r="E25">
            <v>0</v>
          </cell>
          <cell r="F25">
            <v>0</v>
          </cell>
          <cell r="G25">
            <v>0</v>
          </cell>
          <cell r="H25">
            <v>0</v>
          </cell>
          <cell r="I25">
            <v>0</v>
          </cell>
          <cell r="J25">
            <v>0</v>
          </cell>
          <cell r="K25">
            <v>0</v>
          </cell>
          <cell r="L25">
            <v>0</v>
          </cell>
        </row>
        <row r="26">
          <cell r="E26">
            <v>6</v>
          </cell>
          <cell r="F26">
            <v>19</v>
          </cell>
          <cell r="G26">
            <v>6</v>
          </cell>
          <cell r="H26">
            <v>7</v>
          </cell>
          <cell r="I26">
            <v>30</v>
          </cell>
          <cell r="J26">
            <v>25</v>
          </cell>
          <cell r="K26">
            <v>149</v>
          </cell>
          <cell r="L26">
            <v>188</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sheetData sheetId="3"/>
      <sheetData sheetId="4"/>
      <sheetData sheetId="5"/>
      <sheetData sheetId="6"/>
      <sheetData sheetId="7"/>
      <sheetData sheetId="8"/>
      <sheetData sheetId="9">
        <row r="11">
          <cell r="D11">
            <v>3</v>
          </cell>
        </row>
        <row r="13">
          <cell r="D13">
            <v>0</v>
          </cell>
        </row>
        <row r="21">
          <cell r="E21">
            <v>0</v>
          </cell>
          <cell r="F21">
            <v>0</v>
          </cell>
          <cell r="G21">
            <v>0</v>
          </cell>
          <cell r="H21">
            <v>0</v>
          </cell>
          <cell r="I21">
            <v>0</v>
          </cell>
          <cell r="J21">
            <v>1</v>
          </cell>
          <cell r="K21">
            <v>0</v>
          </cell>
          <cell r="L21">
            <v>0</v>
          </cell>
        </row>
        <row r="22">
          <cell r="E22">
            <v>0</v>
          </cell>
          <cell r="F22">
            <v>6</v>
          </cell>
          <cell r="G22">
            <v>4</v>
          </cell>
          <cell r="H22">
            <v>0</v>
          </cell>
          <cell r="I22">
            <v>9</v>
          </cell>
          <cell r="J22">
            <v>0</v>
          </cell>
          <cell r="K22">
            <v>22</v>
          </cell>
          <cell r="L22">
            <v>30</v>
          </cell>
        </row>
        <row r="23">
          <cell r="E23">
            <v>0</v>
          </cell>
          <cell r="F23">
            <v>1</v>
          </cell>
          <cell r="G23">
            <v>0</v>
          </cell>
          <cell r="H23">
            <v>0</v>
          </cell>
          <cell r="I23">
            <v>4</v>
          </cell>
          <cell r="J23">
            <v>1</v>
          </cell>
          <cell r="K23">
            <v>3</v>
          </cell>
          <cell r="L23">
            <v>1</v>
          </cell>
        </row>
        <row r="24">
          <cell r="E24">
            <v>0</v>
          </cell>
          <cell r="F24">
            <v>0</v>
          </cell>
          <cell r="G24">
            <v>0</v>
          </cell>
          <cell r="H24">
            <v>0</v>
          </cell>
          <cell r="I24">
            <v>0</v>
          </cell>
          <cell r="J24">
            <v>0</v>
          </cell>
          <cell r="K24">
            <v>0</v>
          </cell>
          <cell r="L24">
            <v>0</v>
          </cell>
        </row>
        <row r="25">
          <cell r="E25">
            <v>0</v>
          </cell>
          <cell r="F25">
            <v>0</v>
          </cell>
          <cell r="G25">
            <v>0</v>
          </cell>
          <cell r="H25">
            <v>0</v>
          </cell>
          <cell r="I25">
            <v>0</v>
          </cell>
          <cell r="J25">
            <v>0</v>
          </cell>
          <cell r="K25">
            <v>0</v>
          </cell>
          <cell r="L25">
            <v>0</v>
          </cell>
        </row>
        <row r="26">
          <cell r="E26">
            <v>0</v>
          </cell>
          <cell r="F26">
            <v>0</v>
          </cell>
          <cell r="G26">
            <v>0</v>
          </cell>
          <cell r="H26">
            <v>0</v>
          </cell>
          <cell r="I26">
            <v>0</v>
          </cell>
          <cell r="J26">
            <v>0</v>
          </cell>
          <cell r="K26">
            <v>0</v>
          </cell>
          <cell r="L26">
            <v>1</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sheetData sheetId="3"/>
      <sheetData sheetId="4"/>
      <sheetData sheetId="5"/>
      <sheetData sheetId="6"/>
      <sheetData sheetId="7"/>
      <sheetData sheetId="8"/>
      <sheetData sheetId="9">
        <row r="11">
          <cell r="D11">
            <v>833</v>
          </cell>
        </row>
        <row r="13">
          <cell r="D13">
            <v>462</v>
          </cell>
        </row>
        <row r="21">
          <cell r="E21">
            <v>111</v>
          </cell>
          <cell r="F21">
            <v>62</v>
          </cell>
          <cell r="G21">
            <v>141</v>
          </cell>
          <cell r="H21">
            <v>123</v>
          </cell>
          <cell r="I21">
            <v>106</v>
          </cell>
          <cell r="J21">
            <v>94</v>
          </cell>
          <cell r="K21">
            <v>342</v>
          </cell>
          <cell r="L21">
            <v>101</v>
          </cell>
        </row>
        <row r="22">
          <cell r="E22">
            <v>4</v>
          </cell>
          <cell r="F22">
            <v>2</v>
          </cell>
          <cell r="G22">
            <v>55</v>
          </cell>
          <cell r="H22">
            <v>58</v>
          </cell>
          <cell r="I22">
            <v>160</v>
          </cell>
          <cell r="J22">
            <v>655</v>
          </cell>
          <cell r="K22">
            <v>1108</v>
          </cell>
          <cell r="L22">
            <v>257</v>
          </cell>
        </row>
        <row r="23">
          <cell r="E23">
            <v>98</v>
          </cell>
          <cell r="F23">
            <v>59</v>
          </cell>
          <cell r="G23">
            <v>170</v>
          </cell>
          <cell r="H23">
            <v>106</v>
          </cell>
          <cell r="I23">
            <v>166</v>
          </cell>
          <cell r="J23">
            <v>138</v>
          </cell>
          <cell r="K23">
            <v>388</v>
          </cell>
          <cell r="L23">
            <v>47</v>
          </cell>
        </row>
        <row r="24">
          <cell r="E24">
            <v>0</v>
          </cell>
          <cell r="F24">
            <v>0</v>
          </cell>
          <cell r="G24">
            <v>2</v>
          </cell>
          <cell r="H24">
            <v>0</v>
          </cell>
          <cell r="I24">
            <v>0</v>
          </cell>
          <cell r="J24">
            <v>4</v>
          </cell>
          <cell r="K24">
            <v>1</v>
          </cell>
          <cell r="L24">
            <v>3</v>
          </cell>
        </row>
        <row r="25">
          <cell r="E25">
            <v>0</v>
          </cell>
          <cell r="F25">
            <v>0</v>
          </cell>
          <cell r="G25">
            <v>0</v>
          </cell>
          <cell r="H25">
            <v>1</v>
          </cell>
          <cell r="I25">
            <v>2</v>
          </cell>
          <cell r="J25">
            <v>10</v>
          </cell>
          <cell r="K25">
            <v>11</v>
          </cell>
          <cell r="L25">
            <v>17</v>
          </cell>
        </row>
        <row r="26">
          <cell r="E26">
            <v>0</v>
          </cell>
          <cell r="F26">
            <v>0</v>
          </cell>
          <cell r="G26">
            <v>0</v>
          </cell>
          <cell r="H26">
            <v>0</v>
          </cell>
          <cell r="I26">
            <v>2</v>
          </cell>
          <cell r="J26">
            <v>13</v>
          </cell>
          <cell r="K26">
            <v>34</v>
          </cell>
          <cell r="L26">
            <v>52</v>
          </cell>
        </row>
      </sheetData>
      <sheetData sheetId="10"/>
      <sheetData sheetId="11"/>
      <sheetData sheetId="12">
        <row r="10">
          <cell r="B10">
            <v>29</v>
          </cell>
          <cell r="E10">
            <v>17</v>
          </cell>
          <cell r="F10">
            <v>10</v>
          </cell>
        </row>
        <row r="22">
          <cell r="B22">
            <v>3390</v>
          </cell>
        </row>
        <row r="23">
          <cell r="B23">
            <v>5</v>
          </cell>
        </row>
        <row r="24">
          <cell r="B24">
            <v>21</v>
          </cell>
        </row>
        <row r="25">
          <cell r="B25">
            <v>6</v>
          </cell>
        </row>
        <row r="26">
          <cell r="B26">
            <v>0</v>
          </cell>
        </row>
      </sheetData>
      <sheetData sheetId="13"/>
      <sheetData sheetId="14"/>
      <sheetData sheetId="15"/>
      <sheetData sheetId="16"/>
      <sheetData sheetId="17"/>
      <sheetData sheetId="18"/>
      <sheetData sheetId="19"/>
      <sheetData sheetId="20"/>
      <sheetData sheetId="2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sheetData sheetId="3"/>
      <sheetData sheetId="4"/>
      <sheetData sheetId="5"/>
      <sheetData sheetId="6"/>
      <sheetData sheetId="7"/>
      <sheetData sheetId="8"/>
      <sheetData sheetId="9">
        <row r="11">
          <cell r="D11">
            <v>167</v>
          </cell>
        </row>
        <row r="13">
          <cell r="D13">
            <v>25</v>
          </cell>
        </row>
        <row r="21">
          <cell r="E21">
            <v>56</v>
          </cell>
          <cell r="F21">
            <v>59</v>
          </cell>
          <cell r="G21">
            <v>18</v>
          </cell>
          <cell r="H21">
            <v>22</v>
          </cell>
          <cell r="I21">
            <v>16</v>
          </cell>
          <cell r="J21">
            <v>19</v>
          </cell>
          <cell r="K21">
            <v>180</v>
          </cell>
          <cell r="L21">
            <v>21</v>
          </cell>
        </row>
        <row r="22">
          <cell r="E22">
            <v>6</v>
          </cell>
          <cell r="F22">
            <v>9</v>
          </cell>
          <cell r="G22">
            <v>8</v>
          </cell>
          <cell r="H22">
            <v>11</v>
          </cell>
          <cell r="I22">
            <v>12</v>
          </cell>
          <cell r="J22">
            <v>284</v>
          </cell>
          <cell r="K22">
            <v>805</v>
          </cell>
          <cell r="L22">
            <v>124</v>
          </cell>
        </row>
        <row r="23">
          <cell r="E23">
            <v>106</v>
          </cell>
          <cell r="F23">
            <v>107</v>
          </cell>
          <cell r="G23">
            <v>30</v>
          </cell>
          <cell r="H23">
            <v>26</v>
          </cell>
          <cell r="I23">
            <v>2</v>
          </cell>
          <cell r="J23">
            <v>76</v>
          </cell>
          <cell r="K23">
            <v>369</v>
          </cell>
          <cell r="L23">
            <v>17</v>
          </cell>
        </row>
        <row r="24">
          <cell r="E24">
            <v>0</v>
          </cell>
          <cell r="F24">
            <v>0</v>
          </cell>
          <cell r="G24">
            <v>0</v>
          </cell>
          <cell r="H24">
            <v>2</v>
          </cell>
          <cell r="I24">
            <v>1</v>
          </cell>
          <cell r="J24">
            <v>2</v>
          </cell>
          <cell r="K24">
            <v>27</v>
          </cell>
          <cell r="L24">
            <v>0</v>
          </cell>
        </row>
        <row r="25">
          <cell r="E25">
            <v>0</v>
          </cell>
          <cell r="F25">
            <v>0</v>
          </cell>
          <cell r="G25">
            <v>0</v>
          </cell>
          <cell r="H25">
            <v>0</v>
          </cell>
          <cell r="I25">
            <v>0</v>
          </cell>
          <cell r="J25">
            <v>0</v>
          </cell>
          <cell r="K25">
            <v>6</v>
          </cell>
          <cell r="L25">
            <v>2</v>
          </cell>
        </row>
        <row r="26">
          <cell r="E26">
            <v>0</v>
          </cell>
          <cell r="F26">
            <v>0</v>
          </cell>
          <cell r="G26">
            <v>0</v>
          </cell>
          <cell r="H26">
            <v>0</v>
          </cell>
          <cell r="I26">
            <v>2</v>
          </cell>
          <cell r="J26">
            <v>14</v>
          </cell>
          <cell r="K26">
            <v>64</v>
          </cell>
          <cell r="L26">
            <v>19</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sheetData sheetId="3"/>
      <sheetData sheetId="4"/>
      <sheetData sheetId="5"/>
      <sheetData sheetId="6"/>
      <sheetData sheetId="7"/>
      <sheetData sheetId="8"/>
      <sheetData sheetId="9">
        <row r="11">
          <cell r="D11">
            <v>4439</v>
          </cell>
        </row>
        <row r="13">
          <cell r="D13">
            <v>475</v>
          </cell>
        </row>
        <row r="21">
          <cell r="E21">
            <v>119</v>
          </cell>
          <cell r="F21">
            <v>57</v>
          </cell>
          <cell r="G21">
            <v>152</v>
          </cell>
          <cell r="H21">
            <v>90</v>
          </cell>
          <cell r="I21">
            <v>142</v>
          </cell>
          <cell r="J21">
            <v>115</v>
          </cell>
          <cell r="K21">
            <v>428</v>
          </cell>
          <cell r="L21">
            <v>99</v>
          </cell>
        </row>
        <row r="22">
          <cell r="E22">
            <v>4</v>
          </cell>
          <cell r="F22">
            <v>71</v>
          </cell>
          <cell r="G22">
            <v>595</v>
          </cell>
          <cell r="H22">
            <v>223</v>
          </cell>
          <cell r="I22">
            <v>518</v>
          </cell>
          <cell r="J22">
            <v>661</v>
          </cell>
          <cell r="K22">
            <v>1684</v>
          </cell>
          <cell r="L22">
            <v>331</v>
          </cell>
        </row>
        <row r="23">
          <cell r="E23">
            <v>37</v>
          </cell>
          <cell r="F23">
            <v>50</v>
          </cell>
          <cell r="G23">
            <v>128</v>
          </cell>
          <cell r="H23">
            <v>113</v>
          </cell>
          <cell r="I23">
            <v>121</v>
          </cell>
          <cell r="J23">
            <v>90</v>
          </cell>
          <cell r="K23">
            <v>374</v>
          </cell>
          <cell r="L23">
            <v>60</v>
          </cell>
        </row>
        <row r="24">
          <cell r="E24">
            <v>1</v>
          </cell>
          <cell r="F24">
            <v>12</v>
          </cell>
          <cell r="G24">
            <v>71</v>
          </cell>
          <cell r="H24">
            <v>44</v>
          </cell>
          <cell r="I24">
            <v>84</v>
          </cell>
          <cell r="J24">
            <v>71</v>
          </cell>
          <cell r="K24">
            <v>274</v>
          </cell>
          <cell r="L24">
            <v>21</v>
          </cell>
        </row>
        <row r="25">
          <cell r="E25">
            <v>0</v>
          </cell>
          <cell r="F25">
            <v>0</v>
          </cell>
          <cell r="G25">
            <v>1</v>
          </cell>
          <cell r="H25">
            <v>3</v>
          </cell>
          <cell r="I25">
            <v>0</v>
          </cell>
          <cell r="J25">
            <v>0</v>
          </cell>
          <cell r="K25">
            <v>1</v>
          </cell>
          <cell r="L25">
            <v>0</v>
          </cell>
        </row>
        <row r="26">
          <cell r="E26">
            <v>0</v>
          </cell>
          <cell r="F26">
            <v>0</v>
          </cell>
          <cell r="G26">
            <v>1</v>
          </cell>
          <cell r="H26">
            <v>1</v>
          </cell>
          <cell r="I26">
            <v>7</v>
          </cell>
          <cell r="J26">
            <v>60</v>
          </cell>
          <cell r="K26">
            <v>142</v>
          </cell>
          <cell r="L26">
            <v>121</v>
          </cell>
        </row>
      </sheetData>
      <sheetData sheetId="10"/>
      <sheetData sheetId="11"/>
      <sheetData sheetId="12">
        <row r="10">
          <cell r="B10">
            <v>17</v>
          </cell>
          <cell r="E10">
            <v>14</v>
          </cell>
          <cell r="F10">
            <v>3</v>
          </cell>
        </row>
        <row r="22">
          <cell r="B22">
            <v>2532</v>
          </cell>
        </row>
        <row r="23">
          <cell r="B23">
            <v>1</v>
          </cell>
        </row>
        <row r="24">
          <cell r="B24">
            <v>7</v>
          </cell>
        </row>
        <row r="25">
          <cell r="B25">
            <v>0</v>
          </cell>
        </row>
        <row r="26">
          <cell r="B26">
            <v>0</v>
          </cell>
        </row>
      </sheetData>
      <sheetData sheetId="13"/>
      <sheetData sheetId="14"/>
      <sheetData sheetId="15"/>
      <sheetData sheetId="16"/>
      <sheetData sheetId="17"/>
      <sheetData sheetId="18"/>
      <sheetData sheetId="19"/>
      <sheetData sheetId="20"/>
      <sheetData sheetId="2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sheetData sheetId="3"/>
      <sheetData sheetId="4"/>
      <sheetData sheetId="5"/>
      <sheetData sheetId="6"/>
      <sheetData sheetId="7"/>
      <sheetData sheetId="8"/>
      <sheetData sheetId="9">
        <row r="11">
          <cell r="D11">
            <v>4906</v>
          </cell>
        </row>
        <row r="13">
          <cell r="D13">
            <v>83</v>
          </cell>
        </row>
        <row r="21">
          <cell r="E21">
            <v>402</v>
          </cell>
          <cell r="F21">
            <v>277</v>
          </cell>
          <cell r="G21">
            <v>378</v>
          </cell>
          <cell r="H21">
            <v>287</v>
          </cell>
          <cell r="I21">
            <v>426</v>
          </cell>
          <cell r="J21">
            <v>286</v>
          </cell>
          <cell r="K21">
            <v>1974</v>
          </cell>
          <cell r="L21">
            <v>489</v>
          </cell>
        </row>
        <row r="22">
          <cell r="E22">
            <v>0</v>
          </cell>
          <cell r="F22">
            <v>26</v>
          </cell>
          <cell r="G22">
            <v>60</v>
          </cell>
          <cell r="H22">
            <v>63</v>
          </cell>
          <cell r="I22">
            <v>330</v>
          </cell>
          <cell r="J22">
            <v>383</v>
          </cell>
          <cell r="K22">
            <v>2043</v>
          </cell>
          <cell r="L22">
            <v>755</v>
          </cell>
        </row>
        <row r="23">
          <cell r="E23">
            <v>5</v>
          </cell>
          <cell r="F23">
            <v>6</v>
          </cell>
          <cell r="G23">
            <v>10</v>
          </cell>
          <cell r="H23">
            <v>1</v>
          </cell>
          <cell r="I23">
            <v>5</v>
          </cell>
          <cell r="J23">
            <v>7</v>
          </cell>
          <cell r="K23">
            <v>32</v>
          </cell>
          <cell r="L23">
            <v>44</v>
          </cell>
        </row>
        <row r="24">
          <cell r="E24">
            <v>84</v>
          </cell>
          <cell r="F24">
            <v>73</v>
          </cell>
          <cell r="G24">
            <v>99</v>
          </cell>
          <cell r="H24">
            <v>49</v>
          </cell>
          <cell r="I24">
            <v>133</v>
          </cell>
          <cell r="J24">
            <v>140</v>
          </cell>
          <cell r="K24">
            <v>774</v>
          </cell>
          <cell r="L24">
            <v>212</v>
          </cell>
        </row>
        <row r="25">
          <cell r="E25">
            <v>0</v>
          </cell>
          <cell r="F25">
            <v>0</v>
          </cell>
          <cell r="G25">
            <v>0</v>
          </cell>
          <cell r="H25">
            <v>0</v>
          </cell>
          <cell r="I25">
            <v>0</v>
          </cell>
          <cell r="J25">
            <v>0</v>
          </cell>
          <cell r="K25">
            <v>0</v>
          </cell>
          <cell r="L25">
            <v>0</v>
          </cell>
        </row>
        <row r="26">
          <cell r="E26">
            <v>0</v>
          </cell>
          <cell r="F26">
            <v>0</v>
          </cell>
          <cell r="G26">
            <v>0</v>
          </cell>
          <cell r="H26">
            <v>0</v>
          </cell>
          <cell r="I26">
            <v>0</v>
          </cell>
          <cell r="J26">
            <v>3</v>
          </cell>
          <cell r="K26">
            <v>32</v>
          </cell>
          <cell r="L26">
            <v>25</v>
          </cell>
        </row>
      </sheetData>
      <sheetData sheetId="10"/>
      <sheetData sheetId="11"/>
      <sheetData sheetId="12">
        <row r="10">
          <cell r="B10">
            <v>65</v>
          </cell>
          <cell r="E10">
            <v>45</v>
          </cell>
          <cell r="F10">
            <v>20</v>
          </cell>
        </row>
        <row r="22">
          <cell r="B22">
            <v>9400</v>
          </cell>
        </row>
        <row r="23">
          <cell r="B23">
            <v>8</v>
          </cell>
        </row>
        <row r="24">
          <cell r="B24">
            <v>63</v>
          </cell>
        </row>
        <row r="25">
          <cell r="B25">
            <v>1601</v>
          </cell>
        </row>
        <row r="26">
          <cell r="B26">
            <v>0</v>
          </cell>
        </row>
      </sheetData>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2005"/>
      <sheetName val="2006"/>
      <sheetName val="2007"/>
      <sheetName val="2008"/>
      <sheetName val="2009"/>
      <sheetName val="2010"/>
      <sheetName val="2011"/>
      <sheetName val="2012"/>
      <sheetName val="2013"/>
      <sheetName val="2014"/>
      <sheetName val="2015"/>
      <sheetName val="2016"/>
      <sheetName val="2017"/>
      <sheetName val="2018"/>
      <sheetName val="2019"/>
      <sheetName val="2020"/>
    </sheetNames>
    <sheetDataSet>
      <sheetData sheetId="0"/>
      <sheetData sheetId="1"/>
      <sheetData sheetId="2"/>
      <sheetData sheetId="3">
        <row r="244">
          <cell r="D244">
            <v>18989</v>
          </cell>
        </row>
      </sheetData>
      <sheetData sheetId="4">
        <row r="244">
          <cell r="D244">
            <v>19073</v>
          </cell>
        </row>
      </sheetData>
      <sheetData sheetId="5">
        <row r="244">
          <cell r="D244">
            <v>19155</v>
          </cell>
          <cell r="E244">
            <v>19778</v>
          </cell>
          <cell r="F244">
            <v>21692</v>
          </cell>
          <cell r="Q244">
            <v>8495</v>
          </cell>
          <cell r="R244">
            <v>6153</v>
          </cell>
          <cell r="S244">
            <v>4714</v>
          </cell>
          <cell r="T244">
            <v>4981</v>
          </cell>
        </row>
        <row r="247">
          <cell r="D247">
            <v>5771</v>
          </cell>
          <cell r="E247">
            <v>5961</v>
          </cell>
          <cell r="F247">
            <v>6426</v>
          </cell>
          <cell r="Q247">
            <v>2417</v>
          </cell>
          <cell r="R247">
            <v>1761</v>
          </cell>
          <cell r="S247">
            <v>1360</v>
          </cell>
          <cell r="T247">
            <v>1528</v>
          </cell>
        </row>
        <row r="250">
          <cell r="D250">
            <v>5215</v>
          </cell>
          <cell r="E250">
            <v>5478</v>
          </cell>
          <cell r="F250">
            <v>6303</v>
          </cell>
          <cell r="Q250">
            <v>2328</v>
          </cell>
          <cell r="R250">
            <v>1540</v>
          </cell>
          <cell r="S250">
            <v>1165</v>
          </cell>
          <cell r="T250">
            <v>1248</v>
          </cell>
        </row>
        <row r="253">
          <cell r="D253">
            <v>757</v>
          </cell>
          <cell r="E253">
            <v>800</v>
          </cell>
          <cell r="F253">
            <v>915</v>
          </cell>
          <cell r="Q253">
            <v>379</v>
          </cell>
          <cell r="R253">
            <v>290</v>
          </cell>
          <cell r="S253">
            <v>211</v>
          </cell>
          <cell r="T253">
            <v>216</v>
          </cell>
        </row>
        <row r="256">
          <cell r="D256">
            <v>556</v>
          </cell>
          <cell r="E256">
            <v>545</v>
          </cell>
          <cell r="F256">
            <v>588</v>
          </cell>
          <cell r="Q256">
            <v>268</v>
          </cell>
          <cell r="R256">
            <v>211</v>
          </cell>
          <cell r="S256">
            <v>167</v>
          </cell>
          <cell r="T256">
            <v>154</v>
          </cell>
        </row>
        <row r="259">
          <cell r="D259">
            <v>1209</v>
          </cell>
          <cell r="E259">
            <v>1227</v>
          </cell>
          <cell r="F259">
            <v>1309</v>
          </cell>
          <cell r="Q259">
            <v>550</v>
          </cell>
          <cell r="R259">
            <v>399</v>
          </cell>
          <cell r="S259">
            <v>301</v>
          </cell>
          <cell r="T259">
            <v>288</v>
          </cell>
        </row>
        <row r="262">
          <cell r="D262">
            <v>996</v>
          </cell>
          <cell r="E262">
            <v>1017</v>
          </cell>
          <cell r="F262">
            <v>1070</v>
          </cell>
          <cell r="Q262">
            <v>463</v>
          </cell>
          <cell r="R262">
            <v>373</v>
          </cell>
          <cell r="S262">
            <v>259</v>
          </cell>
          <cell r="T262">
            <v>254</v>
          </cell>
        </row>
        <row r="265">
          <cell r="D265">
            <v>1756</v>
          </cell>
          <cell r="E265">
            <v>1771</v>
          </cell>
          <cell r="F265">
            <v>1874</v>
          </cell>
          <cell r="Q265">
            <v>752</v>
          </cell>
          <cell r="R265">
            <v>550</v>
          </cell>
          <cell r="S265">
            <v>438</v>
          </cell>
          <cell r="T265">
            <v>452</v>
          </cell>
        </row>
        <row r="268">
          <cell r="D268">
            <v>582</v>
          </cell>
          <cell r="E268">
            <v>579</v>
          </cell>
          <cell r="F268">
            <v>608</v>
          </cell>
          <cell r="Q268">
            <v>228</v>
          </cell>
          <cell r="R268">
            <v>167</v>
          </cell>
          <cell r="S268">
            <v>122</v>
          </cell>
          <cell r="T268">
            <v>134</v>
          </cell>
        </row>
        <row r="271">
          <cell r="D271">
            <v>1232</v>
          </cell>
          <cell r="E271">
            <v>1260</v>
          </cell>
          <cell r="F271">
            <v>1369</v>
          </cell>
          <cell r="Q271">
            <v>608</v>
          </cell>
          <cell r="R271">
            <v>496</v>
          </cell>
          <cell r="S271">
            <v>413</v>
          </cell>
          <cell r="T271">
            <v>425</v>
          </cell>
        </row>
        <row r="274">
          <cell r="D274">
            <v>1081</v>
          </cell>
          <cell r="E274">
            <v>1140</v>
          </cell>
          <cell r="F274">
            <v>1230</v>
          </cell>
          <cell r="Q274">
            <v>502</v>
          </cell>
          <cell r="R274">
            <v>366</v>
          </cell>
          <cell r="S274">
            <v>278</v>
          </cell>
          <cell r="T274">
            <v>282</v>
          </cell>
        </row>
      </sheetData>
      <sheetData sheetId="6">
        <row r="244">
          <cell r="D244">
            <v>19241</v>
          </cell>
          <cell r="E244">
            <v>19503</v>
          </cell>
          <cell r="F244">
            <v>21391</v>
          </cell>
          <cell r="Q244">
            <v>8943</v>
          </cell>
          <cell r="R244">
            <v>6299</v>
          </cell>
          <cell r="S244">
            <v>4852</v>
          </cell>
          <cell r="T244">
            <v>5207</v>
          </cell>
        </row>
        <row r="247">
          <cell r="D247">
            <v>5810</v>
          </cell>
          <cell r="E247">
            <v>5884</v>
          </cell>
          <cell r="F247">
            <v>6378</v>
          </cell>
          <cell r="Q247">
            <v>2547</v>
          </cell>
          <cell r="R247">
            <v>1807</v>
          </cell>
          <cell r="S247">
            <v>1387</v>
          </cell>
          <cell r="T247">
            <v>1599</v>
          </cell>
        </row>
        <row r="250">
          <cell r="D250">
            <v>5249</v>
          </cell>
          <cell r="E250">
            <v>5403</v>
          </cell>
          <cell r="F250">
            <v>6268</v>
          </cell>
          <cell r="Q250">
            <v>2493</v>
          </cell>
          <cell r="R250">
            <v>1585</v>
          </cell>
          <cell r="S250">
            <v>1204</v>
          </cell>
          <cell r="T250">
            <v>1303</v>
          </cell>
        </row>
        <row r="253">
          <cell r="D253">
            <v>749</v>
          </cell>
          <cell r="E253">
            <v>779</v>
          </cell>
          <cell r="F253">
            <v>891</v>
          </cell>
          <cell r="Q253">
            <v>392</v>
          </cell>
          <cell r="R253">
            <v>296</v>
          </cell>
          <cell r="S253">
            <v>221</v>
          </cell>
          <cell r="T253">
            <v>222</v>
          </cell>
        </row>
        <row r="256">
          <cell r="D256">
            <v>561</v>
          </cell>
          <cell r="E256">
            <v>543</v>
          </cell>
          <cell r="F256">
            <v>570</v>
          </cell>
          <cell r="Q256">
            <v>279</v>
          </cell>
          <cell r="R256">
            <v>218</v>
          </cell>
          <cell r="S256">
            <v>173</v>
          </cell>
          <cell r="T256">
            <v>164</v>
          </cell>
        </row>
        <row r="259">
          <cell r="D259">
            <v>1216</v>
          </cell>
          <cell r="E259">
            <v>1209</v>
          </cell>
          <cell r="F259">
            <v>1275</v>
          </cell>
          <cell r="Q259">
            <v>578</v>
          </cell>
          <cell r="R259">
            <v>406</v>
          </cell>
          <cell r="S259">
            <v>312</v>
          </cell>
          <cell r="T259">
            <v>302</v>
          </cell>
        </row>
        <row r="262">
          <cell r="D262">
            <v>992</v>
          </cell>
          <cell r="E262">
            <v>1002</v>
          </cell>
          <cell r="F262">
            <v>1049</v>
          </cell>
          <cell r="Q262">
            <v>477</v>
          </cell>
          <cell r="R262">
            <v>389</v>
          </cell>
          <cell r="S262">
            <v>270</v>
          </cell>
          <cell r="T262">
            <v>265</v>
          </cell>
        </row>
        <row r="265">
          <cell r="D265">
            <v>1755</v>
          </cell>
          <cell r="E265">
            <v>1742</v>
          </cell>
          <cell r="F265">
            <v>1814</v>
          </cell>
          <cell r="Q265">
            <v>784</v>
          </cell>
          <cell r="R265">
            <v>555</v>
          </cell>
          <cell r="S265">
            <v>449</v>
          </cell>
          <cell r="T265">
            <v>472</v>
          </cell>
        </row>
        <row r="268">
          <cell r="D268">
            <v>585</v>
          </cell>
          <cell r="E268">
            <v>574</v>
          </cell>
          <cell r="F268">
            <v>586</v>
          </cell>
          <cell r="Q268">
            <v>239</v>
          </cell>
          <cell r="R268">
            <v>173</v>
          </cell>
          <cell r="S268">
            <v>123</v>
          </cell>
          <cell r="T268">
            <v>141</v>
          </cell>
        </row>
        <row r="271">
          <cell r="D271">
            <v>1242</v>
          </cell>
          <cell r="E271">
            <v>1249</v>
          </cell>
          <cell r="F271">
            <v>1339</v>
          </cell>
          <cell r="Q271">
            <v>628</v>
          </cell>
          <cell r="R271">
            <v>498</v>
          </cell>
          <cell r="S271">
            <v>426</v>
          </cell>
          <cell r="T271">
            <v>445</v>
          </cell>
        </row>
        <row r="274">
          <cell r="D274">
            <v>1082</v>
          </cell>
          <cell r="E274">
            <v>1118</v>
          </cell>
          <cell r="F274">
            <v>1221</v>
          </cell>
          <cell r="Q274">
            <v>526</v>
          </cell>
          <cell r="R274">
            <v>372</v>
          </cell>
          <cell r="S274">
            <v>287</v>
          </cell>
          <cell r="T274">
            <v>294</v>
          </cell>
        </row>
      </sheetData>
      <sheetData sheetId="7">
        <row r="244">
          <cell r="D244">
            <v>19329</v>
          </cell>
          <cell r="E244">
            <v>19567</v>
          </cell>
          <cell r="F244">
            <v>21095</v>
          </cell>
          <cell r="Q244">
            <v>9281</v>
          </cell>
          <cell r="R244">
            <v>6716</v>
          </cell>
          <cell r="S244">
            <v>4990</v>
          </cell>
          <cell r="T244">
            <v>5448</v>
          </cell>
        </row>
        <row r="247">
          <cell r="D247">
            <v>5856</v>
          </cell>
          <cell r="E247">
            <v>5917</v>
          </cell>
          <cell r="F247">
            <v>6293</v>
          </cell>
          <cell r="Q247">
            <v>2664</v>
          </cell>
          <cell r="R247">
            <v>1929</v>
          </cell>
          <cell r="S247">
            <v>1431</v>
          </cell>
          <cell r="T247">
            <v>1665</v>
          </cell>
        </row>
        <row r="250">
          <cell r="D250">
            <v>5291</v>
          </cell>
          <cell r="E250">
            <v>5433</v>
          </cell>
          <cell r="F250">
            <v>6182</v>
          </cell>
          <cell r="Q250">
            <v>2599</v>
          </cell>
          <cell r="R250">
            <v>1740</v>
          </cell>
          <cell r="S250">
            <v>1245</v>
          </cell>
          <cell r="T250">
            <v>1367</v>
          </cell>
        </row>
        <row r="253">
          <cell r="D253">
            <v>744</v>
          </cell>
          <cell r="E253">
            <v>774</v>
          </cell>
          <cell r="F253">
            <v>870</v>
          </cell>
          <cell r="Q253">
            <v>403</v>
          </cell>
          <cell r="R253">
            <v>308</v>
          </cell>
          <cell r="S253">
            <v>226</v>
          </cell>
          <cell r="T253">
            <v>233</v>
          </cell>
        </row>
        <row r="256">
          <cell r="D256">
            <v>562</v>
          </cell>
          <cell r="E256">
            <v>544</v>
          </cell>
          <cell r="F256">
            <v>566</v>
          </cell>
          <cell r="Q256">
            <v>289</v>
          </cell>
          <cell r="R256">
            <v>225</v>
          </cell>
          <cell r="S256">
            <v>177</v>
          </cell>
          <cell r="T256">
            <v>175</v>
          </cell>
        </row>
        <row r="259">
          <cell r="D259">
            <v>1219</v>
          </cell>
          <cell r="E259">
            <v>1213</v>
          </cell>
          <cell r="F259">
            <v>1259</v>
          </cell>
          <cell r="Q259">
            <v>603</v>
          </cell>
          <cell r="R259">
            <v>434</v>
          </cell>
          <cell r="S259">
            <v>322</v>
          </cell>
          <cell r="T259">
            <v>319</v>
          </cell>
        </row>
        <row r="262">
          <cell r="D262">
            <v>985</v>
          </cell>
          <cell r="E262">
            <v>996</v>
          </cell>
          <cell r="F262">
            <v>1034</v>
          </cell>
          <cell r="Q262">
            <v>496</v>
          </cell>
          <cell r="R262">
            <v>399</v>
          </cell>
          <cell r="S262">
            <v>283</v>
          </cell>
          <cell r="T262">
            <v>279</v>
          </cell>
        </row>
        <row r="265">
          <cell r="D265">
            <v>1749</v>
          </cell>
          <cell r="E265">
            <v>1739</v>
          </cell>
          <cell r="F265">
            <v>1786</v>
          </cell>
          <cell r="Q265">
            <v>804</v>
          </cell>
          <cell r="R265">
            <v>586</v>
          </cell>
          <cell r="S265">
            <v>454</v>
          </cell>
          <cell r="T265">
            <v>490</v>
          </cell>
        </row>
        <row r="268">
          <cell r="D268">
            <v>586</v>
          </cell>
          <cell r="E268">
            <v>575</v>
          </cell>
          <cell r="F268">
            <v>581</v>
          </cell>
          <cell r="Q268">
            <v>251</v>
          </cell>
          <cell r="R268">
            <v>184</v>
          </cell>
          <cell r="S268">
            <v>130</v>
          </cell>
          <cell r="T268">
            <v>146</v>
          </cell>
        </row>
        <row r="271">
          <cell r="D271">
            <v>1254</v>
          </cell>
          <cell r="E271">
            <v>1257</v>
          </cell>
          <cell r="F271">
            <v>1324</v>
          </cell>
          <cell r="Q271">
            <v>644</v>
          </cell>
          <cell r="R271">
            <v>515</v>
          </cell>
          <cell r="S271">
            <v>427</v>
          </cell>
          <cell r="T271">
            <v>466</v>
          </cell>
        </row>
        <row r="274">
          <cell r="D274">
            <v>1083</v>
          </cell>
          <cell r="E274">
            <v>1119</v>
          </cell>
          <cell r="F274">
            <v>1200</v>
          </cell>
          <cell r="Q274">
            <v>528</v>
          </cell>
          <cell r="R274">
            <v>396</v>
          </cell>
          <cell r="S274">
            <v>295</v>
          </cell>
          <cell r="T274">
            <v>308</v>
          </cell>
        </row>
      </sheetData>
      <sheetData sheetId="8">
        <row r="244">
          <cell r="D244">
            <v>19408</v>
          </cell>
          <cell r="E244">
            <v>19641</v>
          </cell>
          <cell r="F244">
            <v>20791</v>
          </cell>
          <cell r="Q244">
            <v>9624</v>
          </cell>
          <cell r="R244">
            <v>7128</v>
          </cell>
          <cell r="S244">
            <v>5123</v>
          </cell>
          <cell r="T244">
            <v>5692</v>
          </cell>
        </row>
        <row r="247">
          <cell r="D247">
            <v>5902</v>
          </cell>
          <cell r="E247">
            <v>5954</v>
          </cell>
          <cell r="F247">
            <v>6211</v>
          </cell>
          <cell r="Q247">
            <v>2782</v>
          </cell>
          <cell r="R247">
            <v>2049</v>
          </cell>
          <cell r="S247">
            <v>1475</v>
          </cell>
          <cell r="T247">
            <v>1733</v>
          </cell>
        </row>
        <row r="250">
          <cell r="D250">
            <v>5329</v>
          </cell>
          <cell r="E250">
            <v>5465</v>
          </cell>
          <cell r="F250">
            <v>6099</v>
          </cell>
          <cell r="Q250">
            <v>2707</v>
          </cell>
          <cell r="R250">
            <v>1896</v>
          </cell>
          <cell r="S250">
            <v>1287</v>
          </cell>
          <cell r="T250">
            <v>1430</v>
          </cell>
        </row>
        <row r="253">
          <cell r="D253">
            <v>738</v>
          </cell>
          <cell r="E253">
            <v>766</v>
          </cell>
          <cell r="F253">
            <v>849</v>
          </cell>
          <cell r="Q253">
            <v>413</v>
          </cell>
          <cell r="R253">
            <v>320</v>
          </cell>
          <cell r="S253">
            <v>233</v>
          </cell>
          <cell r="T253">
            <v>243</v>
          </cell>
        </row>
        <row r="256">
          <cell r="D256">
            <v>564</v>
          </cell>
          <cell r="E256">
            <v>547</v>
          </cell>
          <cell r="F256">
            <v>561</v>
          </cell>
          <cell r="Q256">
            <v>298</v>
          </cell>
          <cell r="R256">
            <v>236</v>
          </cell>
          <cell r="S256">
            <v>182</v>
          </cell>
          <cell r="T256">
            <v>186</v>
          </cell>
        </row>
        <row r="259">
          <cell r="D259">
            <v>1222</v>
          </cell>
          <cell r="E259">
            <v>1218</v>
          </cell>
          <cell r="F259">
            <v>1241</v>
          </cell>
          <cell r="Q259">
            <v>630</v>
          </cell>
          <cell r="R259">
            <v>459</v>
          </cell>
          <cell r="S259">
            <v>328</v>
          </cell>
          <cell r="T259">
            <v>336</v>
          </cell>
        </row>
        <row r="262">
          <cell r="D262">
            <v>975</v>
          </cell>
          <cell r="E262">
            <v>990</v>
          </cell>
          <cell r="F262">
            <v>1016</v>
          </cell>
          <cell r="Q262">
            <v>513</v>
          </cell>
          <cell r="R262">
            <v>409</v>
          </cell>
          <cell r="S262">
            <v>296</v>
          </cell>
          <cell r="T262">
            <v>294</v>
          </cell>
        </row>
        <row r="265">
          <cell r="D265">
            <v>1740</v>
          </cell>
          <cell r="E265">
            <v>1738</v>
          </cell>
          <cell r="F265">
            <v>1754</v>
          </cell>
          <cell r="Q265">
            <v>826</v>
          </cell>
          <cell r="R265">
            <v>615</v>
          </cell>
          <cell r="S265">
            <v>457</v>
          </cell>
          <cell r="T265">
            <v>509</v>
          </cell>
        </row>
        <row r="268">
          <cell r="D268">
            <v>588</v>
          </cell>
          <cell r="E268">
            <v>579</v>
          </cell>
          <cell r="F268">
            <v>573</v>
          </cell>
          <cell r="Q268">
            <v>266</v>
          </cell>
          <cell r="R268">
            <v>194</v>
          </cell>
          <cell r="S268">
            <v>133</v>
          </cell>
          <cell r="T268">
            <v>152</v>
          </cell>
        </row>
        <row r="271">
          <cell r="D271">
            <v>1265</v>
          </cell>
          <cell r="E271">
            <v>1266</v>
          </cell>
          <cell r="F271">
            <v>1308</v>
          </cell>
          <cell r="Q271">
            <v>661</v>
          </cell>
          <cell r="R271">
            <v>532</v>
          </cell>
          <cell r="S271">
            <v>430</v>
          </cell>
          <cell r="T271">
            <v>486</v>
          </cell>
        </row>
        <row r="274">
          <cell r="D274">
            <v>1085</v>
          </cell>
          <cell r="E274">
            <v>1118</v>
          </cell>
          <cell r="F274">
            <v>1179</v>
          </cell>
          <cell r="Q274">
            <v>528</v>
          </cell>
          <cell r="R274">
            <v>418</v>
          </cell>
          <cell r="S274">
            <v>302</v>
          </cell>
          <cell r="T274">
            <v>323</v>
          </cell>
        </row>
      </sheetData>
      <sheetData sheetId="9">
        <row r="244">
          <cell r="D244">
            <v>19502</v>
          </cell>
          <cell r="E244">
            <v>19700</v>
          </cell>
          <cell r="F244">
            <v>20500</v>
          </cell>
          <cell r="Q244">
            <v>9970</v>
          </cell>
          <cell r="R244">
            <v>7545</v>
          </cell>
          <cell r="S244">
            <v>5256</v>
          </cell>
          <cell r="T244">
            <v>5937</v>
          </cell>
        </row>
        <row r="247">
          <cell r="D247">
            <v>5950</v>
          </cell>
          <cell r="E247">
            <v>5987</v>
          </cell>
          <cell r="F247">
            <v>6130</v>
          </cell>
          <cell r="Q247">
            <v>2903</v>
          </cell>
          <cell r="R247">
            <v>2170</v>
          </cell>
          <cell r="S247">
            <v>1520</v>
          </cell>
          <cell r="T247">
            <v>1799</v>
          </cell>
        </row>
        <row r="250">
          <cell r="D250">
            <v>5373</v>
          </cell>
          <cell r="E250">
            <v>5494</v>
          </cell>
          <cell r="F250">
            <v>6015</v>
          </cell>
          <cell r="Q250">
            <v>2815</v>
          </cell>
          <cell r="R250">
            <v>2052</v>
          </cell>
          <cell r="S250">
            <v>1326</v>
          </cell>
          <cell r="T250">
            <v>1495</v>
          </cell>
        </row>
        <row r="253">
          <cell r="D253">
            <v>734</v>
          </cell>
          <cell r="E253">
            <v>758</v>
          </cell>
          <cell r="F253">
            <v>829</v>
          </cell>
          <cell r="Q253">
            <v>423</v>
          </cell>
          <cell r="R253">
            <v>332</v>
          </cell>
          <cell r="S253">
            <v>239</v>
          </cell>
          <cell r="T253">
            <v>253</v>
          </cell>
        </row>
        <row r="256">
          <cell r="D256">
            <v>565</v>
          </cell>
          <cell r="E256">
            <v>549</v>
          </cell>
          <cell r="F256">
            <v>556</v>
          </cell>
          <cell r="Q256">
            <v>310</v>
          </cell>
          <cell r="R256">
            <v>247</v>
          </cell>
          <cell r="S256">
            <v>187</v>
          </cell>
          <cell r="T256">
            <v>197</v>
          </cell>
        </row>
        <row r="259">
          <cell r="D259">
            <v>1225</v>
          </cell>
          <cell r="E259">
            <v>1221</v>
          </cell>
          <cell r="F259">
            <v>1225</v>
          </cell>
          <cell r="Q259">
            <v>657</v>
          </cell>
          <cell r="R259">
            <v>484</v>
          </cell>
          <cell r="S259">
            <v>336</v>
          </cell>
          <cell r="T259">
            <v>354</v>
          </cell>
        </row>
        <row r="262">
          <cell r="D262">
            <v>971</v>
          </cell>
          <cell r="E262">
            <v>984</v>
          </cell>
          <cell r="F262">
            <v>999</v>
          </cell>
          <cell r="Q262">
            <v>531</v>
          </cell>
          <cell r="R262">
            <v>421</v>
          </cell>
          <cell r="S262">
            <v>310</v>
          </cell>
          <cell r="T262">
            <v>308</v>
          </cell>
        </row>
        <row r="265">
          <cell r="D265">
            <v>1735</v>
          </cell>
          <cell r="E265">
            <v>1734</v>
          </cell>
          <cell r="F265">
            <v>1727</v>
          </cell>
          <cell r="Q265">
            <v>846</v>
          </cell>
          <cell r="R265">
            <v>648</v>
          </cell>
          <cell r="S265">
            <v>459</v>
          </cell>
          <cell r="T265">
            <v>528</v>
          </cell>
        </row>
        <row r="268">
          <cell r="D268">
            <v>590</v>
          </cell>
          <cell r="E268">
            <v>581</v>
          </cell>
          <cell r="F268">
            <v>567</v>
          </cell>
          <cell r="Q268">
            <v>276</v>
          </cell>
          <cell r="R268">
            <v>204</v>
          </cell>
          <cell r="S268">
            <v>141</v>
          </cell>
          <cell r="T268">
            <v>157</v>
          </cell>
        </row>
        <row r="271">
          <cell r="D271">
            <v>1273</v>
          </cell>
          <cell r="E271">
            <v>1276</v>
          </cell>
          <cell r="F271">
            <v>1293</v>
          </cell>
          <cell r="Q271">
            <v>678</v>
          </cell>
          <cell r="R271">
            <v>548</v>
          </cell>
          <cell r="S271">
            <v>430</v>
          </cell>
          <cell r="T271">
            <v>508</v>
          </cell>
        </row>
        <row r="274">
          <cell r="D274">
            <v>1086</v>
          </cell>
          <cell r="E274">
            <v>1116</v>
          </cell>
          <cell r="F274">
            <v>1159</v>
          </cell>
          <cell r="Q274">
            <v>531</v>
          </cell>
          <cell r="R274">
            <v>439</v>
          </cell>
          <cell r="S274">
            <v>308</v>
          </cell>
          <cell r="T274">
            <v>338</v>
          </cell>
        </row>
      </sheetData>
      <sheetData sheetId="10">
        <row r="244">
          <cell r="D244">
            <v>19580</v>
          </cell>
          <cell r="E244">
            <v>19773</v>
          </cell>
          <cell r="F244">
            <v>20198</v>
          </cell>
          <cell r="Q244">
            <v>10302</v>
          </cell>
          <cell r="R244">
            <v>7965</v>
          </cell>
          <cell r="S244">
            <v>5396</v>
          </cell>
          <cell r="T244">
            <v>6181</v>
          </cell>
        </row>
        <row r="247">
          <cell r="D247">
            <v>5997</v>
          </cell>
          <cell r="E247">
            <v>6021</v>
          </cell>
          <cell r="F247">
            <v>6045</v>
          </cell>
          <cell r="Q247">
            <v>3018</v>
          </cell>
          <cell r="R247">
            <v>2290</v>
          </cell>
          <cell r="S247">
            <v>1565</v>
          </cell>
          <cell r="T247">
            <v>1865</v>
          </cell>
        </row>
        <row r="250">
          <cell r="D250">
            <v>5413</v>
          </cell>
          <cell r="E250">
            <v>5525</v>
          </cell>
          <cell r="F250">
            <v>5929</v>
          </cell>
          <cell r="Q250">
            <v>2922</v>
          </cell>
          <cell r="R250">
            <v>2206</v>
          </cell>
          <cell r="S250">
            <v>1368</v>
          </cell>
          <cell r="T250">
            <v>1559</v>
          </cell>
        </row>
        <row r="253">
          <cell r="D253">
            <v>727</v>
          </cell>
          <cell r="E253">
            <v>753</v>
          </cell>
          <cell r="F253">
            <v>805</v>
          </cell>
          <cell r="Q253">
            <v>430</v>
          </cell>
          <cell r="R253">
            <v>344</v>
          </cell>
          <cell r="S253">
            <v>246</v>
          </cell>
          <cell r="T253">
            <v>264</v>
          </cell>
        </row>
        <row r="256">
          <cell r="D256">
            <v>565</v>
          </cell>
          <cell r="E256">
            <v>552</v>
          </cell>
          <cell r="F256">
            <v>551</v>
          </cell>
          <cell r="Q256">
            <v>319</v>
          </cell>
          <cell r="R256">
            <v>257</v>
          </cell>
          <cell r="S256">
            <v>191</v>
          </cell>
          <cell r="T256">
            <v>209</v>
          </cell>
        </row>
        <row r="259">
          <cell r="D259">
            <v>1230</v>
          </cell>
          <cell r="E259">
            <v>1224</v>
          </cell>
          <cell r="F259">
            <v>1208</v>
          </cell>
          <cell r="Q259">
            <v>681</v>
          </cell>
          <cell r="R259">
            <v>510</v>
          </cell>
          <cell r="S259">
            <v>345</v>
          </cell>
          <cell r="T259">
            <v>371</v>
          </cell>
        </row>
        <row r="262">
          <cell r="D262">
            <v>962</v>
          </cell>
          <cell r="E262">
            <v>979</v>
          </cell>
          <cell r="F262">
            <v>984</v>
          </cell>
          <cell r="Q262">
            <v>550</v>
          </cell>
          <cell r="R262">
            <v>433</v>
          </cell>
          <cell r="S262">
            <v>323</v>
          </cell>
          <cell r="T262">
            <v>322</v>
          </cell>
        </row>
        <row r="265">
          <cell r="D265">
            <v>1726</v>
          </cell>
          <cell r="E265">
            <v>1732</v>
          </cell>
          <cell r="F265">
            <v>1697</v>
          </cell>
          <cell r="Q265">
            <v>866</v>
          </cell>
          <cell r="R265">
            <v>679</v>
          </cell>
          <cell r="S265">
            <v>464</v>
          </cell>
          <cell r="T265">
            <v>547</v>
          </cell>
        </row>
        <row r="268">
          <cell r="D268">
            <v>591</v>
          </cell>
          <cell r="E268">
            <v>584</v>
          </cell>
          <cell r="F268">
            <v>561</v>
          </cell>
          <cell r="Q268">
            <v>288</v>
          </cell>
          <cell r="R268">
            <v>215</v>
          </cell>
          <cell r="S268">
            <v>145</v>
          </cell>
          <cell r="T268">
            <v>162</v>
          </cell>
        </row>
        <row r="271">
          <cell r="D271">
            <v>1284</v>
          </cell>
          <cell r="E271">
            <v>1286</v>
          </cell>
          <cell r="F271">
            <v>1278</v>
          </cell>
          <cell r="Q271">
            <v>695</v>
          </cell>
          <cell r="R271">
            <v>567</v>
          </cell>
          <cell r="S271">
            <v>432</v>
          </cell>
          <cell r="T271">
            <v>529</v>
          </cell>
        </row>
        <row r="274">
          <cell r="D274">
            <v>1085</v>
          </cell>
          <cell r="E274">
            <v>1117</v>
          </cell>
          <cell r="F274">
            <v>1140</v>
          </cell>
          <cell r="Q274">
            <v>533</v>
          </cell>
          <cell r="R274">
            <v>464</v>
          </cell>
          <cell r="S274">
            <v>317</v>
          </cell>
          <cell r="T274">
            <v>353</v>
          </cell>
        </row>
      </sheetData>
      <sheetData sheetId="11">
        <row r="244">
          <cell r="D244">
            <v>19666</v>
          </cell>
          <cell r="E244">
            <v>19839</v>
          </cell>
          <cell r="F244">
            <v>19901</v>
          </cell>
          <cell r="Q244">
            <v>10639</v>
          </cell>
          <cell r="R244">
            <v>8382</v>
          </cell>
          <cell r="S244">
            <v>5530</v>
          </cell>
          <cell r="T244">
            <v>6426</v>
          </cell>
        </row>
        <row r="247">
          <cell r="D247">
            <v>6042</v>
          </cell>
          <cell r="E247">
            <v>6057</v>
          </cell>
          <cell r="F247">
            <v>5962</v>
          </cell>
          <cell r="Q247">
            <v>3136</v>
          </cell>
          <cell r="R247">
            <v>2414</v>
          </cell>
          <cell r="S247">
            <v>1608</v>
          </cell>
          <cell r="T247">
            <v>1932</v>
          </cell>
        </row>
        <row r="250">
          <cell r="D250">
            <v>5454</v>
          </cell>
          <cell r="E250">
            <v>5554</v>
          </cell>
          <cell r="F250">
            <v>5844</v>
          </cell>
          <cell r="Q250">
            <v>3029</v>
          </cell>
          <cell r="R250">
            <v>2362</v>
          </cell>
          <cell r="S250">
            <v>1409</v>
          </cell>
          <cell r="T250">
            <v>1624</v>
          </cell>
        </row>
        <row r="253">
          <cell r="D253">
            <v>723</v>
          </cell>
          <cell r="E253">
            <v>745</v>
          </cell>
          <cell r="F253">
            <v>786</v>
          </cell>
          <cell r="Q253">
            <v>440</v>
          </cell>
          <cell r="R253">
            <v>357</v>
          </cell>
          <cell r="S253">
            <v>251</v>
          </cell>
          <cell r="T253">
            <v>274</v>
          </cell>
        </row>
        <row r="256">
          <cell r="D256">
            <v>565</v>
          </cell>
          <cell r="E256">
            <v>554</v>
          </cell>
          <cell r="F256">
            <v>549</v>
          </cell>
          <cell r="Q256">
            <v>330</v>
          </cell>
          <cell r="R256">
            <v>267</v>
          </cell>
          <cell r="S256">
            <v>196</v>
          </cell>
          <cell r="T256">
            <v>221</v>
          </cell>
        </row>
        <row r="259">
          <cell r="D259">
            <v>1234</v>
          </cell>
          <cell r="E259">
            <v>1230</v>
          </cell>
          <cell r="F259">
            <v>1191</v>
          </cell>
          <cell r="Q259">
            <v>705</v>
          </cell>
          <cell r="R259">
            <v>535</v>
          </cell>
          <cell r="S259">
            <v>353</v>
          </cell>
          <cell r="T259">
            <v>388</v>
          </cell>
        </row>
        <row r="262">
          <cell r="D262">
            <v>955</v>
          </cell>
          <cell r="E262">
            <v>973</v>
          </cell>
          <cell r="F262">
            <v>965</v>
          </cell>
          <cell r="Q262">
            <v>570</v>
          </cell>
          <cell r="R262">
            <v>443</v>
          </cell>
          <cell r="S262">
            <v>337</v>
          </cell>
          <cell r="T262">
            <v>337</v>
          </cell>
        </row>
        <row r="265">
          <cell r="D265">
            <v>1720</v>
          </cell>
          <cell r="E265">
            <v>1729</v>
          </cell>
          <cell r="F265">
            <v>1668</v>
          </cell>
          <cell r="Q265">
            <v>885</v>
          </cell>
          <cell r="R265">
            <v>710</v>
          </cell>
          <cell r="S265">
            <v>467</v>
          </cell>
          <cell r="T265">
            <v>565</v>
          </cell>
        </row>
        <row r="268">
          <cell r="D268">
            <v>592</v>
          </cell>
          <cell r="E268">
            <v>586</v>
          </cell>
          <cell r="F268">
            <v>553</v>
          </cell>
          <cell r="Q268">
            <v>301</v>
          </cell>
          <cell r="R268">
            <v>224</v>
          </cell>
          <cell r="S268">
            <v>151</v>
          </cell>
          <cell r="T268">
            <v>168</v>
          </cell>
        </row>
        <row r="271">
          <cell r="D271">
            <v>1294</v>
          </cell>
          <cell r="E271">
            <v>1293</v>
          </cell>
          <cell r="F271">
            <v>1262</v>
          </cell>
          <cell r="Q271">
            <v>710</v>
          </cell>
          <cell r="R271">
            <v>584</v>
          </cell>
          <cell r="S271">
            <v>435</v>
          </cell>
          <cell r="T271">
            <v>549</v>
          </cell>
        </row>
        <row r="274">
          <cell r="D274">
            <v>1087</v>
          </cell>
          <cell r="E274">
            <v>1118</v>
          </cell>
          <cell r="F274">
            <v>1121</v>
          </cell>
          <cell r="Q274">
            <v>533</v>
          </cell>
          <cell r="R274">
            <v>486</v>
          </cell>
          <cell r="S274">
            <v>323</v>
          </cell>
          <cell r="T274">
            <v>368</v>
          </cell>
        </row>
      </sheetData>
      <sheetData sheetId="12">
        <row r="244">
          <cell r="D244">
            <v>19660</v>
          </cell>
        </row>
      </sheetData>
      <sheetData sheetId="13"/>
      <sheetData sheetId="14"/>
      <sheetData sheetId="15"/>
      <sheetData sheetId="1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sheetData sheetId="3"/>
      <sheetData sheetId="4"/>
      <sheetData sheetId="5"/>
      <sheetData sheetId="6"/>
      <sheetData sheetId="7"/>
      <sheetData sheetId="8"/>
      <sheetData sheetId="9">
        <row r="11">
          <cell r="D11">
            <v>5447</v>
          </cell>
        </row>
        <row r="13">
          <cell r="D13">
            <v>406</v>
          </cell>
        </row>
        <row r="21">
          <cell r="E21">
            <v>565</v>
          </cell>
          <cell r="F21">
            <v>355</v>
          </cell>
          <cell r="G21">
            <v>414</v>
          </cell>
          <cell r="H21">
            <v>327</v>
          </cell>
          <cell r="I21">
            <v>445</v>
          </cell>
          <cell r="J21">
            <v>386</v>
          </cell>
          <cell r="K21">
            <v>1635</v>
          </cell>
          <cell r="L21">
            <v>346</v>
          </cell>
        </row>
        <row r="22">
          <cell r="E22">
            <v>75</v>
          </cell>
          <cell r="F22">
            <v>203</v>
          </cell>
          <cell r="G22">
            <v>512</v>
          </cell>
          <cell r="H22">
            <v>364</v>
          </cell>
          <cell r="I22">
            <v>1009</v>
          </cell>
          <cell r="J22">
            <v>1973</v>
          </cell>
          <cell r="K22">
            <v>4023</v>
          </cell>
          <cell r="L22">
            <v>970</v>
          </cell>
        </row>
        <row r="23">
          <cell r="E23">
            <v>55</v>
          </cell>
          <cell r="F23">
            <v>107</v>
          </cell>
          <cell r="G23">
            <v>109</v>
          </cell>
          <cell r="H23">
            <v>118</v>
          </cell>
          <cell r="I23">
            <v>119</v>
          </cell>
          <cell r="J23">
            <v>50</v>
          </cell>
          <cell r="K23">
            <v>284</v>
          </cell>
          <cell r="L23">
            <v>47</v>
          </cell>
        </row>
        <row r="24">
          <cell r="E24">
            <v>17</v>
          </cell>
          <cell r="F24">
            <v>29</v>
          </cell>
          <cell r="G24">
            <v>48</v>
          </cell>
          <cell r="H24">
            <v>59</v>
          </cell>
          <cell r="I24">
            <v>86</v>
          </cell>
          <cell r="J24">
            <v>109</v>
          </cell>
          <cell r="K24">
            <v>327</v>
          </cell>
          <cell r="L24">
            <v>52</v>
          </cell>
        </row>
        <row r="25">
          <cell r="E25">
            <v>1</v>
          </cell>
          <cell r="F25">
            <v>1</v>
          </cell>
          <cell r="G25">
            <v>1</v>
          </cell>
          <cell r="H25">
            <v>6</v>
          </cell>
          <cell r="I25">
            <v>6</v>
          </cell>
          <cell r="J25">
            <v>50</v>
          </cell>
          <cell r="K25">
            <v>165</v>
          </cell>
          <cell r="L25">
            <v>53</v>
          </cell>
        </row>
        <row r="26">
          <cell r="E26">
            <v>3</v>
          </cell>
          <cell r="F26">
            <v>1</v>
          </cell>
          <cell r="G26">
            <v>5</v>
          </cell>
          <cell r="H26">
            <v>3</v>
          </cell>
          <cell r="I26">
            <v>28</v>
          </cell>
          <cell r="J26">
            <v>150</v>
          </cell>
          <cell r="K26">
            <v>420</v>
          </cell>
          <cell r="L26">
            <v>172</v>
          </cell>
        </row>
      </sheetData>
      <sheetData sheetId="10"/>
      <sheetData sheetId="11"/>
      <sheetData sheetId="12">
        <row r="10">
          <cell r="B10">
            <v>112</v>
          </cell>
          <cell r="E10">
            <v>74</v>
          </cell>
          <cell r="F10">
            <v>38</v>
          </cell>
        </row>
        <row r="22">
          <cell r="B22">
            <v>2744</v>
          </cell>
        </row>
        <row r="23">
          <cell r="B23">
            <v>8</v>
          </cell>
        </row>
        <row r="24">
          <cell r="B24">
            <v>130</v>
          </cell>
        </row>
        <row r="25">
          <cell r="B25">
            <v>41</v>
          </cell>
        </row>
        <row r="26">
          <cell r="B26">
            <v>0</v>
          </cell>
        </row>
      </sheetData>
      <sheetData sheetId="13"/>
      <sheetData sheetId="14"/>
      <sheetData sheetId="15"/>
      <sheetData sheetId="16"/>
      <sheetData sheetId="17"/>
      <sheetData sheetId="18"/>
      <sheetData sheetId="19"/>
      <sheetData sheetId="20"/>
      <sheetData sheetId="2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sheetData sheetId="3"/>
      <sheetData sheetId="4"/>
      <sheetData sheetId="5"/>
      <sheetData sheetId="6"/>
      <sheetData sheetId="7"/>
      <sheetData sheetId="8"/>
      <sheetData sheetId="9">
        <row r="11">
          <cell r="D11">
            <v>487</v>
          </cell>
        </row>
        <row r="13">
          <cell r="D13">
            <v>93</v>
          </cell>
        </row>
        <row r="21">
          <cell r="E21">
            <v>32</v>
          </cell>
          <cell r="F21">
            <v>29</v>
          </cell>
          <cell r="G21">
            <v>23</v>
          </cell>
          <cell r="H21">
            <v>23</v>
          </cell>
          <cell r="I21">
            <v>35</v>
          </cell>
          <cell r="J21">
            <v>28</v>
          </cell>
          <cell r="K21">
            <v>117</v>
          </cell>
          <cell r="L21">
            <v>43</v>
          </cell>
        </row>
        <row r="22">
          <cell r="E22">
            <v>2</v>
          </cell>
          <cell r="F22">
            <v>24</v>
          </cell>
          <cell r="G22">
            <v>21</v>
          </cell>
          <cell r="H22">
            <v>13</v>
          </cell>
          <cell r="I22">
            <v>73</v>
          </cell>
          <cell r="J22">
            <v>115</v>
          </cell>
          <cell r="K22">
            <v>267</v>
          </cell>
          <cell r="L22">
            <v>45</v>
          </cell>
        </row>
        <row r="23">
          <cell r="E23">
            <v>8</v>
          </cell>
          <cell r="F23">
            <v>27</v>
          </cell>
          <cell r="G23">
            <v>35</v>
          </cell>
          <cell r="H23">
            <v>32</v>
          </cell>
          <cell r="I23">
            <v>51</v>
          </cell>
          <cell r="J23">
            <v>32</v>
          </cell>
          <cell r="K23">
            <v>155</v>
          </cell>
          <cell r="L23">
            <v>50</v>
          </cell>
        </row>
        <row r="24">
          <cell r="E24">
            <v>7</v>
          </cell>
          <cell r="F24">
            <v>16</v>
          </cell>
          <cell r="G24">
            <v>20</v>
          </cell>
          <cell r="H24">
            <v>21</v>
          </cell>
          <cell r="I24">
            <v>48</v>
          </cell>
          <cell r="J24">
            <v>32</v>
          </cell>
          <cell r="K24">
            <v>163</v>
          </cell>
          <cell r="L24">
            <v>50</v>
          </cell>
        </row>
        <row r="25">
          <cell r="E25">
            <v>0</v>
          </cell>
          <cell r="F25">
            <v>0</v>
          </cell>
          <cell r="G25">
            <v>0</v>
          </cell>
          <cell r="H25">
            <v>0</v>
          </cell>
          <cell r="I25">
            <v>1</v>
          </cell>
          <cell r="J25">
            <v>0</v>
          </cell>
          <cell r="K25">
            <v>9</v>
          </cell>
          <cell r="L25">
            <v>0</v>
          </cell>
        </row>
        <row r="26">
          <cell r="E26">
            <v>0</v>
          </cell>
          <cell r="F26">
            <v>0</v>
          </cell>
          <cell r="G26">
            <v>0</v>
          </cell>
          <cell r="H26">
            <v>0</v>
          </cell>
          <cell r="I26">
            <v>3</v>
          </cell>
          <cell r="J26">
            <v>3</v>
          </cell>
          <cell r="K26">
            <v>5</v>
          </cell>
          <cell r="L26">
            <v>5</v>
          </cell>
        </row>
      </sheetData>
      <sheetData sheetId="10"/>
      <sheetData sheetId="11"/>
      <sheetData sheetId="12">
        <row r="10">
          <cell r="B10">
            <v>12</v>
          </cell>
          <cell r="E10">
            <v>9</v>
          </cell>
          <cell r="F10">
            <v>3</v>
          </cell>
        </row>
        <row r="22">
          <cell r="B22">
            <v>1080</v>
          </cell>
        </row>
        <row r="23">
          <cell r="B23">
            <v>3</v>
          </cell>
        </row>
        <row r="24">
          <cell r="B24">
            <v>7</v>
          </cell>
        </row>
        <row r="25">
          <cell r="B25">
            <v>0</v>
          </cell>
        </row>
        <row r="26">
          <cell r="B26">
            <v>0</v>
          </cell>
        </row>
      </sheetData>
      <sheetData sheetId="13"/>
      <sheetData sheetId="14"/>
      <sheetData sheetId="15"/>
      <sheetData sheetId="16"/>
      <sheetData sheetId="17"/>
      <sheetData sheetId="18"/>
      <sheetData sheetId="19"/>
      <sheetData sheetId="20"/>
      <sheetData sheetId="2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sheetData sheetId="3"/>
      <sheetData sheetId="4"/>
      <sheetData sheetId="5"/>
      <sheetData sheetId="6"/>
      <sheetData sheetId="7"/>
      <sheetData sheetId="8"/>
      <sheetData sheetId="9">
        <row r="11">
          <cell r="D11">
            <v>1556</v>
          </cell>
        </row>
        <row r="13">
          <cell r="D13">
            <v>133</v>
          </cell>
        </row>
        <row r="21">
          <cell r="E21">
            <v>50</v>
          </cell>
          <cell r="F21">
            <v>24</v>
          </cell>
          <cell r="G21">
            <v>39</v>
          </cell>
          <cell r="H21">
            <v>47</v>
          </cell>
          <cell r="I21">
            <v>69</v>
          </cell>
          <cell r="J21">
            <v>55</v>
          </cell>
          <cell r="K21">
            <v>295</v>
          </cell>
          <cell r="L21">
            <v>78</v>
          </cell>
        </row>
        <row r="22">
          <cell r="E22">
            <v>0</v>
          </cell>
          <cell r="F22">
            <v>1</v>
          </cell>
          <cell r="G22">
            <v>5</v>
          </cell>
          <cell r="H22">
            <v>12</v>
          </cell>
          <cell r="I22">
            <v>144</v>
          </cell>
          <cell r="J22">
            <v>228</v>
          </cell>
          <cell r="K22">
            <v>827</v>
          </cell>
          <cell r="L22">
            <v>98</v>
          </cell>
        </row>
        <row r="23">
          <cell r="E23">
            <v>16</v>
          </cell>
          <cell r="F23">
            <v>14</v>
          </cell>
          <cell r="G23">
            <v>10</v>
          </cell>
          <cell r="H23">
            <v>19</v>
          </cell>
          <cell r="I23">
            <v>22</v>
          </cell>
          <cell r="J23">
            <v>17</v>
          </cell>
          <cell r="K23">
            <v>68</v>
          </cell>
          <cell r="L23">
            <v>3</v>
          </cell>
        </row>
        <row r="24">
          <cell r="E24">
            <v>0</v>
          </cell>
          <cell r="F24">
            <v>1</v>
          </cell>
          <cell r="G24">
            <v>0</v>
          </cell>
          <cell r="H24">
            <v>1</v>
          </cell>
          <cell r="I24">
            <v>3</v>
          </cell>
          <cell r="J24">
            <v>1</v>
          </cell>
          <cell r="K24">
            <v>2</v>
          </cell>
          <cell r="L24">
            <v>2</v>
          </cell>
        </row>
        <row r="25">
          <cell r="E25">
            <v>0</v>
          </cell>
          <cell r="F25">
            <v>1</v>
          </cell>
          <cell r="G25">
            <v>0</v>
          </cell>
          <cell r="H25">
            <v>0</v>
          </cell>
          <cell r="I25">
            <v>0</v>
          </cell>
          <cell r="J25">
            <v>0</v>
          </cell>
          <cell r="K25">
            <v>3</v>
          </cell>
          <cell r="L25">
            <v>0</v>
          </cell>
        </row>
        <row r="26">
          <cell r="E26">
            <v>0</v>
          </cell>
          <cell r="F26">
            <v>0</v>
          </cell>
          <cell r="G26">
            <v>1</v>
          </cell>
          <cell r="H26">
            <v>3</v>
          </cell>
          <cell r="I26">
            <v>20</v>
          </cell>
          <cell r="J26">
            <v>29</v>
          </cell>
          <cell r="K26">
            <v>120</v>
          </cell>
          <cell r="L26">
            <v>33</v>
          </cell>
        </row>
      </sheetData>
      <sheetData sheetId="10"/>
      <sheetData sheetId="11"/>
      <sheetData sheetId="12">
        <row r="10">
          <cell r="B10">
            <v>4</v>
          </cell>
          <cell r="E10">
            <v>1</v>
          </cell>
          <cell r="F10">
            <v>4</v>
          </cell>
        </row>
        <row r="22">
          <cell r="B22">
            <v>1173</v>
          </cell>
        </row>
        <row r="23">
          <cell r="B23">
            <v>1</v>
          </cell>
        </row>
        <row r="24">
          <cell r="B24">
            <v>5</v>
          </cell>
        </row>
        <row r="25">
          <cell r="B25">
            <v>1</v>
          </cell>
        </row>
        <row r="26">
          <cell r="B26">
            <v>0</v>
          </cell>
        </row>
      </sheetData>
      <sheetData sheetId="13"/>
      <sheetData sheetId="14"/>
      <sheetData sheetId="15"/>
      <sheetData sheetId="16"/>
      <sheetData sheetId="17"/>
      <sheetData sheetId="18"/>
      <sheetData sheetId="19"/>
      <sheetData sheetId="20"/>
      <sheetData sheetId="2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sheetData sheetId="3"/>
      <sheetData sheetId="4"/>
      <sheetData sheetId="5"/>
      <sheetData sheetId="6"/>
      <sheetData sheetId="7"/>
      <sheetData sheetId="8"/>
      <sheetData sheetId="9">
        <row r="11">
          <cell r="D11">
            <v>3625</v>
          </cell>
        </row>
        <row r="13">
          <cell r="D13">
            <v>533</v>
          </cell>
        </row>
        <row r="21">
          <cell r="E21">
            <v>121</v>
          </cell>
          <cell r="F21">
            <v>72</v>
          </cell>
          <cell r="G21">
            <v>165</v>
          </cell>
          <cell r="H21">
            <v>101</v>
          </cell>
          <cell r="I21">
            <v>161</v>
          </cell>
          <cell r="J21">
            <v>130</v>
          </cell>
          <cell r="K21">
            <v>528</v>
          </cell>
          <cell r="L21">
            <v>103</v>
          </cell>
        </row>
        <row r="22">
          <cell r="E22">
            <v>0</v>
          </cell>
          <cell r="F22">
            <v>3</v>
          </cell>
          <cell r="G22">
            <v>22</v>
          </cell>
          <cell r="H22">
            <v>23</v>
          </cell>
          <cell r="I22">
            <v>258</v>
          </cell>
          <cell r="J22">
            <v>252</v>
          </cell>
          <cell r="K22">
            <v>917</v>
          </cell>
          <cell r="L22">
            <v>307</v>
          </cell>
        </row>
        <row r="23">
          <cell r="E23">
            <v>50</v>
          </cell>
          <cell r="F23">
            <v>119</v>
          </cell>
          <cell r="G23">
            <v>161</v>
          </cell>
          <cell r="H23">
            <v>134</v>
          </cell>
          <cell r="I23">
            <v>97</v>
          </cell>
          <cell r="J23">
            <v>82</v>
          </cell>
          <cell r="K23">
            <v>244</v>
          </cell>
          <cell r="L23">
            <v>54</v>
          </cell>
        </row>
        <row r="24">
          <cell r="E24">
            <v>0</v>
          </cell>
          <cell r="F24">
            <v>0</v>
          </cell>
          <cell r="G24">
            <v>3</v>
          </cell>
          <cell r="H24">
            <v>0</v>
          </cell>
          <cell r="I24">
            <v>1</v>
          </cell>
          <cell r="J24">
            <v>22</v>
          </cell>
          <cell r="K24">
            <v>60</v>
          </cell>
          <cell r="L24">
            <v>19</v>
          </cell>
        </row>
        <row r="25">
          <cell r="E25">
            <v>0</v>
          </cell>
          <cell r="F25">
            <v>0</v>
          </cell>
          <cell r="G25">
            <v>0</v>
          </cell>
          <cell r="H25">
            <v>0</v>
          </cell>
          <cell r="I25">
            <v>0</v>
          </cell>
          <cell r="J25">
            <v>0</v>
          </cell>
          <cell r="K25">
            <v>0</v>
          </cell>
          <cell r="L25">
            <v>0</v>
          </cell>
        </row>
        <row r="26">
          <cell r="E26">
            <v>1</v>
          </cell>
          <cell r="F26">
            <v>0</v>
          </cell>
          <cell r="G26">
            <v>1</v>
          </cell>
          <cell r="H26">
            <v>0</v>
          </cell>
          <cell r="I26">
            <v>2</v>
          </cell>
          <cell r="J26">
            <v>16</v>
          </cell>
          <cell r="K26">
            <v>64</v>
          </cell>
          <cell r="L26">
            <v>127</v>
          </cell>
        </row>
      </sheetData>
      <sheetData sheetId="10"/>
      <sheetData sheetId="11"/>
      <sheetData sheetId="12">
        <row r="10">
          <cell r="B10">
            <v>13</v>
          </cell>
          <cell r="E10">
            <v>10</v>
          </cell>
          <cell r="F10">
            <v>3</v>
          </cell>
        </row>
        <row r="22">
          <cell r="B22">
            <v>11047</v>
          </cell>
        </row>
        <row r="23">
          <cell r="B23">
            <v>1</v>
          </cell>
        </row>
        <row r="24">
          <cell r="B24">
            <v>19</v>
          </cell>
        </row>
        <row r="25">
          <cell r="B25">
            <v>9</v>
          </cell>
        </row>
        <row r="26">
          <cell r="B26">
            <v>0</v>
          </cell>
        </row>
      </sheetData>
      <sheetData sheetId="13"/>
      <sheetData sheetId="14"/>
      <sheetData sheetId="15"/>
      <sheetData sheetId="16"/>
      <sheetData sheetId="17"/>
      <sheetData sheetId="18"/>
      <sheetData sheetId="19"/>
      <sheetData sheetId="20"/>
      <sheetData sheetId="2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sheetData sheetId="3"/>
      <sheetData sheetId="4"/>
      <sheetData sheetId="5"/>
      <sheetData sheetId="6"/>
      <sheetData sheetId="7"/>
      <sheetData sheetId="8"/>
      <sheetData sheetId="9">
        <row r="11">
          <cell r="D11">
            <v>0</v>
          </cell>
        </row>
        <row r="13">
          <cell r="D13">
            <v>0</v>
          </cell>
        </row>
        <row r="21">
          <cell r="E21">
            <v>0</v>
          </cell>
          <cell r="F21">
            <v>0</v>
          </cell>
          <cell r="G21">
            <v>0</v>
          </cell>
          <cell r="H21">
            <v>0</v>
          </cell>
          <cell r="I21">
            <v>0</v>
          </cell>
          <cell r="J21">
            <v>0</v>
          </cell>
          <cell r="K21">
            <v>0</v>
          </cell>
          <cell r="L21">
            <v>0</v>
          </cell>
        </row>
        <row r="22">
          <cell r="E22">
            <v>0</v>
          </cell>
          <cell r="F22">
            <v>0</v>
          </cell>
          <cell r="G22">
            <v>0</v>
          </cell>
          <cell r="H22">
            <v>0</v>
          </cell>
          <cell r="I22">
            <v>0</v>
          </cell>
          <cell r="J22">
            <v>0</v>
          </cell>
          <cell r="K22">
            <v>0</v>
          </cell>
          <cell r="L22">
            <v>0</v>
          </cell>
        </row>
        <row r="23">
          <cell r="E23">
            <v>0</v>
          </cell>
          <cell r="F23">
            <v>0</v>
          </cell>
          <cell r="G23">
            <v>0</v>
          </cell>
          <cell r="H23">
            <v>0</v>
          </cell>
          <cell r="I23">
            <v>0</v>
          </cell>
          <cell r="J23">
            <v>0</v>
          </cell>
          <cell r="K23">
            <v>0</v>
          </cell>
          <cell r="L23">
            <v>0</v>
          </cell>
        </row>
        <row r="24">
          <cell r="E24">
            <v>0</v>
          </cell>
          <cell r="F24">
            <v>0</v>
          </cell>
          <cell r="G24">
            <v>0</v>
          </cell>
          <cell r="H24">
            <v>0</v>
          </cell>
          <cell r="I24">
            <v>0</v>
          </cell>
          <cell r="J24">
            <v>0</v>
          </cell>
          <cell r="K24">
            <v>0</v>
          </cell>
          <cell r="L24">
            <v>0</v>
          </cell>
        </row>
        <row r="25">
          <cell r="E25">
            <v>0</v>
          </cell>
          <cell r="F25">
            <v>0</v>
          </cell>
          <cell r="G25">
            <v>0</v>
          </cell>
          <cell r="H25">
            <v>0</v>
          </cell>
          <cell r="I25">
            <v>0</v>
          </cell>
          <cell r="J25">
            <v>0</v>
          </cell>
          <cell r="K25">
            <v>0</v>
          </cell>
          <cell r="L25">
            <v>0</v>
          </cell>
        </row>
        <row r="26">
          <cell r="E26">
            <v>0</v>
          </cell>
          <cell r="F26">
            <v>0</v>
          </cell>
          <cell r="G26">
            <v>0</v>
          </cell>
          <cell r="H26">
            <v>0</v>
          </cell>
          <cell r="I26">
            <v>0</v>
          </cell>
          <cell r="J26">
            <v>0</v>
          </cell>
          <cell r="K26">
            <v>0</v>
          </cell>
          <cell r="L26">
            <v>0</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sheetData sheetId="3"/>
      <sheetData sheetId="4"/>
      <sheetData sheetId="5"/>
      <sheetData sheetId="6"/>
      <sheetData sheetId="7"/>
      <sheetData sheetId="8"/>
      <sheetData sheetId="9">
        <row r="11">
          <cell r="D11">
            <v>1816</v>
          </cell>
        </row>
        <row r="13">
          <cell r="D13">
            <v>314</v>
          </cell>
        </row>
        <row r="21">
          <cell r="E21">
            <v>173</v>
          </cell>
          <cell r="F21">
            <v>97</v>
          </cell>
          <cell r="G21">
            <v>189</v>
          </cell>
          <cell r="H21">
            <v>51</v>
          </cell>
          <cell r="I21">
            <v>159</v>
          </cell>
          <cell r="J21">
            <v>143</v>
          </cell>
          <cell r="K21">
            <v>206</v>
          </cell>
          <cell r="L21">
            <v>100</v>
          </cell>
        </row>
        <row r="22">
          <cell r="E22">
            <v>16</v>
          </cell>
          <cell r="F22">
            <v>72</v>
          </cell>
          <cell r="G22">
            <v>444</v>
          </cell>
          <cell r="H22">
            <v>169</v>
          </cell>
          <cell r="I22">
            <v>530</v>
          </cell>
          <cell r="J22">
            <v>797</v>
          </cell>
          <cell r="K22">
            <v>743</v>
          </cell>
          <cell r="L22">
            <v>330</v>
          </cell>
        </row>
        <row r="23">
          <cell r="E23">
            <v>66</v>
          </cell>
          <cell r="F23">
            <v>103</v>
          </cell>
          <cell r="G23">
            <v>75</v>
          </cell>
          <cell r="H23">
            <v>33</v>
          </cell>
          <cell r="I23">
            <v>12</v>
          </cell>
          <cell r="J23">
            <v>23</v>
          </cell>
          <cell r="K23">
            <v>59</v>
          </cell>
          <cell r="L23">
            <v>30</v>
          </cell>
        </row>
        <row r="24">
          <cell r="E24">
            <v>66</v>
          </cell>
          <cell r="F24">
            <v>8</v>
          </cell>
          <cell r="G24">
            <v>118</v>
          </cell>
          <cell r="H24">
            <v>36</v>
          </cell>
          <cell r="I24">
            <v>92</v>
          </cell>
          <cell r="J24">
            <v>102</v>
          </cell>
          <cell r="K24">
            <v>78</v>
          </cell>
          <cell r="L24">
            <v>18</v>
          </cell>
        </row>
        <row r="25">
          <cell r="E25">
            <v>0</v>
          </cell>
          <cell r="F25">
            <v>0</v>
          </cell>
          <cell r="G25">
            <v>0</v>
          </cell>
          <cell r="H25">
            <v>0</v>
          </cell>
          <cell r="I25">
            <v>2</v>
          </cell>
          <cell r="J25">
            <v>3</v>
          </cell>
          <cell r="K25">
            <v>6</v>
          </cell>
          <cell r="L25">
            <v>5</v>
          </cell>
        </row>
        <row r="26">
          <cell r="E26">
            <v>17</v>
          </cell>
          <cell r="F26">
            <v>0</v>
          </cell>
          <cell r="G26">
            <v>22</v>
          </cell>
          <cell r="H26">
            <v>4</v>
          </cell>
          <cell r="I26">
            <v>15</v>
          </cell>
          <cell r="J26">
            <v>127</v>
          </cell>
          <cell r="K26">
            <v>105</v>
          </cell>
          <cell r="L26">
            <v>95</v>
          </cell>
        </row>
      </sheetData>
      <sheetData sheetId="10"/>
      <sheetData sheetId="11"/>
      <sheetData sheetId="12">
        <row r="10">
          <cell r="B10">
            <v>31</v>
          </cell>
          <cell r="E10">
            <v>30</v>
          </cell>
          <cell r="F10">
            <v>3</v>
          </cell>
        </row>
        <row r="22">
          <cell r="B22">
            <v>358</v>
          </cell>
        </row>
        <row r="23">
          <cell r="B23">
            <v>10</v>
          </cell>
        </row>
        <row r="24">
          <cell r="B24">
            <v>51</v>
          </cell>
        </row>
        <row r="25">
          <cell r="B25">
            <v>1</v>
          </cell>
        </row>
        <row r="26">
          <cell r="B26">
            <v>0</v>
          </cell>
        </row>
      </sheetData>
      <sheetData sheetId="13"/>
      <sheetData sheetId="14"/>
      <sheetData sheetId="15"/>
      <sheetData sheetId="16"/>
      <sheetData sheetId="17"/>
      <sheetData sheetId="18"/>
      <sheetData sheetId="19"/>
      <sheetData sheetId="20"/>
      <sheetData sheetId="2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sheetData sheetId="3"/>
      <sheetData sheetId="4"/>
      <sheetData sheetId="5"/>
      <sheetData sheetId="6"/>
      <sheetData sheetId="7"/>
      <sheetData sheetId="8"/>
      <sheetData sheetId="9">
        <row r="11">
          <cell r="D11">
            <v>197</v>
          </cell>
        </row>
        <row r="13">
          <cell r="D13">
            <v>25</v>
          </cell>
        </row>
        <row r="21">
          <cell r="E21">
            <v>21</v>
          </cell>
          <cell r="F21">
            <v>13</v>
          </cell>
          <cell r="G21">
            <v>26</v>
          </cell>
          <cell r="H21">
            <v>7</v>
          </cell>
          <cell r="I21">
            <v>14</v>
          </cell>
          <cell r="J21">
            <v>16</v>
          </cell>
          <cell r="K21">
            <v>73</v>
          </cell>
          <cell r="L21">
            <v>24</v>
          </cell>
        </row>
        <row r="22">
          <cell r="E22">
            <v>3</v>
          </cell>
          <cell r="F22">
            <v>21</v>
          </cell>
          <cell r="G22">
            <v>77</v>
          </cell>
          <cell r="H22">
            <v>26</v>
          </cell>
          <cell r="I22">
            <v>37</v>
          </cell>
          <cell r="J22">
            <v>62</v>
          </cell>
          <cell r="K22">
            <v>180</v>
          </cell>
          <cell r="L22">
            <v>61</v>
          </cell>
        </row>
        <row r="23">
          <cell r="E23">
            <v>1</v>
          </cell>
          <cell r="F23">
            <v>5</v>
          </cell>
          <cell r="G23">
            <v>16</v>
          </cell>
          <cell r="H23">
            <v>5</v>
          </cell>
          <cell r="I23">
            <v>8</v>
          </cell>
          <cell r="J23">
            <v>14</v>
          </cell>
          <cell r="K23">
            <v>46</v>
          </cell>
          <cell r="L23">
            <v>8</v>
          </cell>
        </row>
        <row r="24">
          <cell r="E24">
            <v>0</v>
          </cell>
          <cell r="F24">
            <v>9</v>
          </cell>
          <cell r="G24">
            <v>13</v>
          </cell>
          <cell r="H24">
            <v>4</v>
          </cell>
          <cell r="I24">
            <v>6</v>
          </cell>
          <cell r="J24">
            <v>7</v>
          </cell>
          <cell r="K24">
            <v>39</v>
          </cell>
          <cell r="L24">
            <v>4</v>
          </cell>
        </row>
        <row r="25">
          <cell r="E25">
            <v>0</v>
          </cell>
          <cell r="F25">
            <v>0</v>
          </cell>
          <cell r="G25">
            <v>0</v>
          </cell>
          <cell r="H25">
            <v>0</v>
          </cell>
          <cell r="I25">
            <v>0</v>
          </cell>
          <cell r="J25">
            <v>0</v>
          </cell>
          <cell r="K25">
            <v>0</v>
          </cell>
          <cell r="L25">
            <v>0</v>
          </cell>
        </row>
        <row r="26">
          <cell r="E26">
            <v>0</v>
          </cell>
          <cell r="F26">
            <v>0</v>
          </cell>
          <cell r="G26">
            <v>2</v>
          </cell>
          <cell r="H26">
            <v>0</v>
          </cell>
          <cell r="I26">
            <v>1</v>
          </cell>
          <cell r="J26">
            <v>4</v>
          </cell>
          <cell r="K26">
            <v>18</v>
          </cell>
          <cell r="L26">
            <v>11</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sheetData sheetId="3"/>
      <sheetData sheetId="4"/>
      <sheetData sheetId="5"/>
      <sheetData sheetId="6"/>
      <sheetData sheetId="7"/>
      <sheetData sheetId="8"/>
      <sheetData sheetId="9">
        <row r="11">
          <cell r="D11">
            <v>0</v>
          </cell>
        </row>
        <row r="13">
          <cell r="D13">
            <v>0</v>
          </cell>
        </row>
        <row r="21">
          <cell r="E21">
            <v>0</v>
          </cell>
          <cell r="F21">
            <v>0</v>
          </cell>
          <cell r="G21">
            <v>0</v>
          </cell>
          <cell r="H21">
            <v>0</v>
          </cell>
          <cell r="I21">
            <v>0</v>
          </cell>
          <cell r="J21">
            <v>0</v>
          </cell>
          <cell r="K21">
            <v>0</v>
          </cell>
          <cell r="L21">
            <v>0</v>
          </cell>
        </row>
        <row r="22">
          <cell r="E22">
            <v>0</v>
          </cell>
          <cell r="F22">
            <v>0</v>
          </cell>
          <cell r="G22">
            <v>0</v>
          </cell>
          <cell r="H22">
            <v>0</v>
          </cell>
          <cell r="I22">
            <v>0</v>
          </cell>
          <cell r="J22">
            <v>0</v>
          </cell>
          <cell r="K22">
            <v>0</v>
          </cell>
          <cell r="L22">
            <v>0</v>
          </cell>
        </row>
        <row r="23">
          <cell r="E23">
            <v>0</v>
          </cell>
          <cell r="F23">
            <v>0</v>
          </cell>
          <cell r="G23">
            <v>0</v>
          </cell>
          <cell r="H23">
            <v>0</v>
          </cell>
          <cell r="I23">
            <v>0</v>
          </cell>
          <cell r="J23">
            <v>0</v>
          </cell>
          <cell r="K23">
            <v>0</v>
          </cell>
          <cell r="L23">
            <v>0</v>
          </cell>
        </row>
        <row r="24">
          <cell r="E24">
            <v>0</v>
          </cell>
          <cell r="F24">
            <v>0</v>
          </cell>
          <cell r="G24">
            <v>0</v>
          </cell>
          <cell r="H24">
            <v>0</v>
          </cell>
          <cell r="I24">
            <v>0</v>
          </cell>
          <cell r="J24">
            <v>0</v>
          </cell>
          <cell r="K24">
            <v>0</v>
          </cell>
          <cell r="L24">
            <v>0</v>
          </cell>
        </row>
        <row r="25">
          <cell r="E25">
            <v>0</v>
          </cell>
          <cell r="F25">
            <v>0</v>
          </cell>
          <cell r="G25">
            <v>0</v>
          </cell>
          <cell r="H25">
            <v>0</v>
          </cell>
          <cell r="I25">
            <v>0</v>
          </cell>
          <cell r="J25">
            <v>0</v>
          </cell>
          <cell r="K25">
            <v>0</v>
          </cell>
          <cell r="L25">
            <v>0</v>
          </cell>
        </row>
        <row r="26">
          <cell r="E26">
            <v>0</v>
          </cell>
          <cell r="F26">
            <v>0</v>
          </cell>
          <cell r="G26">
            <v>0</v>
          </cell>
          <cell r="H26">
            <v>0</v>
          </cell>
          <cell r="I26">
            <v>0</v>
          </cell>
          <cell r="J26">
            <v>0</v>
          </cell>
          <cell r="K26">
            <v>0</v>
          </cell>
          <cell r="L26">
            <v>0</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sheetData sheetId="3"/>
      <sheetData sheetId="4"/>
      <sheetData sheetId="5"/>
      <sheetData sheetId="6"/>
      <sheetData sheetId="7"/>
      <sheetData sheetId="8"/>
      <sheetData sheetId="9">
        <row r="11">
          <cell r="D11">
            <v>2083</v>
          </cell>
        </row>
        <row r="13">
          <cell r="D13">
            <v>480</v>
          </cell>
        </row>
        <row r="21">
          <cell r="E21">
            <v>86</v>
          </cell>
          <cell r="F21">
            <v>67</v>
          </cell>
          <cell r="G21">
            <v>98</v>
          </cell>
          <cell r="H21">
            <v>54</v>
          </cell>
          <cell r="I21">
            <v>258</v>
          </cell>
          <cell r="J21">
            <v>25</v>
          </cell>
          <cell r="K21">
            <v>267</v>
          </cell>
          <cell r="L21">
            <v>222</v>
          </cell>
        </row>
        <row r="22">
          <cell r="E22">
            <v>1</v>
          </cell>
          <cell r="F22">
            <v>22</v>
          </cell>
          <cell r="G22">
            <v>72</v>
          </cell>
          <cell r="H22">
            <v>65</v>
          </cell>
          <cell r="I22">
            <v>960</v>
          </cell>
          <cell r="J22">
            <v>175</v>
          </cell>
          <cell r="K22">
            <v>866</v>
          </cell>
          <cell r="L22">
            <v>796</v>
          </cell>
        </row>
        <row r="23">
          <cell r="E23">
            <v>67</v>
          </cell>
          <cell r="F23">
            <v>84</v>
          </cell>
          <cell r="G23">
            <v>72</v>
          </cell>
          <cell r="H23">
            <v>23</v>
          </cell>
          <cell r="I23">
            <v>159</v>
          </cell>
          <cell r="J23">
            <v>6</v>
          </cell>
          <cell r="K23">
            <v>60</v>
          </cell>
          <cell r="L23">
            <v>94</v>
          </cell>
        </row>
        <row r="24">
          <cell r="E24">
            <v>13</v>
          </cell>
          <cell r="F24">
            <v>11</v>
          </cell>
          <cell r="G24">
            <v>25</v>
          </cell>
          <cell r="H24">
            <v>11</v>
          </cell>
          <cell r="I24">
            <v>14</v>
          </cell>
          <cell r="J24">
            <v>8</v>
          </cell>
          <cell r="K24">
            <v>74</v>
          </cell>
          <cell r="L24">
            <v>30</v>
          </cell>
        </row>
        <row r="25">
          <cell r="E25">
            <v>1</v>
          </cell>
          <cell r="F25">
            <v>0</v>
          </cell>
          <cell r="G25">
            <v>0</v>
          </cell>
          <cell r="H25">
            <v>0</v>
          </cell>
          <cell r="I25">
            <v>0</v>
          </cell>
          <cell r="J25">
            <v>0</v>
          </cell>
          <cell r="K25">
            <v>0</v>
          </cell>
          <cell r="L25">
            <v>0</v>
          </cell>
        </row>
        <row r="26">
          <cell r="E26">
            <v>0</v>
          </cell>
          <cell r="F26">
            <v>0</v>
          </cell>
          <cell r="G26">
            <v>1</v>
          </cell>
          <cell r="H26">
            <v>2</v>
          </cell>
          <cell r="I26">
            <v>1</v>
          </cell>
          <cell r="J26">
            <v>15</v>
          </cell>
          <cell r="K26">
            <v>91</v>
          </cell>
          <cell r="L26">
            <v>269</v>
          </cell>
        </row>
      </sheetData>
      <sheetData sheetId="10"/>
      <sheetData sheetId="11"/>
      <sheetData sheetId="12">
        <row r="10">
          <cell r="B10">
            <v>81</v>
          </cell>
          <cell r="E10">
            <v>34</v>
          </cell>
          <cell r="F10">
            <v>47</v>
          </cell>
        </row>
        <row r="22">
          <cell r="B22">
            <v>6635</v>
          </cell>
        </row>
        <row r="23">
          <cell r="B23">
            <v>8</v>
          </cell>
        </row>
        <row r="24">
          <cell r="B24">
            <v>32</v>
          </cell>
        </row>
        <row r="25">
          <cell r="B25">
            <v>93</v>
          </cell>
        </row>
        <row r="26">
          <cell r="B26">
            <v>0</v>
          </cell>
        </row>
      </sheetData>
      <sheetData sheetId="13"/>
      <sheetData sheetId="14"/>
      <sheetData sheetId="15"/>
      <sheetData sheetId="16"/>
      <sheetData sheetId="17"/>
      <sheetData sheetId="18"/>
      <sheetData sheetId="19"/>
      <sheetData sheetId="20"/>
      <sheetData sheetId="2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sheetData sheetId="3"/>
      <sheetData sheetId="4"/>
      <sheetData sheetId="5"/>
      <sheetData sheetId="6"/>
      <sheetData sheetId="7"/>
      <sheetData sheetId="8"/>
      <sheetData sheetId="9">
        <row r="11">
          <cell r="D11">
            <v>2674</v>
          </cell>
        </row>
        <row r="13">
          <cell r="D13">
            <v>122</v>
          </cell>
        </row>
        <row r="21">
          <cell r="E21">
            <v>45</v>
          </cell>
          <cell r="F21">
            <v>45</v>
          </cell>
          <cell r="G21">
            <v>100</v>
          </cell>
          <cell r="H21">
            <v>67</v>
          </cell>
          <cell r="I21">
            <v>213</v>
          </cell>
          <cell r="J21">
            <v>168</v>
          </cell>
          <cell r="K21">
            <v>644</v>
          </cell>
          <cell r="L21">
            <v>273</v>
          </cell>
        </row>
        <row r="22">
          <cell r="E22">
            <v>7</v>
          </cell>
          <cell r="F22">
            <v>9</v>
          </cell>
          <cell r="G22">
            <v>24</v>
          </cell>
          <cell r="H22">
            <v>46</v>
          </cell>
          <cell r="I22">
            <v>199</v>
          </cell>
          <cell r="J22">
            <v>168</v>
          </cell>
          <cell r="K22">
            <v>410</v>
          </cell>
          <cell r="L22">
            <v>144</v>
          </cell>
        </row>
        <row r="23">
          <cell r="E23">
            <v>18</v>
          </cell>
          <cell r="F23">
            <v>4</v>
          </cell>
          <cell r="G23">
            <v>19</v>
          </cell>
          <cell r="H23">
            <v>33</v>
          </cell>
          <cell r="I23">
            <v>15</v>
          </cell>
          <cell r="J23">
            <v>24</v>
          </cell>
          <cell r="K23">
            <v>90</v>
          </cell>
          <cell r="L23">
            <v>17</v>
          </cell>
        </row>
        <row r="24">
          <cell r="E24">
            <v>0</v>
          </cell>
          <cell r="F24">
            <v>1</v>
          </cell>
          <cell r="G24">
            <v>9</v>
          </cell>
          <cell r="H24">
            <v>5</v>
          </cell>
          <cell r="I24">
            <v>4</v>
          </cell>
          <cell r="J24">
            <v>3</v>
          </cell>
          <cell r="K24">
            <v>58</v>
          </cell>
          <cell r="L24">
            <v>29</v>
          </cell>
        </row>
        <row r="25">
          <cell r="E25">
            <v>1</v>
          </cell>
          <cell r="F25">
            <v>3</v>
          </cell>
          <cell r="G25">
            <v>4</v>
          </cell>
          <cell r="H25">
            <v>3</v>
          </cell>
          <cell r="I25">
            <v>3</v>
          </cell>
          <cell r="J25">
            <v>1</v>
          </cell>
          <cell r="K25">
            <v>15</v>
          </cell>
          <cell r="L25">
            <v>10</v>
          </cell>
        </row>
        <row r="26">
          <cell r="E26">
            <v>0</v>
          </cell>
          <cell r="F26">
            <v>1</v>
          </cell>
          <cell r="G26">
            <v>5</v>
          </cell>
          <cell r="H26">
            <v>13</v>
          </cell>
          <cell r="I26">
            <v>21</v>
          </cell>
          <cell r="J26">
            <v>57</v>
          </cell>
          <cell r="K26">
            <v>114</v>
          </cell>
          <cell r="L26">
            <v>215</v>
          </cell>
        </row>
      </sheetData>
      <sheetData sheetId="10"/>
      <sheetData sheetId="11"/>
      <sheetData sheetId="12">
        <row r="10">
          <cell r="B10">
            <v>12</v>
          </cell>
          <cell r="E10">
            <v>12</v>
          </cell>
          <cell r="F10">
            <v>0</v>
          </cell>
        </row>
        <row r="22">
          <cell r="B22">
            <v>4557</v>
          </cell>
        </row>
        <row r="23">
          <cell r="B23">
            <v>2</v>
          </cell>
        </row>
        <row r="24">
          <cell r="B24">
            <v>26</v>
          </cell>
        </row>
        <row r="25">
          <cell r="B25">
            <v>1</v>
          </cell>
        </row>
        <row r="26">
          <cell r="B26">
            <v>0</v>
          </cell>
        </row>
      </sheetData>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ebrero"/>
      <sheetName val="Marzo"/>
      <sheetName val="Abril"/>
      <sheetName val="Mayo"/>
      <sheetName val="Junio"/>
      <sheetName val="Julio"/>
      <sheetName val="Agosto"/>
      <sheetName val="Septiembre"/>
      <sheetName val="Octubre"/>
      <sheetName val="Noviembre"/>
      <sheetName val="Diciembre"/>
      <sheetName val="Consolid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5">
          <cell r="B15">
            <v>924</v>
          </cell>
          <cell r="D15">
            <v>5</v>
          </cell>
          <cell r="E15">
            <v>1</v>
          </cell>
          <cell r="F15">
            <v>4</v>
          </cell>
          <cell r="G15">
            <v>0</v>
          </cell>
          <cell r="H15">
            <v>11</v>
          </cell>
          <cell r="I15">
            <v>1</v>
          </cell>
          <cell r="J15">
            <v>37</v>
          </cell>
          <cell r="K15">
            <v>2</v>
          </cell>
          <cell r="L15">
            <v>163</v>
          </cell>
          <cell r="M15">
            <v>1</v>
          </cell>
          <cell r="N15">
            <v>397</v>
          </cell>
          <cell r="O15">
            <v>0</v>
          </cell>
          <cell r="P15">
            <v>249</v>
          </cell>
          <cell r="Q15">
            <v>0</v>
          </cell>
          <cell r="R15">
            <v>49</v>
          </cell>
          <cell r="S15">
            <v>0</v>
          </cell>
          <cell r="T15">
            <v>9</v>
          </cell>
          <cell r="U15">
            <v>0</v>
          </cell>
        </row>
        <row r="16">
          <cell r="B16">
            <v>207</v>
          </cell>
          <cell r="D16">
            <v>0</v>
          </cell>
          <cell r="E16">
            <v>0</v>
          </cell>
          <cell r="F16">
            <v>1</v>
          </cell>
          <cell r="G16">
            <v>0</v>
          </cell>
          <cell r="H16">
            <v>0</v>
          </cell>
          <cell r="I16">
            <v>0</v>
          </cell>
          <cell r="J16">
            <v>8</v>
          </cell>
          <cell r="K16">
            <v>0</v>
          </cell>
          <cell r="L16">
            <v>36</v>
          </cell>
          <cell r="M16">
            <v>0</v>
          </cell>
          <cell r="N16">
            <v>89</v>
          </cell>
          <cell r="O16">
            <v>0</v>
          </cell>
          <cell r="P16">
            <v>56</v>
          </cell>
          <cell r="Q16">
            <v>0</v>
          </cell>
          <cell r="R16">
            <v>16</v>
          </cell>
          <cell r="S16">
            <v>0</v>
          </cell>
          <cell r="T16">
            <v>1</v>
          </cell>
          <cell r="U16">
            <v>0</v>
          </cell>
        </row>
        <row r="17">
          <cell r="B17">
            <v>189</v>
          </cell>
          <cell r="D17">
            <v>0</v>
          </cell>
          <cell r="E17">
            <v>0</v>
          </cell>
          <cell r="F17">
            <v>0</v>
          </cell>
          <cell r="G17">
            <v>0</v>
          </cell>
          <cell r="H17">
            <v>2</v>
          </cell>
          <cell r="I17">
            <v>0</v>
          </cell>
          <cell r="J17">
            <v>9</v>
          </cell>
          <cell r="K17">
            <v>0</v>
          </cell>
          <cell r="L17">
            <v>33</v>
          </cell>
          <cell r="M17">
            <v>0</v>
          </cell>
          <cell r="N17">
            <v>85</v>
          </cell>
          <cell r="O17">
            <v>0</v>
          </cell>
          <cell r="P17">
            <v>47</v>
          </cell>
          <cell r="Q17">
            <v>0</v>
          </cell>
          <cell r="R17">
            <v>13</v>
          </cell>
          <cell r="S17">
            <v>0</v>
          </cell>
          <cell r="T17">
            <v>0</v>
          </cell>
          <cell r="U17">
            <v>0</v>
          </cell>
        </row>
        <row r="18">
          <cell r="B18">
            <v>140</v>
          </cell>
          <cell r="D18">
            <v>0</v>
          </cell>
          <cell r="E18">
            <v>0</v>
          </cell>
          <cell r="F18">
            <v>1</v>
          </cell>
          <cell r="G18">
            <v>0</v>
          </cell>
          <cell r="H18">
            <v>2</v>
          </cell>
          <cell r="I18">
            <v>0</v>
          </cell>
          <cell r="J18">
            <v>6</v>
          </cell>
          <cell r="K18">
            <v>0</v>
          </cell>
          <cell r="L18">
            <v>29</v>
          </cell>
          <cell r="M18">
            <v>0</v>
          </cell>
          <cell r="N18">
            <v>55</v>
          </cell>
          <cell r="O18">
            <v>0</v>
          </cell>
          <cell r="P18">
            <v>34</v>
          </cell>
          <cell r="Q18">
            <v>0</v>
          </cell>
          <cell r="R18">
            <v>9</v>
          </cell>
          <cell r="S18">
            <v>0</v>
          </cell>
          <cell r="T18">
            <v>4</v>
          </cell>
          <cell r="U18">
            <v>0</v>
          </cell>
        </row>
        <row r="20">
          <cell r="B20">
            <v>1116</v>
          </cell>
          <cell r="D20">
            <v>7</v>
          </cell>
          <cell r="E20">
            <v>1</v>
          </cell>
          <cell r="F20">
            <v>6</v>
          </cell>
          <cell r="G20">
            <v>0</v>
          </cell>
          <cell r="H20">
            <v>20</v>
          </cell>
          <cell r="I20">
            <v>2</v>
          </cell>
          <cell r="J20">
            <v>48</v>
          </cell>
          <cell r="K20">
            <v>1</v>
          </cell>
          <cell r="L20">
            <v>204</v>
          </cell>
          <cell r="M20">
            <v>0</v>
          </cell>
          <cell r="N20">
            <v>478</v>
          </cell>
          <cell r="O20">
            <v>0</v>
          </cell>
          <cell r="P20">
            <v>293</v>
          </cell>
          <cell r="Q20">
            <v>0</v>
          </cell>
          <cell r="R20">
            <v>51</v>
          </cell>
          <cell r="S20">
            <v>0</v>
          </cell>
          <cell r="T20">
            <v>9</v>
          </cell>
          <cell r="U20">
            <v>0</v>
          </cell>
        </row>
        <row r="21">
          <cell r="B21">
            <v>218</v>
          </cell>
          <cell r="D21">
            <v>0</v>
          </cell>
          <cell r="E21">
            <v>0</v>
          </cell>
          <cell r="F21">
            <v>2</v>
          </cell>
          <cell r="G21">
            <v>1</v>
          </cell>
          <cell r="H21">
            <v>2</v>
          </cell>
          <cell r="I21">
            <v>0</v>
          </cell>
          <cell r="J21">
            <v>8</v>
          </cell>
          <cell r="K21">
            <v>0</v>
          </cell>
          <cell r="L21">
            <v>35</v>
          </cell>
          <cell r="M21">
            <v>0</v>
          </cell>
          <cell r="N21">
            <v>93</v>
          </cell>
          <cell r="O21">
            <v>0</v>
          </cell>
          <cell r="P21">
            <v>68</v>
          </cell>
          <cell r="Q21">
            <v>0</v>
          </cell>
          <cell r="R21">
            <v>9</v>
          </cell>
          <cell r="S21">
            <v>0</v>
          </cell>
          <cell r="T21">
            <v>1</v>
          </cell>
          <cell r="U21">
            <v>0</v>
          </cell>
        </row>
        <row r="22">
          <cell r="B22">
            <v>206</v>
          </cell>
          <cell r="D22">
            <v>2</v>
          </cell>
          <cell r="E22">
            <v>0</v>
          </cell>
          <cell r="F22">
            <v>2</v>
          </cell>
          <cell r="G22">
            <v>0</v>
          </cell>
          <cell r="H22">
            <v>3</v>
          </cell>
          <cell r="I22">
            <v>0</v>
          </cell>
          <cell r="J22">
            <v>17</v>
          </cell>
          <cell r="K22">
            <v>1</v>
          </cell>
          <cell r="L22">
            <v>26</v>
          </cell>
          <cell r="M22">
            <v>0</v>
          </cell>
          <cell r="N22">
            <v>88</v>
          </cell>
          <cell r="O22">
            <v>0</v>
          </cell>
          <cell r="P22">
            <v>51</v>
          </cell>
          <cell r="Q22">
            <v>0</v>
          </cell>
          <cell r="R22">
            <v>14</v>
          </cell>
          <cell r="S22">
            <v>0</v>
          </cell>
          <cell r="T22">
            <v>3</v>
          </cell>
          <cell r="U22">
            <v>0</v>
          </cell>
        </row>
        <row r="23">
          <cell r="B23">
            <v>106</v>
          </cell>
          <cell r="D23">
            <v>0</v>
          </cell>
          <cell r="E23">
            <v>0</v>
          </cell>
          <cell r="F23">
            <v>0</v>
          </cell>
          <cell r="G23">
            <v>0</v>
          </cell>
          <cell r="H23">
            <v>3</v>
          </cell>
          <cell r="I23">
            <v>0</v>
          </cell>
          <cell r="J23">
            <v>3</v>
          </cell>
          <cell r="K23">
            <v>0</v>
          </cell>
          <cell r="L23">
            <v>11</v>
          </cell>
          <cell r="M23">
            <v>0</v>
          </cell>
          <cell r="N23">
            <v>43</v>
          </cell>
          <cell r="O23">
            <v>0</v>
          </cell>
          <cell r="P23">
            <v>31</v>
          </cell>
          <cell r="Q23">
            <v>0</v>
          </cell>
          <cell r="R23">
            <v>14</v>
          </cell>
          <cell r="S23">
            <v>0</v>
          </cell>
          <cell r="T23">
            <v>1</v>
          </cell>
          <cell r="U23">
            <v>0</v>
          </cell>
        </row>
        <row r="24">
          <cell r="B24">
            <v>333</v>
          </cell>
          <cell r="D24">
            <v>1</v>
          </cell>
          <cell r="E24">
            <v>1</v>
          </cell>
          <cell r="F24">
            <v>2</v>
          </cell>
          <cell r="G24">
            <v>1</v>
          </cell>
          <cell r="H24">
            <v>0</v>
          </cell>
          <cell r="I24">
            <v>2</v>
          </cell>
          <cell r="J24">
            <v>9</v>
          </cell>
          <cell r="K24">
            <v>0</v>
          </cell>
          <cell r="L24">
            <v>59</v>
          </cell>
          <cell r="M24">
            <v>0</v>
          </cell>
          <cell r="N24">
            <v>141</v>
          </cell>
          <cell r="O24">
            <v>0</v>
          </cell>
          <cell r="P24">
            <v>96</v>
          </cell>
          <cell r="Q24">
            <v>0</v>
          </cell>
          <cell r="R24">
            <v>24</v>
          </cell>
          <cell r="S24">
            <v>0</v>
          </cell>
          <cell r="T24">
            <v>1</v>
          </cell>
          <cell r="U24">
            <v>0</v>
          </cell>
        </row>
        <row r="25">
          <cell r="B25">
            <v>174</v>
          </cell>
          <cell r="D25">
            <v>0</v>
          </cell>
          <cell r="E25">
            <v>0</v>
          </cell>
          <cell r="F25">
            <v>0</v>
          </cell>
          <cell r="G25">
            <v>0</v>
          </cell>
          <cell r="H25">
            <v>1</v>
          </cell>
          <cell r="I25">
            <v>0</v>
          </cell>
          <cell r="J25">
            <v>6</v>
          </cell>
          <cell r="K25">
            <v>0</v>
          </cell>
          <cell r="L25">
            <v>30</v>
          </cell>
          <cell r="M25">
            <v>0</v>
          </cell>
          <cell r="N25">
            <v>80</v>
          </cell>
          <cell r="O25">
            <v>0</v>
          </cell>
          <cell r="P25">
            <v>45</v>
          </cell>
          <cell r="Q25">
            <v>0</v>
          </cell>
          <cell r="R25">
            <v>12</v>
          </cell>
          <cell r="S25">
            <v>0</v>
          </cell>
          <cell r="T25">
            <v>0</v>
          </cell>
          <cell r="U25">
            <v>0</v>
          </cell>
        </row>
        <row r="102">
          <cell r="C102">
            <v>16</v>
          </cell>
          <cell r="D102">
            <v>309</v>
          </cell>
          <cell r="E102">
            <v>581</v>
          </cell>
          <cell r="F102">
            <v>555</v>
          </cell>
          <cell r="G102">
            <v>494</v>
          </cell>
          <cell r="H102">
            <v>236</v>
          </cell>
          <cell r="I102">
            <v>63</v>
          </cell>
          <cell r="J102">
            <v>2</v>
          </cell>
        </row>
        <row r="103">
          <cell r="C103">
            <v>2</v>
          </cell>
          <cell r="D103">
            <v>5</v>
          </cell>
          <cell r="E103">
            <v>18</v>
          </cell>
          <cell r="F103">
            <v>24</v>
          </cell>
          <cell r="G103">
            <v>33</v>
          </cell>
          <cell r="H103">
            <v>17</v>
          </cell>
          <cell r="I103">
            <v>12</v>
          </cell>
          <cell r="J103">
            <v>2</v>
          </cell>
        </row>
        <row r="121">
          <cell r="D121">
            <v>16</v>
          </cell>
          <cell r="E121">
            <v>2</v>
          </cell>
          <cell r="F121">
            <v>19</v>
          </cell>
          <cell r="G121">
            <v>2</v>
          </cell>
          <cell r="H121">
            <v>40</v>
          </cell>
          <cell r="I121">
            <v>5</v>
          </cell>
          <cell r="J121">
            <v>106</v>
          </cell>
          <cell r="K121">
            <v>2</v>
          </cell>
          <cell r="L121">
            <v>385</v>
          </cell>
          <cell r="M121">
            <v>0</v>
          </cell>
          <cell r="N121">
            <v>952</v>
          </cell>
          <cell r="O121">
            <v>0</v>
          </cell>
          <cell r="P121">
            <v>604</v>
          </cell>
          <cell r="Q121">
            <v>0</v>
          </cell>
          <cell r="R121">
            <v>131</v>
          </cell>
          <cell r="S121">
            <v>0</v>
          </cell>
          <cell r="T121">
            <v>15</v>
          </cell>
          <cell r="U121">
            <v>0</v>
          </cell>
        </row>
        <row r="127">
          <cell r="D127">
            <v>211</v>
          </cell>
          <cell r="F127">
            <v>2045</v>
          </cell>
        </row>
        <row r="128">
          <cell r="B128">
            <v>990</v>
          </cell>
          <cell r="L128">
            <v>3</v>
          </cell>
        </row>
        <row r="129">
          <cell r="B129">
            <v>16</v>
          </cell>
          <cell r="L129">
            <v>0</v>
          </cell>
        </row>
        <row r="130">
          <cell r="B130">
            <v>1250</v>
          </cell>
          <cell r="L130">
            <v>20</v>
          </cell>
        </row>
        <row r="135">
          <cell r="D135">
            <v>532</v>
          </cell>
          <cell r="E135">
            <v>1403</v>
          </cell>
        </row>
        <row r="137">
          <cell r="F137">
            <v>1377</v>
          </cell>
          <cell r="G137">
            <v>879</v>
          </cell>
          <cell r="H137">
            <v>0</v>
          </cell>
        </row>
        <row r="197">
          <cell r="C197">
            <v>7</v>
          </cell>
          <cell r="D197">
            <v>180</v>
          </cell>
          <cell r="E197">
            <v>354</v>
          </cell>
          <cell r="F197">
            <v>341</v>
          </cell>
          <cell r="G197">
            <v>271</v>
          </cell>
          <cell r="H197">
            <v>141</v>
          </cell>
          <cell r="I197">
            <v>44</v>
          </cell>
          <cell r="J197">
            <v>4</v>
          </cell>
        </row>
        <row r="198">
          <cell r="C198">
            <v>0</v>
          </cell>
          <cell r="D198">
            <v>18</v>
          </cell>
          <cell r="E198">
            <v>52</v>
          </cell>
          <cell r="F198">
            <v>59</v>
          </cell>
          <cell r="G198">
            <v>34</v>
          </cell>
          <cell r="H198">
            <v>34</v>
          </cell>
          <cell r="I198">
            <v>22</v>
          </cell>
          <cell r="J198">
            <v>2</v>
          </cell>
        </row>
        <row r="216">
          <cell r="D216">
            <v>0</v>
          </cell>
          <cell r="E216">
            <v>1</v>
          </cell>
          <cell r="F216">
            <v>0</v>
          </cell>
          <cell r="G216">
            <v>0</v>
          </cell>
          <cell r="H216">
            <v>4</v>
          </cell>
          <cell r="I216">
            <v>0</v>
          </cell>
          <cell r="J216">
            <v>47</v>
          </cell>
          <cell r="K216">
            <v>2</v>
          </cell>
          <cell r="L216">
            <v>241</v>
          </cell>
          <cell r="M216">
            <v>1</v>
          </cell>
          <cell r="N216">
            <v>603</v>
          </cell>
          <cell r="O216">
            <v>0</v>
          </cell>
          <cell r="P216">
            <v>361</v>
          </cell>
          <cell r="Q216">
            <v>0</v>
          </cell>
          <cell r="R216">
            <v>82</v>
          </cell>
          <cell r="S216">
            <v>0</v>
          </cell>
          <cell r="T216">
            <v>14</v>
          </cell>
          <cell r="U216">
            <v>0</v>
          </cell>
        </row>
        <row r="222">
          <cell r="D222">
            <v>94</v>
          </cell>
          <cell r="F222">
            <v>1248</v>
          </cell>
        </row>
        <row r="223">
          <cell r="B223">
            <v>570</v>
          </cell>
          <cell r="L223">
            <v>1</v>
          </cell>
        </row>
        <row r="224">
          <cell r="B224">
            <v>32</v>
          </cell>
          <cell r="L224">
            <v>0</v>
          </cell>
        </row>
        <row r="225">
          <cell r="B225">
            <v>740</v>
          </cell>
          <cell r="L225">
            <v>13</v>
          </cell>
        </row>
        <row r="230">
          <cell r="D230">
            <v>289</v>
          </cell>
          <cell r="E230">
            <v>745</v>
          </cell>
        </row>
        <row r="232">
          <cell r="F232">
            <v>897</v>
          </cell>
          <cell r="G232">
            <v>444</v>
          </cell>
          <cell r="H232">
            <v>1</v>
          </cell>
        </row>
        <row r="292">
          <cell r="C292">
            <v>0</v>
          </cell>
          <cell r="D292">
            <v>0</v>
          </cell>
          <cell r="E292">
            <v>1</v>
          </cell>
          <cell r="F292">
            <v>0</v>
          </cell>
          <cell r="G292">
            <v>1</v>
          </cell>
          <cell r="H292">
            <v>0</v>
          </cell>
          <cell r="I292">
            <v>0</v>
          </cell>
          <cell r="J292">
            <v>0</v>
          </cell>
        </row>
        <row r="293">
          <cell r="C293">
            <v>0</v>
          </cell>
          <cell r="D293">
            <v>0</v>
          </cell>
          <cell r="E293">
            <v>0</v>
          </cell>
          <cell r="F293">
            <v>0</v>
          </cell>
          <cell r="G293">
            <v>0</v>
          </cell>
          <cell r="H293">
            <v>0</v>
          </cell>
          <cell r="I293">
            <v>0</v>
          </cell>
          <cell r="J293">
            <v>0</v>
          </cell>
        </row>
        <row r="311">
          <cell r="D311">
            <v>0</v>
          </cell>
          <cell r="E311">
            <v>0</v>
          </cell>
          <cell r="F311">
            <v>0</v>
          </cell>
          <cell r="G311">
            <v>0</v>
          </cell>
          <cell r="H311">
            <v>0</v>
          </cell>
          <cell r="I311">
            <v>0</v>
          </cell>
          <cell r="J311">
            <v>0</v>
          </cell>
          <cell r="K311">
            <v>0</v>
          </cell>
          <cell r="L311">
            <v>0</v>
          </cell>
          <cell r="M311">
            <v>0</v>
          </cell>
          <cell r="N311">
            <v>2</v>
          </cell>
          <cell r="O311">
            <v>0</v>
          </cell>
          <cell r="P311">
            <v>0</v>
          </cell>
          <cell r="Q311">
            <v>0</v>
          </cell>
          <cell r="R311">
            <v>0</v>
          </cell>
          <cell r="S311">
            <v>0</v>
          </cell>
          <cell r="T311">
            <v>0</v>
          </cell>
          <cell r="U311">
            <v>0</v>
          </cell>
        </row>
        <row r="317">
          <cell r="D317">
            <v>0</v>
          </cell>
          <cell r="F317">
            <v>2</v>
          </cell>
        </row>
        <row r="318">
          <cell r="B318">
            <v>2</v>
          </cell>
          <cell r="L318">
            <v>0</v>
          </cell>
        </row>
        <row r="319">
          <cell r="B319">
            <v>0</v>
          </cell>
          <cell r="L319">
            <v>0</v>
          </cell>
        </row>
        <row r="320">
          <cell r="B320">
            <v>0</v>
          </cell>
          <cell r="L320">
            <v>0</v>
          </cell>
        </row>
        <row r="325">
          <cell r="D325">
            <v>0</v>
          </cell>
        </row>
        <row r="327">
          <cell r="E327">
            <v>2</v>
          </cell>
          <cell r="F327">
            <v>0</v>
          </cell>
          <cell r="G327">
            <v>1</v>
          </cell>
          <cell r="H327">
            <v>1</v>
          </cell>
        </row>
        <row r="387">
          <cell r="C387">
            <v>0</v>
          </cell>
          <cell r="D387">
            <v>2</v>
          </cell>
          <cell r="E387">
            <v>5</v>
          </cell>
          <cell r="F387">
            <v>11</v>
          </cell>
          <cell r="G387">
            <v>6</v>
          </cell>
          <cell r="H387">
            <v>7</v>
          </cell>
          <cell r="I387">
            <v>1</v>
          </cell>
          <cell r="J387">
            <v>0</v>
          </cell>
        </row>
        <row r="388">
          <cell r="C388">
            <v>0</v>
          </cell>
          <cell r="D388">
            <v>0</v>
          </cell>
          <cell r="E388">
            <v>0</v>
          </cell>
          <cell r="F388">
            <v>0</v>
          </cell>
          <cell r="G388">
            <v>0</v>
          </cell>
          <cell r="H388">
            <v>0</v>
          </cell>
          <cell r="I388">
            <v>0</v>
          </cell>
          <cell r="J388">
            <v>0</v>
          </cell>
        </row>
        <row r="406">
          <cell r="D406">
            <v>0</v>
          </cell>
          <cell r="E406">
            <v>0</v>
          </cell>
          <cell r="F406">
            <v>0</v>
          </cell>
          <cell r="G406">
            <v>0</v>
          </cell>
          <cell r="H406">
            <v>0</v>
          </cell>
          <cell r="I406">
            <v>0</v>
          </cell>
          <cell r="J406">
            <v>0</v>
          </cell>
          <cell r="K406">
            <v>0</v>
          </cell>
          <cell r="L406">
            <v>7</v>
          </cell>
          <cell r="M406">
            <v>0</v>
          </cell>
          <cell r="N406">
            <v>14</v>
          </cell>
          <cell r="O406">
            <v>0</v>
          </cell>
          <cell r="P406">
            <v>11</v>
          </cell>
          <cell r="Q406">
            <v>0</v>
          </cell>
          <cell r="R406">
            <v>0</v>
          </cell>
          <cell r="S406">
            <v>0</v>
          </cell>
          <cell r="T406">
            <v>0</v>
          </cell>
          <cell r="U406">
            <v>0</v>
          </cell>
        </row>
        <row r="412">
          <cell r="D412">
            <v>0</v>
          </cell>
          <cell r="F412">
            <v>32</v>
          </cell>
        </row>
        <row r="413">
          <cell r="B413">
            <v>6</v>
          </cell>
          <cell r="L413">
            <v>0</v>
          </cell>
        </row>
        <row r="414">
          <cell r="B414">
            <v>0</v>
          </cell>
          <cell r="L414">
            <v>0</v>
          </cell>
        </row>
        <row r="415">
          <cell r="B415">
            <v>26</v>
          </cell>
          <cell r="L415">
            <v>0</v>
          </cell>
        </row>
        <row r="422">
          <cell r="F422">
            <v>32</v>
          </cell>
          <cell r="G422">
            <v>0</v>
          </cell>
          <cell r="H422">
            <v>0</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sheetData sheetId="3"/>
      <sheetData sheetId="4"/>
      <sheetData sheetId="5"/>
      <sheetData sheetId="6"/>
      <sheetData sheetId="7"/>
      <sheetData sheetId="8"/>
      <sheetData sheetId="9">
        <row r="11">
          <cell r="D11">
            <v>443</v>
          </cell>
        </row>
        <row r="13">
          <cell r="D13">
            <v>12</v>
          </cell>
        </row>
        <row r="21">
          <cell r="E21">
            <v>36</v>
          </cell>
          <cell r="F21">
            <v>29</v>
          </cell>
          <cell r="G21">
            <v>36</v>
          </cell>
          <cell r="H21">
            <v>35</v>
          </cell>
          <cell r="I21">
            <v>19</v>
          </cell>
          <cell r="J21">
            <v>25</v>
          </cell>
          <cell r="K21">
            <v>113</v>
          </cell>
          <cell r="L21">
            <v>46</v>
          </cell>
        </row>
        <row r="22">
          <cell r="E22">
            <v>0</v>
          </cell>
          <cell r="F22">
            <v>4</v>
          </cell>
          <cell r="G22">
            <v>0</v>
          </cell>
          <cell r="H22">
            <v>1</v>
          </cell>
          <cell r="I22">
            <v>24</v>
          </cell>
          <cell r="J22">
            <v>18</v>
          </cell>
          <cell r="K22">
            <v>68</v>
          </cell>
          <cell r="L22">
            <v>20</v>
          </cell>
        </row>
        <row r="23">
          <cell r="E23">
            <v>10</v>
          </cell>
          <cell r="F23">
            <v>19</v>
          </cell>
          <cell r="G23">
            <v>22</v>
          </cell>
          <cell r="H23">
            <v>16</v>
          </cell>
          <cell r="I23">
            <v>6</v>
          </cell>
          <cell r="J23">
            <v>21</v>
          </cell>
          <cell r="K23">
            <v>67</v>
          </cell>
          <cell r="L23">
            <v>8</v>
          </cell>
        </row>
        <row r="24">
          <cell r="E24">
            <v>0</v>
          </cell>
          <cell r="F24">
            <v>0</v>
          </cell>
          <cell r="G24">
            <v>1</v>
          </cell>
          <cell r="H24">
            <v>0</v>
          </cell>
          <cell r="I24">
            <v>1</v>
          </cell>
          <cell r="J24">
            <v>0</v>
          </cell>
          <cell r="K24">
            <v>1</v>
          </cell>
          <cell r="L24">
            <v>1</v>
          </cell>
        </row>
        <row r="25">
          <cell r="E25">
            <v>0</v>
          </cell>
          <cell r="F25">
            <v>0</v>
          </cell>
          <cell r="G25">
            <v>0</v>
          </cell>
          <cell r="H25">
            <v>0</v>
          </cell>
          <cell r="I25">
            <v>0</v>
          </cell>
          <cell r="J25">
            <v>0</v>
          </cell>
          <cell r="K25">
            <v>0</v>
          </cell>
          <cell r="L25">
            <v>0</v>
          </cell>
        </row>
        <row r="26">
          <cell r="E26">
            <v>0</v>
          </cell>
          <cell r="F26">
            <v>1</v>
          </cell>
          <cell r="G26">
            <v>3</v>
          </cell>
          <cell r="H26">
            <v>3</v>
          </cell>
          <cell r="I26">
            <v>5</v>
          </cell>
          <cell r="J26">
            <v>11</v>
          </cell>
          <cell r="K26">
            <v>24</v>
          </cell>
          <cell r="L26">
            <v>26</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Cumplimiento Actividad"/>
      <sheetName val="Resumen Cumplimiento PP"/>
      <sheetName val="CONSOLIDADO"/>
      <sheetName val="HOSCA"/>
      <sheetName val="HOSLA"/>
      <sheetName val="LLAY LLAY"/>
      <sheetName val="HPUT"/>
      <sheetName val="PSIQ"/>
    </sheetNames>
    <sheetDataSet>
      <sheetData sheetId="0"/>
      <sheetData sheetId="1"/>
      <sheetData sheetId="2"/>
      <sheetData sheetId="3">
        <row r="15">
          <cell r="E15">
            <v>8431</v>
          </cell>
        </row>
        <row r="48">
          <cell r="E48">
            <v>101</v>
          </cell>
        </row>
        <row r="71">
          <cell r="E71">
            <v>580</v>
          </cell>
        </row>
        <row r="91">
          <cell r="E91">
            <v>765</v>
          </cell>
        </row>
        <row r="94">
          <cell r="E94">
            <v>3146</v>
          </cell>
        </row>
        <row r="101">
          <cell r="E101">
            <v>1510</v>
          </cell>
        </row>
        <row r="110">
          <cell r="E110">
            <v>2883</v>
          </cell>
        </row>
        <row r="115">
          <cell r="E115">
            <v>1863</v>
          </cell>
        </row>
        <row r="136">
          <cell r="E136">
            <v>6</v>
          </cell>
        </row>
        <row r="146">
          <cell r="E146">
            <v>0</v>
          </cell>
        </row>
        <row r="152">
          <cell r="E152">
            <v>2117</v>
          </cell>
        </row>
        <row r="157">
          <cell r="E157">
            <v>0</v>
          </cell>
        </row>
        <row r="162">
          <cell r="E162">
            <v>2</v>
          </cell>
        </row>
        <row r="174">
          <cell r="E174">
            <v>0</v>
          </cell>
        </row>
        <row r="188">
          <cell r="E188">
            <v>0</v>
          </cell>
        </row>
        <row r="194">
          <cell r="E194">
            <v>0</v>
          </cell>
        </row>
        <row r="210">
          <cell r="E210">
            <v>26</v>
          </cell>
        </row>
        <row r="221">
          <cell r="E221">
            <v>569</v>
          </cell>
        </row>
        <row r="228">
          <cell r="E228">
            <v>99</v>
          </cell>
        </row>
        <row r="233">
          <cell r="E233">
            <v>433</v>
          </cell>
        </row>
        <row r="238">
          <cell r="E238">
            <v>507</v>
          </cell>
        </row>
        <row r="248">
          <cell r="E248">
            <v>158</v>
          </cell>
        </row>
        <row r="252">
          <cell r="E252">
            <v>66</v>
          </cell>
        </row>
        <row r="261">
          <cell r="E261">
            <v>0</v>
          </cell>
        </row>
        <row r="272">
          <cell r="E272">
            <v>6271</v>
          </cell>
        </row>
        <row r="276">
          <cell r="E276">
            <v>138</v>
          </cell>
        </row>
        <row r="281">
          <cell r="E281">
            <v>410</v>
          </cell>
        </row>
        <row r="286">
          <cell r="E286">
            <v>56</v>
          </cell>
        </row>
        <row r="291">
          <cell r="E291">
            <v>0</v>
          </cell>
        </row>
        <row r="297">
          <cell r="E297">
            <v>0</v>
          </cell>
        </row>
        <row r="302">
          <cell r="E302">
            <v>0</v>
          </cell>
        </row>
        <row r="307">
          <cell r="E307">
            <v>2055</v>
          </cell>
        </row>
        <row r="316">
          <cell r="E316">
            <v>1036</v>
          </cell>
        </row>
        <row r="321">
          <cell r="E321">
            <v>779</v>
          </cell>
        </row>
        <row r="324">
          <cell r="E324">
            <v>539</v>
          </cell>
        </row>
        <row r="328">
          <cell r="E328">
            <v>28</v>
          </cell>
        </row>
        <row r="337">
          <cell r="E337">
            <v>0</v>
          </cell>
        </row>
        <row r="340">
          <cell r="E340">
            <v>1</v>
          </cell>
        </row>
        <row r="347">
          <cell r="E347">
            <v>10</v>
          </cell>
        </row>
        <row r="357">
          <cell r="E357">
            <v>62</v>
          </cell>
        </row>
        <row r="361">
          <cell r="E361">
            <v>22</v>
          </cell>
        </row>
        <row r="381">
          <cell r="E381">
            <v>328</v>
          </cell>
        </row>
        <row r="389">
          <cell r="E389">
            <v>0</v>
          </cell>
        </row>
        <row r="393">
          <cell r="E393">
            <v>2</v>
          </cell>
        </row>
        <row r="394">
          <cell r="E394">
            <v>0</v>
          </cell>
        </row>
        <row r="396">
          <cell r="E396">
            <v>32</v>
          </cell>
        </row>
        <row r="400">
          <cell r="E400">
            <v>4</v>
          </cell>
        </row>
        <row r="406">
          <cell r="E406">
            <v>0</v>
          </cell>
        </row>
        <row r="414">
          <cell r="E414">
            <v>0</v>
          </cell>
        </row>
        <row r="417">
          <cell r="E417">
            <v>0</v>
          </cell>
        </row>
        <row r="422">
          <cell r="E422">
            <v>690</v>
          </cell>
        </row>
        <row r="425">
          <cell r="E425">
            <v>0</v>
          </cell>
        </row>
        <row r="451">
          <cell r="E451">
            <v>1500</v>
          </cell>
        </row>
        <row r="454">
          <cell r="E454">
            <v>29</v>
          </cell>
        </row>
        <row r="462">
          <cell r="E462">
            <v>27</v>
          </cell>
        </row>
        <row r="467">
          <cell r="E467">
            <v>28</v>
          </cell>
        </row>
        <row r="475">
          <cell r="E475">
            <v>505</v>
          </cell>
        </row>
        <row r="478">
          <cell r="E478">
            <v>588</v>
          </cell>
        </row>
        <row r="482">
          <cell r="E482">
            <v>440</v>
          </cell>
        </row>
        <row r="486">
          <cell r="E486">
            <v>0</v>
          </cell>
        </row>
        <row r="490">
          <cell r="E490">
            <v>700</v>
          </cell>
        </row>
        <row r="493">
          <cell r="E493">
            <v>0</v>
          </cell>
        </row>
        <row r="497">
          <cell r="E497">
            <v>130</v>
          </cell>
        </row>
        <row r="500">
          <cell r="E500">
            <v>120</v>
          </cell>
        </row>
        <row r="506">
          <cell r="E506">
            <v>2</v>
          </cell>
        </row>
        <row r="512">
          <cell r="E512">
            <v>17</v>
          </cell>
        </row>
        <row r="517">
          <cell r="E517">
            <v>109</v>
          </cell>
        </row>
        <row r="527">
          <cell r="E527">
            <v>0</v>
          </cell>
        </row>
        <row r="538">
          <cell r="E538">
            <v>0</v>
          </cell>
        </row>
        <row r="554">
          <cell r="E554">
            <v>0</v>
          </cell>
        </row>
        <row r="562">
          <cell r="E562">
            <v>280</v>
          </cell>
        </row>
        <row r="569">
          <cell r="E569">
            <v>0</v>
          </cell>
        </row>
        <row r="573">
          <cell r="E573">
            <v>0</v>
          </cell>
        </row>
        <row r="577">
          <cell r="E577">
            <v>2</v>
          </cell>
        </row>
        <row r="584">
          <cell r="E584">
            <v>2</v>
          </cell>
        </row>
        <row r="593">
          <cell r="E593">
            <v>183</v>
          </cell>
        </row>
        <row r="600">
          <cell r="E600">
            <v>5</v>
          </cell>
        </row>
      </sheetData>
      <sheetData sheetId="4">
        <row r="15">
          <cell r="E15">
            <v>611</v>
          </cell>
        </row>
        <row r="48">
          <cell r="E48">
            <v>0</v>
          </cell>
        </row>
        <row r="71">
          <cell r="E71">
            <v>425</v>
          </cell>
        </row>
        <row r="91">
          <cell r="E91">
            <v>859</v>
          </cell>
        </row>
        <row r="94">
          <cell r="E94">
            <v>2566</v>
          </cell>
        </row>
        <row r="101">
          <cell r="E101">
            <v>1467</v>
          </cell>
        </row>
        <row r="110">
          <cell r="E110">
            <v>5092</v>
          </cell>
        </row>
        <row r="115">
          <cell r="E115">
            <v>1589</v>
          </cell>
        </row>
        <row r="136">
          <cell r="E136">
            <v>0</v>
          </cell>
        </row>
        <row r="146">
          <cell r="E146">
            <v>0</v>
          </cell>
        </row>
        <row r="152">
          <cell r="E152">
            <v>0</v>
          </cell>
        </row>
        <row r="157">
          <cell r="E157">
            <v>224</v>
          </cell>
        </row>
        <row r="162">
          <cell r="E162">
            <v>19</v>
          </cell>
        </row>
        <row r="174">
          <cell r="E174">
            <v>0</v>
          </cell>
        </row>
        <row r="188">
          <cell r="E188">
            <v>0</v>
          </cell>
        </row>
        <row r="194">
          <cell r="E194">
            <v>108</v>
          </cell>
        </row>
        <row r="210">
          <cell r="E210">
            <v>20</v>
          </cell>
        </row>
        <row r="221">
          <cell r="E221">
            <v>1530</v>
          </cell>
        </row>
        <row r="228">
          <cell r="E228">
            <v>0</v>
          </cell>
        </row>
        <row r="233">
          <cell r="E233">
            <v>436</v>
          </cell>
        </row>
        <row r="238">
          <cell r="E238">
            <v>34</v>
          </cell>
        </row>
        <row r="248">
          <cell r="E248">
            <v>130</v>
          </cell>
        </row>
        <row r="252">
          <cell r="E252">
            <v>57</v>
          </cell>
        </row>
        <row r="261">
          <cell r="E261">
            <v>1599</v>
          </cell>
        </row>
        <row r="272">
          <cell r="E272">
            <v>0</v>
          </cell>
        </row>
        <row r="276">
          <cell r="E276">
            <v>0</v>
          </cell>
        </row>
        <row r="281">
          <cell r="E281">
            <v>0</v>
          </cell>
        </row>
        <row r="286">
          <cell r="E286">
            <v>0</v>
          </cell>
        </row>
        <row r="291">
          <cell r="E291">
            <v>0</v>
          </cell>
        </row>
        <row r="297">
          <cell r="E297">
            <v>0</v>
          </cell>
        </row>
        <row r="302">
          <cell r="E302">
            <v>2005</v>
          </cell>
        </row>
        <row r="307">
          <cell r="E307">
            <v>1821</v>
          </cell>
        </row>
        <row r="316">
          <cell r="E316">
            <v>1715</v>
          </cell>
        </row>
        <row r="321">
          <cell r="E321">
            <v>599</v>
          </cell>
        </row>
        <row r="324">
          <cell r="E324">
            <v>582</v>
          </cell>
        </row>
        <row r="328">
          <cell r="E328">
            <v>0</v>
          </cell>
        </row>
        <row r="337">
          <cell r="E337">
            <v>75</v>
          </cell>
        </row>
        <row r="340">
          <cell r="E340">
            <v>0</v>
          </cell>
        </row>
        <row r="347">
          <cell r="E347">
            <v>2</v>
          </cell>
        </row>
        <row r="357">
          <cell r="E357">
            <v>0</v>
          </cell>
        </row>
        <row r="361">
          <cell r="E361">
            <v>0</v>
          </cell>
        </row>
        <row r="381">
          <cell r="E381">
            <v>1</v>
          </cell>
        </row>
        <row r="389">
          <cell r="E389">
            <v>0</v>
          </cell>
        </row>
        <row r="393">
          <cell r="E393">
            <v>2</v>
          </cell>
        </row>
        <row r="394">
          <cell r="E394">
            <v>0</v>
          </cell>
        </row>
        <row r="396">
          <cell r="E396">
            <v>1</v>
          </cell>
        </row>
        <row r="400">
          <cell r="E400">
            <v>0</v>
          </cell>
        </row>
        <row r="406">
          <cell r="E406">
            <v>0</v>
          </cell>
        </row>
        <row r="414">
          <cell r="E414">
            <v>5238</v>
          </cell>
        </row>
        <row r="417">
          <cell r="E417">
            <v>0</v>
          </cell>
        </row>
        <row r="422">
          <cell r="E422">
            <v>419</v>
          </cell>
        </row>
        <row r="425">
          <cell r="E425">
            <v>0</v>
          </cell>
        </row>
        <row r="451">
          <cell r="E451">
            <v>0</v>
          </cell>
        </row>
        <row r="454">
          <cell r="E454">
            <v>0</v>
          </cell>
        </row>
        <row r="462">
          <cell r="E462">
            <v>0</v>
          </cell>
        </row>
        <row r="467">
          <cell r="E467">
            <v>0</v>
          </cell>
        </row>
        <row r="475">
          <cell r="E475">
            <v>0</v>
          </cell>
        </row>
        <row r="478">
          <cell r="E478">
            <v>1225</v>
          </cell>
        </row>
        <row r="482">
          <cell r="E482">
            <v>0</v>
          </cell>
        </row>
        <row r="486">
          <cell r="E486">
            <v>4</v>
          </cell>
        </row>
        <row r="490">
          <cell r="E490">
            <v>87</v>
          </cell>
        </row>
        <row r="493">
          <cell r="E493">
            <v>568</v>
          </cell>
        </row>
        <row r="497">
          <cell r="E497">
            <v>0</v>
          </cell>
        </row>
        <row r="500">
          <cell r="E500">
            <v>0</v>
          </cell>
        </row>
        <row r="506">
          <cell r="E506">
            <v>3</v>
          </cell>
        </row>
        <row r="512">
          <cell r="E512">
            <v>16</v>
          </cell>
        </row>
        <row r="517">
          <cell r="E517">
            <v>72</v>
          </cell>
        </row>
        <row r="527">
          <cell r="E527">
            <v>0</v>
          </cell>
        </row>
        <row r="538">
          <cell r="E538">
            <v>47</v>
          </cell>
        </row>
        <row r="554">
          <cell r="E554">
            <v>0</v>
          </cell>
        </row>
        <row r="562">
          <cell r="E562">
            <v>0</v>
          </cell>
        </row>
        <row r="569">
          <cell r="E569">
            <v>0</v>
          </cell>
        </row>
        <row r="573">
          <cell r="E573">
            <v>0</v>
          </cell>
        </row>
        <row r="577">
          <cell r="E577">
            <v>0</v>
          </cell>
        </row>
        <row r="584">
          <cell r="E584">
            <v>1303</v>
          </cell>
        </row>
        <row r="593">
          <cell r="E593">
            <v>0</v>
          </cell>
        </row>
        <row r="600">
          <cell r="E600">
            <v>2</v>
          </cell>
        </row>
      </sheetData>
      <sheetData sheetId="5">
        <row r="91">
          <cell r="E91">
            <v>316</v>
          </cell>
        </row>
        <row r="94">
          <cell r="E94">
            <v>755</v>
          </cell>
        </row>
      </sheetData>
      <sheetData sheetId="6">
        <row r="94">
          <cell r="E94">
            <v>152</v>
          </cell>
        </row>
      </sheetData>
      <sheetData sheetId="7">
        <row r="188">
          <cell r="E188">
            <v>645</v>
          </cell>
        </row>
        <row r="297">
          <cell r="E297">
            <v>4783</v>
          </cell>
        </row>
        <row r="569">
          <cell r="E569">
            <v>443</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0">
          <cell r="B10">
            <v>531</v>
          </cell>
          <cell r="E10">
            <v>305</v>
          </cell>
          <cell r="F10">
            <v>211</v>
          </cell>
        </row>
        <row r="22">
          <cell r="B22">
            <v>21129</v>
          </cell>
        </row>
        <row r="23">
          <cell r="B23">
            <v>43</v>
          </cell>
        </row>
        <row r="24">
          <cell r="B24">
            <v>294</v>
          </cell>
        </row>
        <row r="25">
          <cell r="B25">
            <v>81</v>
          </cell>
        </row>
        <row r="26">
          <cell r="B26">
            <v>15</v>
          </cell>
        </row>
      </sheetData>
      <sheetData sheetId="13"/>
      <sheetData sheetId="14"/>
      <sheetData sheetId="15"/>
      <sheetData sheetId="16"/>
      <sheetData sheetId="17"/>
      <sheetData sheetId="18"/>
      <sheetData sheetId="19"/>
      <sheetData sheetId="20"/>
      <sheetData sheetId="2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0">
          <cell r="B10">
            <v>601</v>
          </cell>
          <cell r="E10">
            <v>345</v>
          </cell>
          <cell r="F10">
            <v>244</v>
          </cell>
        </row>
        <row r="22">
          <cell r="B22">
            <v>7142</v>
          </cell>
        </row>
        <row r="23">
          <cell r="B23">
            <v>15</v>
          </cell>
        </row>
        <row r="24">
          <cell r="B24">
            <v>208</v>
          </cell>
        </row>
        <row r="25">
          <cell r="B25">
            <v>197</v>
          </cell>
        </row>
        <row r="26">
          <cell r="B26">
            <v>14</v>
          </cell>
        </row>
      </sheetData>
      <sheetData sheetId="13"/>
      <sheetData sheetId="14"/>
      <sheetData sheetId="15"/>
      <sheetData sheetId="16"/>
      <sheetData sheetId="17"/>
      <sheetData sheetId="18"/>
      <sheetData sheetId="19"/>
      <sheetData sheetId="20"/>
      <sheetData sheetId="2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0">
          <cell r="B10">
            <v>26</v>
          </cell>
          <cell r="E10">
            <v>26</v>
          </cell>
          <cell r="F10">
            <v>0</v>
          </cell>
        </row>
        <row r="22">
          <cell r="B22">
            <v>3808</v>
          </cell>
        </row>
        <row r="23">
          <cell r="B23">
            <v>1</v>
          </cell>
        </row>
        <row r="24">
          <cell r="B24">
            <v>39</v>
          </cell>
        </row>
        <row r="25">
          <cell r="B25">
            <v>63</v>
          </cell>
        </row>
        <row r="26">
          <cell r="B26">
            <v>0</v>
          </cell>
        </row>
      </sheetData>
      <sheetData sheetId="13"/>
      <sheetData sheetId="14"/>
      <sheetData sheetId="15"/>
      <sheetData sheetId="16"/>
      <sheetData sheetId="17"/>
      <sheetData sheetId="18"/>
      <sheetData sheetId="19"/>
      <sheetData sheetId="20"/>
      <sheetData sheetId="2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0">
          <cell r="B10">
            <v>44</v>
          </cell>
          <cell r="E10">
            <v>24</v>
          </cell>
          <cell r="F10">
            <v>18</v>
          </cell>
        </row>
        <row r="22">
          <cell r="B22">
            <v>1187</v>
          </cell>
        </row>
        <row r="23">
          <cell r="B23">
            <v>3</v>
          </cell>
        </row>
        <row r="24">
          <cell r="B24">
            <v>37</v>
          </cell>
        </row>
        <row r="25">
          <cell r="B25">
            <v>22</v>
          </cell>
        </row>
        <row r="26">
          <cell r="B26">
            <v>2</v>
          </cell>
        </row>
      </sheetData>
      <sheetData sheetId="13"/>
      <sheetData sheetId="14"/>
      <sheetData sheetId="15"/>
      <sheetData sheetId="16"/>
      <sheetData sheetId="17"/>
      <sheetData sheetId="18"/>
      <sheetData sheetId="19"/>
      <sheetData sheetId="20"/>
      <sheetData sheetId="2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sheetData sheetId="3"/>
      <sheetData sheetId="4"/>
      <sheetData sheetId="5"/>
      <sheetData sheetId="6"/>
      <sheetData sheetId="7"/>
      <sheetData sheetId="8"/>
      <sheetData sheetId="9">
        <row r="21">
          <cell r="E21">
            <v>83</v>
          </cell>
          <cell r="F21">
            <v>27</v>
          </cell>
          <cell r="G21">
            <v>84</v>
          </cell>
          <cell r="H21">
            <v>51</v>
          </cell>
          <cell r="I21">
            <v>93</v>
          </cell>
          <cell r="J21">
            <v>83</v>
          </cell>
          <cell r="K21">
            <v>162</v>
          </cell>
          <cell r="L21">
            <v>30</v>
          </cell>
        </row>
        <row r="22">
          <cell r="E22">
            <v>0</v>
          </cell>
          <cell r="F22">
            <v>15</v>
          </cell>
          <cell r="G22">
            <v>23</v>
          </cell>
          <cell r="H22">
            <v>35</v>
          </cell>
          <cell r="I22">
            <v>127</v>
          </cell>
          <cell r="J22">
            <v>230</v>
          </cell>
          <cell r="K22">
            <v>408</v>
          </cell>
          <cell r="L22">
            <v>49</v>
          </cell>
        </row>
        <row r="23">
          <cell r="E23">
            <v>101</v>
          </cell>
          <cell r="F23">
            <v>58</v>
          </cell>
          <cell r="G23">
            <v>50</v>
          </cell>
          <cell r="H23">
            <v>46</v>
          </cell>
          <cell r="I23">
            <v>50</v>
          </cell>
          <cell r="J23">
            <v>29</v>
          </cell>
          <cell r="K23">
            <v>78</v>
          </cell>
          <cell r="L23">
            <v>16</v>
          </cell>
        </row>
        <row r="24">
          <cell r="E24">
            <v>69</v>
          </cell>
          <cell r="F24">
            <v>5</v>
          </cell>
          <cell r="G24">
            <v>8</v>
          </cell>
          <cell r="H24">
            <v>3</v>
          </cell>
          <cell r="I24">
            <v>38</v>
          </cell>
          <cell r="J24">
            <v>15</v>
          </cell>
          <cell r="K24">
            <v>57</v>
          </cell>
          <cell r="L24">
            <v>18</v>
          </cell>
        </row>
        <row r="25">
          <cell r="E25">
            <v>0</v>
          </cell>
          <cell r="F25">
            <v>0</v>
          </cell>
          <cell r="G25">
            <v>0</v>
          </cell>
          <cell r="H25">
            <v>0</v>
          </cell>
          <cell r="I25">
            <v>0</v>
          </cell>
          <cell r="J25">
            <v>0</v>
          </cell>
          <cell r="K25">
            <v>0</v>
          </cell>
          <cell r="L25">
            <v>0</v>
          </cell>
        </row>
        <row r="26">
          <cell r="E26">
            <v>0</v>
          </cell>
          <cell r="F26">
            <v>0</v>
          </cell>
          <cell r="G26">
            <v>3</v>
          </cell>
          <cell r="H26">
            <v>1</v>
          </cell>
          <cell r="I26">
            <v>5</v>
          </cell>
          <cell r="J26">
            <v>49</v>
          </cell>
          <cell r="K26">
            <v>82</v>
          </cell>
          <cell r="L26">
            <v>104</v>
          </cell>
        </row>
      </sheetData>
      <sheetData sheetId="10"/>
      <sheetData sheetId="11"/>
      <sheetData sheetId="12">
        <row r="10">
          <cell r="B10">
            <v>24</v>
          </cell>
          <cell r="E10">
            <v>24</v>
          </cell>
          <cell r="F10">
            <v>0</v>
          </cell>
        </row>
        <row r="22">
          <cell r="B22">
            <v>1310</v>
          </cell>
        </row>
        <row r="23">
          <cell r="B23">
            <v>2</v>
          </cell>
        </row>
        <row r="24">
          <cell r="B24">
            <v>17</v>
          </cell>
        </row>
        <row r="25">
          <cell r="B25">
            <v>0</v>
          </cell>
        </row>
        <row r="26">
          <cell r="B26">
            <v>0</v>
          </cell>
        </row>
      </sheetData>
      <sheetData sheetId="13"/>
      <sheetData sheetId="14"/>
      <sheetData sheetId="15"/>
      <sheetData sheetId="16"/>
      <sheetData sheetId="17"/>
      <sheetData sheetId="18"/>
      <sheetData sheetId="19"/>
      <sheetData sheetId="20"/>
      <sheetData sheetId="2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0">
          <cell r="B10">
            <v>78</v>
          </cell>
          <cell r="E10">
            <v>50</v>
          </cell>
          <cell r="F10">
            <v>44</v>
          </cell>
        </row>
        <row r="22">
          <cell r="B22">
            <v>1006</v>
          </cell>
        </row>
        <row r="23">
          <cell r="B23">
            <v>7</v>
          </cell>
        </row>
        <row r="24">
          <cell r="B24">
            <v>43</v>
          </cell>
        </row>
        <row r="25">
          <cell r="B25">
            <v>51</v>
          </cell>
        </row>
        <row r="26">
          <cell r="B26">
            <v>2</v>
          </cell>
        </row>
      </sheetData>
      <sheetData sheetId="13"/>
      <sheetData sheetId="14"/>
      <sheetData sheetId="15"/>
      <sheetData sheetId="16"/>
      <sheetData sheetId="17"/>
      <sheetData sheetId="18"/>
      <sheetData sheetId="19"/>
      <sheetData sheetId="20"/>
      <sheetData sheetId="2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
      <sheetName val="1"/>
      <sheetName val="4"/>
      <sheetName val="5"/>
      <sheetName val="6"/>
      <sheetName val="7"/>
      <sheetName val="8"/>
      <sheetName val="9"/>
      <sheetName val="10"/>
      <sheetName val="11"/>
      <sheetName val="12"/>
      <sheetName val="13"/>
      <sheetName val="14"/>
      <sheetName val="15"/>
      <sheetName val="16"/>
      <sheetName val="17"/>
      <sheetName val="19"/>
      <sheetName val="21"/>
      <sheetName val="23"/>
      <sheetName val="25"/>
      <sheetName val="27"/>
      <sheetName val="29"/>
      <sheetName val="31"/>
      <sheetName val="33"/>
      <sheetName val="35"/>
      <sheetName val="39"/>
      <sheetName val="40"/>
      <sheetName val="41"/>
      <sheetName val="42"/>
      <sheetName val="43"/>
      <sheetName val="44"/>
      <sheetName val="45"/>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RESOlutividad"/>
      <sheetName val="65"/>
      <sheetName val="66"/>
      <sheetName val="67"/>
      <sheetName val="71"/>
      <sheetName val="73"/>
      <sheetName val="74"/>
      <sheetName val="75"/>
      <sheetName val="76"/>
      <sheetName val="77"/>
      <sheetName val="78"/>
      <sheetName val="79"/>
      <sheetName val="80"/>
      <sheetName val="82"/>
      <sheetName val="84"/>
      <sheetName val="85"/>
      <sheetName val="86"/>
      <sheetName val="87"/>
      <sheetName val="88"/>
      <sheetName val="89"/>
      <sheetName val="90"/>
      <sheetName val="91"/>
      <sheetName val="92"/>
      <sheetName val="93"/>
      <sheetName val="94"/>
      <sheetName val="95"/>
      <sheetName val="96"/>
      <sheetName val="97"/>
      <sheetName val="99"/>
      <sheetName val="100"/>
      <sheetName val="102"/>
      <sheetName val="104"/>
      <sheetName val="106"/>
      <sheetName val="108"/>
      <sheetName val="AN"/>
      <sheetName val="GLO"/>
      <sheetName val="Hoja1"/>
    </sheetNames>
    <sheetDataSet>
      <sheetData sheetId="0" refreshError="1"/>
      <sheetData sheetId="1" refreshError="1"/>
      <sheetData sheetId="2" refreshError="1"/>
      <sheetData sheetId="3" refreshError="1"/>
      <sheetData sheetId="4" refreshError="1"/>
      <sheetData sheetId="5">
        <row r="20">
          <cell r="F20">
            <v>78473</v>
          </cell>
          <cell r="G20">
            <v>18141</v>
          </cell>
          <cell r="H20">
            <v>11112</v>
          </cell>
          <cell r="I20">
            <v>8272</v>
          </cell>
          <cell r="K20">
            <v>80479</v>
          </cell>
          <cell r="L20">
            <v>17716</v>
          </cell>
          <cell r="M20">
            <v>14864</v>
          </cell>
          <cell r="N20">
            <v>7682</v>
          </cell>
          <cell r="O20">
            <v>23810</v>
          </cell>
          <cell r="P20">
            <v>13419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D15"/>
      <sheetName val="D16"/>
      <sheetName val="Control"/>
      <sheetName val="MACROS"/>
    </sheetNames>
    <sheetDataSet>
      <sheetData sheetId="0"/>
      <sheetData sheetId="1">
        <row r="13">
          <cell r="C13">
            <v>59451</v>
          </cell>
        </row>
        <row r="14">
          <cell r="C14">
            <v>117856</v>
          </cell>
        </row>
        <row r="15">
          <cell r="C15">
            <v>27691</v>
          </cell>
        </row>
        <row r="18">
          <cell r="C18">
            <v>467</v>
          </cell>
        </row>
        <row r="19">
          <cell r="C19">
            <v>300</v>
          </cell>
        </row>
        <row r="20">
          <cell r="C20">
            <v>588</v>
          </cell>
        </row>
        <row r="21">
          <cell r="C21">
            <v>3661</v>
          </cell>
        </row>
        <row r="24">
          <cell r="C24">
            <v>3682</v>
          </cell>
        </row>
        <row r="25">
          <cell r="C25">
            <v>3403</v>
          </cell>
        </row>
        <row r="26">
          <cell r="C26">
            <v>6059</v>
          </cell>
        </row>
        <row r="67">
          <cell r="C67">
            <v>11</v>
          </cell>
        </row>
        <row r="68">
          <cell r="C68">
            <v>7625</v>
          </cell>
        </row>
        <row r="69">
          <cell r="C69">
            <v>1470</v>
          </cell>
        </row>
        <row r="72">
          <cell r="C72">
            <v>4500</v>
          </cell>
        </row>
        <row r="73">
          <cell r="C73">
            <v>7625</v>
          </cell>
        </row>
        <row r="74">
          <cell r="C74">
            <v>0</v>
          </cell>
        </row>
        <row r="75">
          <cell r="C75">
            <v>0</v>
          </cell>
        </row>
        <row r="78">
          <cell r="C78">
            <v>4</v>
          </cell>
        </row>
        <row r="79">
          <cell r="C79">
            <v>4</v>
          </cell>
        </row>
        <row r="80">
          <cell r="C80">
            <v>0</v>
          </cell>
        </row>
      </sheetData>
      <sheetData sheetId="2">
        <row r="14">
          <cell r="B14">
            <v>84192</v>
          </cell>
          <cell r="C14">
            <v>84192</v>
          </cell>
        </row>
      </sheetData>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
      <sheetName val="1"/>
      <sheetName val="4"/>
      <sheetName val="5"/>
      <sheetName val="6"/>
      <sheetName val="7"/>
      <sheetName val="8"/>
      <sheetName val="9"/>
      <sheetName val="10"/>
      <sheetName val="11"/>
      <sheetName val="12"/>
      <sheetName val="13"/>
      <sheetName val="14"/>
      <sheetName val="15"/>
      <sheetName val="16"/>
      <sheetName val="17"/>
      <sheetName val="19"/>
      <sheetName val="21"/>
      <sheetName val="23"/>
      <sheetName val="25"/>
      <sheetName val="27"/>
      <sheetName val="29"/>
      <sheetName val="31"/>
      <sheetName val="33"/>
      <sheetName val="35"/>
      <sheetName val="39"/>
      <sheetName val="40"/>
      <sheetName val="41"/>
      <sheetName val="42"/>
      <sheetName val="43"/>
      <sheetName val="44"/>
      <sheetName val="45"/>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RESOlutividad"/>
      <sheetName val="65"/>
      <sheetName val="66"/>
      <sheetName val="67"/>
      <sheetName val="71"/>
      <sheetName val="73"/>
      <sheetName val="74"/>
      <sheetName val="75"/>
      <sheetName val="76"/>
      <sheetName val="77"/>
      <sheetName val="78"/>
      <sheetName val="79"/>
      <sheetName val="80"/>
      <sheetName val="82"/>
      <sheetName val="84"/>
      <sheetName val="85"/>
      <sheetName val="86"/>
      <sheetName val="87"/>
      <sheetName val="88"/>
      <sheetName val="89"/>
      <sheetName val="90"/>
      <sheetName val="91"/>
      <sheetName val="92"/>
      <sheetName val="93"/>
      <sheetName val="94"/>
      <sheetName val="95"/>
      <sheetName val="96"/>
      <sheetName val="97"/>
      <sheetName val="99"/>
      <sheetName val="100"/>
      <sheetName val="102"/>
      <sheetName val="104"/>
      <sheetName val="106"/>
      <sheetName val="108"/>
      <sheetName val="AN"/>
      <sheetName val="GL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1">
          <cell r="R11">
            <v>2219</v>
          </cell>
        </row>
        <row r="12">
          <cell r="R12">
            <v>2151</v>
          </cell>
        </row>
        <row r="13">
          <cell r="R13">
            <v>2127</v>
          </cell>
        </row>
        <row r="14">
          <cell r="R14">
            <v>2168</v>
          </cell>
        </row>
        <row r="15">
          <cell r="R15">
            <v>2194</v>
          </cell>
        </row>
        <row r="16">
          <cell r="R16">
            <v>2168</v>
          </cell>
        </row>
        <row r="17">
          <cell r="R17">
            <v>2265</v>
          </cell>
        </row>
        <row r="18">
          <cell r="R18">
            <v>2187</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D15"/>
      <sheetName val="D16"/>
      <sheetName val="Control"/>
      <sheetName val="MACROS"/>
    </sheetNames>
    <sheetDataSet>
      <sheetData sheetId="0"/>
      <sheetData sheetId="1">
        <row r="13">
          <cell r="C13">
            <v>60657</v>
          </cell>
        </row>
        <row r="35">
          <cell r="C35">
            <v>542</v>
          </cell>
        </row>
        <row r="36">
          <cell r="C36">
            <v>77</v>
          </cell>
        </row>
        <row r="90">
          <cell r="C90">
            <v>2</v>
          </cell>
        </row>
      </sheetData>
      <sheetData sheetId="2">
        <row r="27">
          <cell r="F27">
            <v>77236</v>
          </cell>
        </row>
      </sheetData>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s>
    <sheetDataSet>
      <sheetData sheetId="0">
        <row r="12">
          <cell r="E12">
            <v>3390</v>
          </cell>
          <cell r="F12">
            <v>3244</v>
          </cell>
          <cell r="G12">
            <v>2954</v>
          </cell>
          <cell r="H12">
            <v>3022</v>
          </cell>
          <cell r="I12">
            <v>3281</v>
          </cell>
          <cell r="K12">
            <v>1511</v>
          </cell>
          <cell r="L12">
            <v>4765</v>
          </cell>
          <cell r="M12">
            <v>8376</v>
          </cell>
          <cell r="N12">
            <v>3033</v>
          </cell>
          <cell r="O12">
            <v>0</v>
          </cell>
          <cell r="P12">
            <v>5620</v>
          </cell>
          <cell r="Q12">
            <v>2494</v>
          </cell>
          <cell r="R12">
            <v>2</v>
          </cell>
          <cell r="S12">
            <v>3052</v>
          </cell>
          <cell r="T12">
            <v>3348</v>
          </cell>
        </row>
        <row r="13">
          <cell r="E13">
            <v>2187</v>
          </cell>
          <cell r="F13">
            <v>1235</v>
          </cell>
          <cell r="G13">
            <v>1572</v>
          </cell>
          <cell r="H13">
            <v>1528</v>
          </cell>
          <cell r="I13">
            <v>2180</v>
          </cell>
          <cell r="K13">
            <v>1026</v>
          </cell>
          <cell r="L13">
            <v>2082</v>
          </cell>
          <cell r="M13">
            <v>3733</v>
          </cell>
          <cell r="N13">
            <v>1843</v>
          </cell>
          <cell r="O13">
            <v>1</v>
          </cell>
          <cell r="P13">
            <v>2459</v>
          </cell>
          <cell r="Q13">
            <v>1539</v>
          </cell>
          <cell r="R13">
            <v>3</v>
          </cell>
          <cell r="S13">
            <v>2043</v>
          </cell>
          <cell r="T13">
            <v>2101</v>
          </cell>
        </row>
        <row r="14">
          <cell r="E14">
            <v>8982</v>
          </cell>
          <cell r="F14">
            <v>7677</v>
          </cell>
          <cell r="G14">
            <v>6909</v>
          </cell>
          <cell r="H14">
            <v>6015</v>
          </cell>
          <cell r="I14">
            <v>8281</v>
          </cell>
          <cell r="K14">
            <v>4173</v>
          </cell>
          <cell r="L14">
            <v>10045</v>
          </cell>
          <cell r="M14">
            <v>18434</v>
          </cell>
          <cell r="N14">
            <v>7771</v>
          </cell>
          <cell r="O14">
            <v>291</v>
          </cell>
          <cell r="P14">
            <v>11172</v>
          </cell>
          <cell r="Q14">
            <v>6370</v>
          </cell>
          <cell r="R14">
            <v>345</v>
          </cell>
          <cell r="S14">
            <v>9452</v>
          </cell>
          <cell r="T14">
            <v>8381</v>
          </cell>
        </row>
        <row r="15">
          <cell r="E15">
            <v>4912</v>
          </cell>
          <cell r="F15">
            <v>3912</v>
          </cell>
          <cell r="G15">
            <v>2482</v>
          </cell>
          <cell r="H15">
            <v>1666</v>
          </cell>
          <cell r="I15">
            <v>2769</v>
          </cell>
          <cell r="K15">
            <v>1444</v>
          </cell>
          <cell r="L15">
            <v>4367</v>
          </cell>
          <cell r="M15">
            <v>8558</v>
          </cell>
          <cell r="N15">
            <v>2525</v>
          </cell>
          <cell r="O15">
            <v>104</v>
          </cell>
          <cell r="P15">
            <v>4058</v>
          </cell>
          <cell r="Q15">
            <v>1982</v>
          </cell>
          <cell r="R15">
            <v>1</v>
          </cell>
          <cell r="S15">
            <v>4235</v>
          </cell>
          <cell r="T15">
            <v>2777</v>
          </cell>
        </row>
        <row r="20">
          <cell r="E20">
            <v>1017</v>
          </cell>
          <cell r="F20">
            <v>1849</v>
          </cell>
          <cell r="G20">
            <v>165</v>
          </cell>
          <cell r="H20">
            <v>602</v>
          </cell>
          <cell r="I20">
            <v>589</v>
          </cell>
          <cell r="K20">
            <v>122</v>
          </cell>
          <cell r="L20">
            <v>1569</v>
          </cell>
          <cell r="M20">
            <v>2475</v>
          </cell>
          <cell r="N20">
            <v>581</v>
          </cell>
          <cell r="P20">
            <v>1251</v>
          </cell>
          <cell r="Q20">
            <v>545</v>
          </cell>
          <cell r="S20">
            <v>2091</v>
          </cell>
          <cell r="T20">
            <v>305</v>
          </cell>
        </row>
        <row r="21">
          <cell r="E21">
            <v>113</v>
          </cell>
          <cell r="F21">
            <v>0</v>
          </cell>
          <cell r="H21">
            <v>16</v>
          </cell>
          <cell r="I21">
            <v>40</v>
          </cell>
          <cell r="L21">
            <v>880</v>
          </cell>
          <cell r="N21">
            <v>8</v>
          </cell>
          <cell r="P21">
            <v>57</v>
          </cell>
          <cell r="Q21">
            <v>276</v>
          </cell>
          <cell r="S21">
            <v>12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s>
    <sheetDataSet>
      <sheetData sheetId="0">
        <row r="12">
          <cell r="E12">
            <v>3509</v>
          </cell>
          <cell r="F12">
            <v>1953</v>
          </cell>
          <cell r="G12">
            <v>2910</v>
          </cell>
          <cell r="H12">
            <v>2902</v>
          </cell>
          <cell r="I12">
            <v>2905</v>
          </cell>
          <cell r="K12">
            <v>1361</v>
          </cell>
          <cell r="L12">
            <v>4608</v>
          </cell>
          <cell r="M12">
            <v>8206</v>
          </cell>
          <cell r="N12">
            <v>3382</v>
          </cell>
          <cell r="P12">
            <v>5166</v>
          </cell>
          <cell r="Q12">
            <v>1619</v>
          </cell>
          <cell r="R12">
            <v>0</v>
          </cell>
          <cell r="S12">
            <v>2477</v>
          </cell>
          <cell r="T12">
            <v>4160</v>
          </cell>
        </row>
        <row r="13">
          <cell r="E13">
            <v>2119</v>
          </cell>
          <cell r="F13">
            <v>810</v>
          </cell>
          <cell r="G13">
            <v>1147</v>
          </cell>
          <cell r="H13">
            <v>1548</v>
          </cell>
          <cell r="I13">
            <v>1698</v>
          </cell>
          <cell r="K13">
            <v>793</v>
          </cell>
          <cell r="L13">
            <v>2080</v>
          </cell>
          <cell r="M13">
            <v>3562</v>
          </cell>
          <cell r="N13">
            <v>1925</v>
          </cell>
          <cell r="P13">
            <v>2134</v>
          </cell>
          <cell r="Q13">
            <v>1060</v>
          </cell>
          <cell r="R13">
            <v>1</v>
          </cell>
          <cell r="S13">
            <v>1714</v>
          </cell>
          <cell r="T13">
            <v>2489</v>
          </cell>
        </row>
        <row r="14">
          <cell r="E14">
            <v>10323</v>
          </cell>
          <cell r="F14">
            <v>5829</v>
          </cell>
          <cell r="G14">
            <v>5936</v>
          </cell>
          <cell r="H14">
            <v>6718</v>
          </cell>
          <cell r="I14">
            <v>7760</v>
          </cell>
          <cell r="K14">
            <v>3242</v>
          </cell>
          <cell r="L14">
            <v>9860</v>
          </cell>
          <cell r="M14">
            <v>17097</v>
          </cell>
          <cell r="N14">
            <v>8448</v>
          </cell>
          <cell r="O14">
            <v>260</v>
          </cell>
          <cell r="P14">
            <v>10252</v>
          </cell>
          <cell r="Q14">
            <v>4737</v>
          </cell>
          <cell r="R14">
            <v>267</v>
          </cell>
          <cell r="S14">
            <v>7931</v>
          </cell>
          <cell r="T14">
            <v>10161</v>
          </cell>
        </row>
        <row r="15">
          <cell r="E15">
            <v>6122</v>
          </cell>
          <cell r="F15">
            <v>3174</v>
          </cell>
          <cell r="G15">
            <v>2292</v>
          </cell>
          <cell r="H15">
            <v>1752</v>
          </cell>
          <cell r="I15">
            <v>2728</v>
          </cell>
          <cell r="K15">
            <v>1218</v>
          </cell>
          <cell r="L15">
            <v>4350</v>
          </cell>
          <cell r="M15">
            <v>6450</v>
          </cell>
          <cell r="N15">
            <v>3076</v>
          </cell>
          <cell r="O15">
            <v>135</v>
          </cell>
          <cell r="P15">
            <v>4277</v>
          </cell>
          <cell r="Q15">
            <v>1504</v>
          </cell>
          <cell r="R15">
            <v>5</v>
          </cell>
          <cell r="S15">
            <v>3564</v>
          </cell>
          <cell r="T15">
            <v>3255</v>
          </cell>
        </row>
        <row r="20">
          <cell r="E20">
            <v>1126</v>
          </cell>
          <cell r="F20">
            <v>1700</v>
          </cell>
          <cell r="G20">
            <v>145</v>
          </cell>
          <cell r="H20">
            <v>988</v>
          </cell>
          <cell r="I20">
            <v>357</v>
          </cell>
          <cell r="K20">
            <v>401</v>
          </cell>
          <cell r="L20">
            <v>1498</v>
          </cell>
          <cell r="M20">
            <v>1806</v>
          </cell>
          <cell r="N20">
            <v>563</v>
          </cell>
          <cell r="P20">
            <v>1369</v>
          </cell>
          <cell r="Q20">
            <v>307</v>
          </cell>
          <cell r="R20">
            <v>0</v>
          </cell>
          <cell r="S20">
            <v>1911</v>
          </cell>
          <cell r="T20">
            <v>363</v>
          </cell>
        </row>
        <row r="21">
          <cell r="E21">
            <v>83</v>
          </cell>
          <cell r="F21">
            <v>16</v>
          </cell>
          <cell r="G21">
            <v>125</v>
          </cell>
          <cell r="H21">
            <v>21</v>
          </cell>
          <cell r="I21">
            <v>9</v>
          </cell>
          <cell r="K21">
            <v>6</v>
          </cell>
          <cell r="L21">
            <v>55</v>
          </cell>
          <cell r="M21">
            <v>0</v>
          </cell>
          <cell r="N21">
            <v>5</v>
          </cell>
          <cell r="P21">
            <v>66</v>
          </cell>
          <cell r="Q21">
            <v>948</v>
          </cell>
          <cell r="R21">
            <v>0</v>
          </cell>
          <cell r="S21">
            <v>8</v>
          </cell>
          <cell r="T21">
            <v>0</v>
          </cell>
        </row>
        <row r="22">
          <cell r="E22">
            <v>0</v>
          </cell>
          <cell r="F22">
            <v>0</v>
          </cell>
          <cell r="G22">
            <v>1</v>
          </cell>
          <cell r="H22">
            <v>0</v>
          </cell>
          <cell r="I22">
            <v>31</v>
          </cell>
          <cell r="K22">
            <v>6</v>
          </cell>
          <cell r="L22">
            <v>0</v>
          </cell>
          <cell r="M22">
            <v>0</v>
          </cell>
          <cell r="N22">
            <v>0</v>
          </cell>
          <cell r="P22">
            <v>0</v>
          </cell>
          <cell r="Q22">
            <v>0</v>
          </cell>
          <cell r="R22">
            <v>0</v>
          </cell>
          <cell r="S22">
            <v>52</v>
          </cell>
          <cell r="T22">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
      <sheetName val="feb"/>
      <sheetName val="mar"/>
      <sheetName val="abr"/>
      <sheetName val="mayo"/>
      <sheetName val="junio"/>
      <sheetName val="julio"/>
      <sheetName val="agosto"/>
      <sheetName val="sept"/>
      <sheetName val="oct"/>
      <sheetName val="nov"/>
      <sheetName val="dic"/>
      <sheetName val="con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
          <cell r="D5">
            <v>41</v>
          </cell>
          <cell r="E5">
            <v>0</v>
          </cell>
          <cell r="F5">
            <v>77</v>
          </cell>
          <cell r="G5">
            <v>0</v>
          </cell>
          <cell r="H5">
            <v>91</v>
          </cell>
          <cell r="I5">
            <v>0</v>
          </cell>
          <cell r="J5">
            <v>44</v>
          </cell>
          <cell r="K5">
            <v>4</v>
          </cell>
          <cell r="L5">
            <v>53</v>
          </cell>
          <cell r="M5">
            <v>0</v>
          </cell>
          <cell r="N5">
            <v>29</v>
          </cell>
          <cell r="O5">
            <v>0</v>
          </cell>
          <cell r="P5">
            <v>91</v>
          </cell>
          <cell r="Q5">
            <v>0</v>
          </cell>
          <cell r="R5">
            <v>221</v>
          </cell>
          <cell r="S5">
            <v>3</v>
          </cell>
          <cell r="T5">
            <v>46</v>
          </cell>
          <cell r="U5">
            <v>1</v>
          </cell>
          <cell r="V5">
            <v>127</v>
          </cell>
          <cell r="W5">
            <v>2</v>
          </cell>
          <cell r="X5">
            <v>27</v>
          </cell>
          <cell r="Y5">
            <v>0</v>
          </cell>
          <cell r="Z5">
            <v>60</v>
          </cell>
          <cell r="AA5">
            <v>3</v>
          </cell>
          <cell r="AB5">
            <v>92</v>
          </cell>
          <cell r="AC5">
            <v>0</v>
          </cell>
        </row>
        <row r="6">
          <cell r="D6">
            <v>0</v>
          </cell>
          <cell r="E6">
            <v>522</v>
          </cell>
          <cell r="F6">
            <v>0</v>
          </cell>
          <cell r="G6">
            <v>396</v>
          </cell>
          <cell r="H6">
            <v>0</v>
          </cell>
          <cell r="I6">
            <v>367</v>
          </cell>
          <cell r="J6">
            <v>0</v>
          </cell>
          <cell r="K6">
            <v>212</v>
          </cell>
          <cell r="L6">
            <v>0</v>
          </cell>
          <cell r="M6">
            <v>290</v>
          </cell>
          <cell r="N6">
            <v>2</v>
          </cell>
          <cell r="O6">
            <v>106</v>
          </cell>
          <cell r="P6">
            <v>0</v>
          </cell>
          <cell r="Q6">
            <v>470</v>
          </cell>
          <cell r="R6">
            <v>4</v>
          </cell>
          <cell r="S6">
            <v>820</v>
          </cell>
          <cell r="T6">
            <v>0</v>
          </cell>
          <cell r="U6">
            <v>304</v>
          </cell>
          <cell r="V6">
            <v>2</v>
          </cell>
          <cell r="W6">
            <v>576</v>
          </cell>
          <cell r="X6">
            <v>1</v>
          </cell>
          <cell r="Y6">
            <v>107</v>
          </cell>
          <cell r="Z6">
            <v>0</v>
          </cell>
          <cell r="AA6">
            <v>449</v>
          </cell>
          <cell r="AB6">
            <v>0</v>
          </cell>
          <cell r="AC6">
            <v>395</v>
          </cell>
        </row>
        <row r="7">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row>
        <row r="8">
          <cell r="D8">
            <v>1</v>
          </cell>
          <cell r="E8">
            <v>4</v>
          </cell>
          <cell r="F8">
            <v>0</v>
          </cell>
          <cell r="G8">
            <v>0</v>
          </cell>
          <cell r="H8">
            <v>0</v>
          </cell>
          <cell r="I8">
            <v>0</v>
          </cell>
          <cell r="J8">
            <v>2</v>
          </cell>
          <cell r="K8">
            <v>0</v>
          </cell>
          <cell r="L8">
            <v>0</v>
          </cell>
          <cell r="M8">
            <v>4</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row>
        <row r="9">
          <cell r="D9">
            <v>0</v>
          </cell>
          <cell r="E9">
            <v>0</v>
          </cell>
          <cell r="F9">
            <v>8</v>
          </cell>
          <cell r="G9">
            <v>0</v>
          </cell>
          <cell r="H9">
            <v>0</v>
          </cell>
          <cell r="I9">
            <v>0</v>
          </cell>
          <cell r="J9">
            <v>0</v>
          </cell>
          <cell r="K9">
            <v>1</v>
          </cell>
          <cell r="L9">
            <v>0</v>
          </cell>
          <cell r="M9">
            <v>1</v>
          </cell>
          <cell r="N9">
            <v>4</v>
          </cell>
          <cell r="O9">
            <v>9</v>
          </cell>
          <cell r="P9">
            <v>0</v>
          </cell>
          <cell r="Q9">
            <v>0</v>
          </cell>
          <cell r="R9">
            <v>0</v>
          </cell>
          <cell r="S9">
            <v>0</v>
          </cell>
          <cell r="T9">
            <v>0</v>
          </cell>
          <cell r="U9">
            <v>0</v>
          </cell>
          <cell r="V9">
            <v>0</v>
          </cell>
          <cell r="W9">
            <v>0</v>
          </cell>
          <cell r="X9">
            <v>0</v>
          </cell>
          <cell r="Y9">
            <v>0</v>
          </cell>
          <cell r="Z9">
            <v>1</v>
          </cell>
          <cell r="AA9">
            <v>0</v>
          </cell>
          <cell r="AB9">
            <v>2</v>
          </cell>
          <cell r="AC9">
            <v>2</v>
          </cell>
        </row>
        <row r="10">
          <cell r="D10">
            <v>0</v>
          </cell>
          <cell r="E10">
            <v>0</v>
          </cell>
          <cell r="F10">
            <v>0</v>
          </cell>
          <cell r="G10">
            <v>0</v>
          </cell>
          <cell r="H10">
            <v>0</v>
          </cell>
          <cell r="I10">
            <v>0</v>
          </cell>
          <cell r="J10">
            <v>0</v>
          </cell>
          <cell r="K10">
            <v>0</v>
          </cell>
          <cell r="L10">
            <v>0</v>
          </cell>
          <cell r="M10">
            <v>5</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row>
        <row r="11">
          <cell r="D11">
            <v>0</v>
          </cell>
          <cell r="E11">
            <v>0</v>
          </cell>
          <cell r="F11">
            <v>0</v>
          </cell>
          <cell r="G11">
            <v>0</v>
          </cell>
          <cell r="H11">
            <v>0</v>
          </cell>
          <cell r="I11">
            <v>0</v>
          </cell>
          <cell r="J11">
            <v>0</v>
          </cell>
          <cell r="K11">
            <v>0</v>
          </cell>
          <cell r="L11">
            <v>0</v>
          </cell>
          <cell r="M11">
            <v>0</v>
          </cell>
          <cell r="N11">
            <v>0</v>
          </cell>
          <cell r="O11">
            <v>1</v>
          </cell>
          <cell r="P11">
            <v>0</v>
          </cell>
          <cell r="Q11">
            <v>0</v>
          </cell>
          <cell r="R11">
            <v>0</v>
          </cell>
          <cell r="S11">
            <v>0</v>
          </cell>
          <cell r="T11">
            <v>0</v>
          </cell>
          <cell r="U11">
            <v>0</v>
          </cell>
          <cell r="V11">
            <v>0</v>
          </cell>
          <cell r="W11">
            <v>0</v>
          </cell>
          <cell r="X11">
            <v>0</v>
          </cell>
          <cell r="Y11">
            <v>0</v>
          </cell>
          <cell r="Z11">
            <v>0</v>
          </cell>
          <cell r="AA11">
            <v>0</v>
          </cell>
          <cell r="AB11">
            <v>0</v>
          </cell>
          <cell r="AC11">
            <v>0</v>
          </cell>
        </row>
        <row r="12">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row>
        <row r="13">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row>
        <row r="14">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row>
        <row r="15">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1</v>
          </cell>
        </row>
        <row r="16">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row>
        <row r="17">
          <cell r="D17">
            <v>0</v>
          </cell>
          <cell r="E17">
            <v>0</v>
          </cell>
          <cell r="F17">
            <v>0</v>
          </cell>
          <cell r="G17">
            <v>0</v>
          </cell>
          <cell r="H17">
            <v>0</v>
          </cell>
          <cell r="I17">
            <v>0</v>
          </cell>
          <cell r="J17">
            <v>0</v>
          </cell>
          <cell r="K17">
            <v>0</v>
          </cell>
          <cell r="L17">
            <v>0</v>
          </cell>
          <cell r="M17">
            <v>6</v>
          </cell>
          <cell r="N17">
            <v>0</v>
          </cell>
          <cell r="O17">
            <v>1</v>
          </cell>
          <cell r="P17">
            <v>1</v>
          </cell>
          <cell r="Q17">
            <v>0</v>
          </cell>
          <cell r="R17">
            <v>0</v>
          </cell>
          <cell r="S17">
            <v>0</v>
          </cell>
          <cell r="T17">
            <v>0</v>
          </cell>
          <cell r="U17">
            <v>0</v>
          </cell>
          <cell r="V17">
            <v>0</v>
          </cell>
          <cell r="W17">
            <v>0</v>
          </cell>
          <cell r="X17">
            <v>0</v>
          </cell>
          <cell r="Y17">
            <v>0</v>
          </cell>
          <cell r="Z17">
            <v>0</v>
          </cell>
          <cell r="AA17">
            <v>21</v>
          </cell>
          <cell r="AB17">
            <v>0</v>
          </cell>
          <cell r="AC17">
            <v>6</v>
          </cell>
        </row>
        <row r="18">
          <cell r="D18">
            <v>34</v>
          </cell>
          <cell r="E18">
            <v>138</v>
          </cell>
          <cell r="F18">
            <v>28</v>
          </cell>
          <cell r="G18">
            <v>81</v>
          </cell>
          <cell r="H18">
            <v>30</v>
          </cell>
          <cell r="I18">
            <v>73</v>
          </cell>
          <cell r="J18">
            <v>31</v>
          </cell>
          <cell r="K18">
            <v>61</v>
          </cell>
          <cell r="L18">
            <v>0</v>
          </cell>
          <cell r="M18">
            <v>50</v>
          </cell>
          <cell r="N18">
            <v>5</v>
          </cell>
          <cell r="O18">
            <v>41</v>
          </cell>
          <cell r="P18">
            <v>76</v>
          </cell>
          <cell r="Q18">
            <v>146</v>
          </cell>
          <cell r="R18">
            <v>110</v>
          </cell>
          <cell r="S18">
            <v>211</v>
          </cell>
          <cell r="T18">
            <v>23</v>
          </cell>
          <cell r="U18">
            <v>82</v>
          </cell>
          <cell r="V18">
            <v>60</v>
          </cell>
          <cell r="W18">
            <v>160</v>
          </cell>
          <cell r="X18">
            <v>8</v>
          </cell>
          <cell r="Y18">
            <v>25</v>
          </cell>
          <cell r="Z18">
            <v>39</v>
          </cell>
          <cell r="AA18">
            <v>86</v>
          </cell>
          <cell r="AB18">
            <v>31</v>
          </cell>
          <cell r="AC18">
            <v>116</v>
          </cell>
        </row>
        <row r="19">
          <cell r="D19">
            <v>0</v>
          </cell>
          <cell r="E19">
            <v>5</v>
          </cell>
          <cell r="F19">
            <v>0</v>
          </cell>
          <cell r="G19">
            <v>0</v>
          </cell>
          <cell r="H19">
            <v>0</v>
          </cell>
          <cell r="I19">
            <v>0</v>
          </cell>
          <cell r="J19">
            <v>0</v>
          </cell>
          <cell r="K19">
            <v>0</v>
          </cell>
          <cell r="L19">
            <v>0</v>
          </cell>
          <cell r="M19">
            <v>9</v>
          </cell>
          <cell r="N19">
            <v>0</v>
          </cell>
          <cell r="O19">
            <v>3</v>
          </cell>
          <cell r="P19">
            <v>0</v>
          </cell>
          <cell r="Q19">
            <v>0</v>
          </cell>
          <cell r="R19">
            <v>0</v>
          </cell>
          <cell r="S19">
            <v>1</v>
          </cell>
          <cell r="T19">
            <v>0</v>
          </cell>
          <cell r="U19">
            <v>0</v>
          </cell>
          <cell r="V19">
            <v>0</v>
          </cell>
          <cell r="W19">
            <v>0</v>
          </cell>
          <cell r="X19">
            <v>0</v>
          </cell>
          <cell r="Y19">
            <v>0</v>
          </cell>
          <cell r="Z19">
            <v>0</v>
          </cell>
          <cell r="AA19">
            <v>0</v>
          </cell>
          <cell r="AB19">
            <v>0</v>
          </cell>
          <cell r="AC19">
            <v>0</v>
          </cell>
        </row>
        <row r="20">
          <cell r="D20">
            <v>0</v>
          </cell>
          <cell r="E20">
            <v>0</v>
          </cell>
          <cell r="F20">
            <v>0</v>
          </cell>
          <cell r="G20">
            <v>1</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row>
        <row r="21">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row>
        <row r="22">
          <cell r="D22">
            <v>0</v>
          </cell>
          <cell r="E22">
            <v>0</v>
          </cell>
          <cell r="F22">
            <v>0</v>
          </cell>
          <cell r="G22">
            <v>2</v>
          </cell>
          <cell r="H22">
            <v>0</v>
          </cell>
          <cell r="I22">
            <v>2</v>
          </cell>
          <cell r="J22">
            <v>1</v>
          </cell>
          <cell r="K22">
            <v>1</v>
          </cell>
          <cell r="L22">
            <v>0</v>
          </cell>
          <cell r="M22">
            <v>4</v>
          </cell>
          <cell r="N22">
            <v>0</v>
          </cell>
          <cell r="O22">
            <v>4</v>
          </cell>
          <cell r="P22">
            <v>0</v>
          </cell>
          <cell r="Q22">
            <v>2</v>
          </cell>
          <cell r="R22">
            <v>2</v>
          </cell>
          <cell r="S22">
            <v>25</v>
          </cell>
          <cell r="T22">
            <v>1</v>
          </cell>
          <cell r="U22">
            <v>5</v>
          </cell>
          <cell r="V22">
            <v>0</v>
          </cell>
          <cell r="W22">
            <v>58</v>
          </cell>
          <cell r="X22">
            <v>0</v>
          </cell>
          <cell r="Y22">
            <v>2</v>
          </cell>
          <cell r="Z22">
            <v>0</v>
          </cell>
          <cell r="AA22">
            <v>2</v>
          </cell>
          <cell r="AB22">
            <v>0</v>
          </cell>
          <cell r="AC22">
            <v>5</v>
          </cell>
        </row>
        <row r="23">
          <cell r="D23">
            <v>34</v>
          </cell>
          <cell r="E23">
            <v>141</v>
          </cell>
          <cell r="F23">
            <v>36</v>
          </cell>
          <cell r="G23">
            <v>142</v>
          </cell>
          <cell r="H23">
            <v>27</v>
          </cell>
          <cell r="I23">
            <v>97</v>
          </cell>
          <cell r="J23">
            <v>24</v>
          </cell>
          <cell r="K23">
            <v>57</v>
          </cell>
          <cell r="L23">
            <v>4</v>
          </cell>
          <cell r="M23">
            <v>34</v>
          </cell>
          <cell r="N23">
            <v>5</v>
          </cell>
          <cell r="O23">
            <v>35</v>
          </cell>
          <cell r="P23">
            <v>46</v>
          </cell>
          <cell r="Q23">
            <v>116</v>
          </cell>
          <cell r="R23">
            <v>100</v>
          </cell>
          <cell r="S23">
            <v>222</v>
          </cell>
          <cell r="T23">
            <v>17</v>
          </cell>
          <cell r="U23">
            <v>37</v>
          </cell>
          <cell r="V23">
            <v>36</v>
          </cell>
          <cell r="W23">
            <v>148</v>
          </cell>
          <cell r="X23">
            <v>13</v>
          </cell>
          <cell r="Y23">
            <v>24</v>
          </cell>
          <cell r="Z23">
            <v>26</v>
          </cell>
          <cell r="AA23">
            <v>116</v>
          </cell>
          <cell r="AB23">
            <v>33</v>
          </cell>
          <cell r="AC23">
            <v>128</v>
          </cell>
        </row>
        <row r="24">
          <cell r="D24">
            <v>0</v>
          </cell>
          <cell r="E24">
            <v>0</v>
          </cell>
          <cell r="F24">
            <v>0</v>
          </cell>
          <cell r="G24">
            <v>0</v>
          </cell>
          <cell r="H24">
            <v>0</v>
          </cell>
          <cell r="I24">
            <v>0</v>
          </cell>
          <cell r="J24">
            <v>0</v>
          </cell>
          <cell r="K24">
            <v>0</v>
          </cell>
          <cell r="L24">
            <v>0</v>
          </cell>
          <cell r="M24">
            <v>4</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row>
        <row r="25">
          <cell r="D25">
            <v>19</v>
          </cell>
          <cell r="E25">
            <v>95</v>
          </cell>
          <cell r="F25">
            <v>19</v>
          </cell>
          <cell r="G25">
            <v>43</v>
          </cell>
          <cell r="H25">
            <v>2</v>
          </cell>
          <cell r="I25">
            <v>38</v>
          </cell>
          <cell r="J25">
            <v>4</v>
          </cell>
          <cell r="K25">
            <v>13</v>
          </cell>
          <cell r="L25">
            <v>0</v>
          </cell>
          <cell r="M25">
            <v>0</v>
          </cell>
          <cell r="N25">
            <v>6</v>
          </cell>
          <cell r="O25">
            <v>11</v>
          </cell>
          <cell r="P25">
            <v>22</v>
          </cell>
          <cell r="Q25">
            <v>126</v>
          </cell>
          <cell r="R25">
            <v>31</v>
          </cell>
          <cell r="S25">
            <v>67</v>
          </cell>
          <cell r="T25">
            <v>8</v>
          </cell>
          <cell r="U25">
            <v>35</v>
          </cell>
          <cell r="V25">
            <v>18</v>
          </cell>
          <cell r="W25">
            <v>75</v>
          </cell>
          <cell r="X25">
            <v>5</v>
          </cell>
          <cell r="Y25">
            <v>18</v>
          </cell>
          <cell r="Z25">
            <v>11</v>
          </cell>
          <cell r="AA25">
            <v>44</v>
          </cell>
          <cell r="AB25">
            <v>11</v>
          </cell>
          <cell r="AC25">
            <v>54</v>
          </cell>
        </row>
        <row r="26">
          <cell r="D26">
            <v>0</v>
          </cell>
          <cell r="E26">
            <v>0</v>
          </cell>
          <cell r="F26">
            <v>0</v>
          </cell>
          <cell r="G26">
            <v>2</v>
          </cell>
          <cell r="H26">
            <v>0</v>
          </cell>
          <cell r="I26">
            <v>0</v>
          </cell>
          <cell r="J26">
            <v>0</v>
          </cell>
          <cell r="K26">
            <v>0</v>
          </cell>
          <cell r="L26">
            <v>0</v>
          </cell>
          <cell r="M26">
            <v>0</v>
          </cell>
          <cell r="N26">
            <v>0</v>
          </cell>
          <cell r="O26">
            <v>0</v>
          </cell>
          <cell r="P26">
            <v>0</v>
          </cell>
          <cell r="Q26">
            <v>0</v>
          </cell>
          <cell r="R26">
            <v>0</v>
          </cell>
          <cell r="S26">
            <v>1</v>
          </cell>
          <cell r="T26">
            <v>0</v>
          </cell>
          <cell r="U26">
            <v>0</v>
          </cell>
          <cell r="V26">
            <v>0</v>
          </cell>
          <cell r="W26">
            <v>0</v>
          </cell>
          <cell r="X26">
            <v>0</v>
          </cell>
          <cell r="Y26">
            <v>0</v>
          </cell>
          <cell r="Z26">
            <v>0</v>
          </cell>
          <cell r="AA26">
            <v>0</v>
          </cell>
          <cell r="AB26">
            <v>0</v>
          </cell>
          <cell r="AC26">
            <v>0</v>
          </cell>
        </row>
        <row r="27">
          <cell r="D27">
            <v>64</v>
          </cell>
          <cell r="E27">
            <v>0</v>
          </cell>
          <cell r="F27">
            <v>82</v>
          </cell>
          <cell r="G27">
            <v>0</v>
          </cell>
          <cell r="H27">
            <v>59</v>
          </cell>
          <cell r="I27">
            <v>0</v>
          </cell>
          <cell r="J27">
            <v>51</v>
          </cell>
          <cell r="K27">
            <v>0</v>
          </cell>
          <cell r="L27">
            <v>50</v>
          </cell>
          <cell r="M27">
            <v>0</v>
          </cell>
          <cell r="N27">
            <v>17</v>
          </cell>
          <cell r="O27">
            <v>0</v>
          </cell>
          <cell r="P27">
            <v>74</v>
          </cell>
          <cell r="Q27">
            <v>0</v>
          </cell>
          <cell r="R27">
            <v>136</v>
          </cell>
          <cell r="S27">
            <v>1</v>
          </cell>
          <cell r="T27">
            <v>44</v>
          </cell>
          <cell r="U27">
            <v>0</v>
          </cell>
          <cell r="V27">
            <v>95</v>
          </cell>
          <cell r="W27">
            <v>2</v>
          </cell>
          <cell r="X27">
            <v>31</v>
          </cell>
          <cell r="Y27">
            <v>0</v>
          </cell>
          <cell r="Z27">
            <v>61</v>
          </cell>
          <cell r="AA27">
            <v>0</v>
          </cell>
          <cell r="AB27">
            <v>63</v>
          </cell>
          <cell r="AC27">
            <v>0</v>
          </cell>
        </row>
        <row r="28">
          <cell r="D28">
            <v>0</v>
          </cell>
          <cell r="E28">
            <v>282</v>
          </cell>
          <cell r="F28">
            <v>0</v>
          </cell>
          <cell r="G28">
            <v>187</v>
          </cell>
          <cell r="H28">
            <v>0</v>
          </cell>
          <cell r="I28">
            <v>117</v>
          </cell>
          <cell r="J28">
            <v>0</v>
          </cell>
          <cell r="K28">
            <v>167</v>
          </cell>
          <cell r="L28">
            <v>0</v>
          </cell>
          <cell r="M28">
            <v>148</v>
          </cell>
          <cell r="N28">
            <v>0</v>
          </cell>
          <cell r="O28">
            <v>59</v>
          </cell>
          <cell r="P28">
            <v>0</v>
          </cell>
          <cell r="Q28">
            <v>245</v>
          </cell>
          <cell r="R28">
            <v>0</v>
          </cell>
          <cell r="S28">
            <v>561</v>
          </cell>
          <cell r="T28">
            <v>0</v>
          </cell>
          <cell r="U28">
            <v>165</v>
          </cell>
          <cell r="V28">
            <v>0</v>
          </cell>
          <cell r="W28">
            <v>310</v>
          </cell>
          <cell r="X28">
            <v>0</v>
          </cell>
          <cell r="Y28">
            <v>91</v>
          </cell>
          <cell r="Z28">
            <v>0</v>
          </cell>
          <cell r="AA28">
            <v>199</v>
          </cell>
          <cell r="AB28">
            <v>0</v>
          </cell>
          <cell r="AC28">
            <v>302</v>
          </cell>
        </row>
        <row r="29">
          <cell r="D29">
            <v>0</v>
          </cell>
          <cell r="E29">
            <v>0</v>
          </cell>
          <cell r="F29">
            <v>0</v>
          </cell>
          <cell r="G29">
            <v>0</v>
          </cell>
          <cell r="H29">
            <v>0</v>
          </cell>
          <cell r="I29">
            <v>0</v>
          </cell>
          <cell r="J29">
            <v>0</v>
          </cell>
          <cell r="K29">
            <v>0</v>
          </cell>
          <cell r="L29">
            <v>0</v>
          </cell>
          <cell r="M29">
            <v>9</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row>
        <row r="30">
          <cell r="D30">
            <v>0</v>
          </cell>
          <cell r="E30">
            <v>0</v>
          </cell>
          <cell r="F30">
            <v>0</v>
          </cell>
          <cell r="G30">
            <v>1</v>
          </cell>
          <cell r="H30">
            <v>0</v>
          </cell>
          <cell r="I30">
            <v>0</v>
          </cell>
          <cell r="J30">
            <v>0</v>
          </cell>
          <cell r="K30">
            <v>22</v>
          </cell>
          <cell r="L30">
            <v>0</v>
          </cell>
          <cell r="M30">
            <v>19</v>
          </cell>
          <cell r="N30">
            <v>0</v>
          </cell>
          <cell r="O30">
            <v>0</v>
          </cell>
          <cell r="P30">
            <v>0</v>
          </cell>
          <cell r="Q30">
            <v>2</v>
          </cell>
          <cell r="R30">
            <v>0</v>
          </cell>
          <cell r="S30">
            <v>0</v>
          </cell>
          <cell r="T30">
            <v>0</v>
          </cell>
          <cell r="U30">
            <v>0</v>
          </cell>
          <cell r="V30">
            <v>0</v>
          </cell>
          <cell r="W30">
            <v>0</v>
          </cell>
          <cell r="X30">
            <v>0</v>
          </cell>
          <cell r="Y30">
            <v>0</v>
          </cell>
          <cell r="Z30">
            <v>0</v>
          </cell>
          <cell r="AA30">
            <v>0</v>
          </cell>
          <cell r="AB30">
            <v>0</v>
          </cell>
          <cell r="AC30">
            <v>0</v>
          </cell>
        </row>
        <row r="31">
          <cell r="D31">
            <v>0</v>
          </cell>
          <cell r="E31">
            <v>0</v>
          </cell>
          <cell r="F31">
            <v>0</v>
          </cell>
          <cell r="G31">
            <v>7</v>
          </cell>
          <cell r="H31">
            <v>0</v>
          </cell>
          <cell r="I31">
            <v>43</v>
          </cell>
          <cell r="J31">
            <v>0</v>
          </cell>
          <cell r="K31">
            <v>11</v>
          </cell>
          <cell r="L31">
            <v>0</v>
          </cell>
          <cell r="M31">
            <v>4</v>
          </cell>
          <cell r="N31">
            <v>0</v>
          </cell>
          <cell r="O31">
            <v>20</v>
          </cell>
          <cell r="P31">
            <v>0</v>
          </cell>
          <cell r="Q31">
            <v>13</v>
          </cell>
          <cell r="R31">
            <v>0</v>
          </cell>
          <cell r="S31">
            <v>0</v>
          </cell>
          <cell r="T31">
            <v>0</v>
          </cell>
          <cell r="U31">
            <v>33</v>
          </cell>
          <cell r="V31">
            <v>0</v>
          </cell>
          <cell r="W31">
            <v>0</v>
          </cell>
          <cell r="X31">
            <v>0</v>
          </cell>
          <cell r="Y31">
            <v>6</v>
          </cell>
          <cell r="Z31">
            <v>0</v>
          </cell>
          <cell r="AA31">
            <v>0</v>
          </cell>
          <cell r="AB31">
            <v>0</v>
          </cell>
          <cell r="AC31">
            <v>0</v>
          </cell>
        </row>
        <row r="32">
          <cell r="D32">
            <v>0</v>
          </cell>
          <cell r="E32">
            <v>0</v>
          </cell>
          <cell r="F32">
            <v>0</v>
          </cell>
          <cell r="G32">
            <v>0</v>
          </cell>
          <cell r="H32">
            <v>0</v>
          </cell>
          <cell r="I32">
            <v>0</v>
          </cell>
          <cell r="J32">
            <v>14</v>
          </cell>
          <cell r="K32">
            <v>79</v>
          </cell>
          <cell r="L32">
            <v>0</v>
          </cell>
          <cell r="M32">
            <v>85</v>
          </cell>
          <cell r="N32">
            <v>0</v>
          </cell>
          <cell r="O32">
            <v>0</v>
          </cell>
          <cell r="P32">
            <v>14</v>
          </cell>
          <cell r="Q32">
            <v>158</v>
          </cell>
          <cell r="R32">
            <v>0</v>
          </cell>
          <cell r="S32">
            <v>0</v>
          </cell>
          <cell r="T32">
            <v>0</v>
          </cell>
          <cell r="U32">
            <v>4</v>
          </cell>
          <cell r="V32">
            <v>0</v>
          </cell>
          <cell r="W32">
            <v>0</v>
          </cell>
          <cell r="X32">
            <v>0</v>
          </cell>
          <cell r="Y32">
            <v>0</v>
          </cell>
          <cell r="Z32">
            <v>0</v>
          </cell>
          <cell r="AA32">
            <v>0</v>
          </cell>
          <cell r="AB32">
            <v>0</v>
          </cell>
          <cell r="AC32">
            <v>0</v>
          </cell>
        </row>
        <row r="33">
          <cell r="D33">
            <v>0</v>
          </cell>
          <cell r="E33">
            <v>0</v>
          </cell>
          <cell r="F33">
            <v>0</v>
          </cell>
          <cell r="G33">
            <v>0</v>
          </cell>
          <cell r="H33">
            <v>0</v>
          </cell>
          <cell r="I33">
            <v>0</v>
          </cell>
          <cell r="J33">
            <v>0</v>
          </cell>
          <cell r="K33">
            <v>0</v>
          </cell>
          <cell r="L33">
            <v>0</v>
          </cell>
          <cell r="M33">
            <v>2</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row>
        <row r="34">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row>
        <row r="35">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row>
        <row r="36">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1</v>
          </cell>
        </row>
        <row r="37">
          <cell r="D37">
            <v>0</v>
          </cell>
          <cell r="E37">
            <v>65</v>
          </cell>
          <cell r="F37">
            <v>0</v>
          </cell>
          <cell r="G37">
            <v>55</v>
          </cell>
          <cell r="H37">
            <v>0</v>
          </cell>
          <cell r="I37">
            <v>21</v>
          </cell>
          <cell r="J37">
            <v>10</v>
          </cell>
          <cell r="K37">
            <v>32</v>
          </cell>
          <cell r="L37">
            <v>5</v>
          </cell>
          <cell r="M37">
            <v>40</v>
          </cell>
          <cell r="N37">
            <v>3</v>
          </cell>
          <cell r="O37">
            <v>14</v>
          </cell>
          <cell r="P37">
            <v>0</v>
          </cell>
          <cell r="Q37">
            <v>93</v>
          </cell>
          <cell r="R37">
            <v>0</v>
          </cell>
          <cell r="S37">
            <v>131</v>
          </cell>
          <cell r="T37">
            <v>4</v>
          </cell>
          <cell r="U37">
            <v>46</v>
          </cell>
          <cell r="V37">
            <v>0</v>
          </cell>
          <cell r="W37">
            <v>76</v>
          </cell>
          <cell r="X37">
            <v>0</v>
          </cell>
          <cell r="Y37">
            <v>16</v>
          </cell>
          <cell r="Z37">
            <v>0</v>
          </cell>
          <cell r="AA37">
            <v>50</v>
          </cell>
          <cell r="AB37">
            <v>0</v>
          </cell>
          <cell r="AC37">
            <v>58</v>
          </cell>
        </row>
        <row r="38">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2</v>
          </cell>
          <cell r="AC38">
            <v>0</v>
          </cell>
        </row>
        <row r="39">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row>
        <row r="40">
          <cell r="D40">
            <v>1</v>
          </cell>
          <cell r="E40">
            <v>275</v>
          </cell>
          <cell r="F40">
            <v>0</v>
          </cell>
          <cell r="G40">
            <v>206</v>
          </cell>
          <cell r="H40">
            <v>0</v>
          </cell>
          <cell r="I40">
            <v>132</v>
          </cell>
          <cell r="J40">
            <v>0</v>
          </cell>
          <cell r="K40">
            <v>108</v>
          </cell>
          <cell r="L40">
            <v>0</v>
          </cell>
          <cell r="M40">
            <v>107</v>
          </cell>
          <cell r="N40">
            <v>0</v>
          </cell>
          <cell r="O40">
            <v>28</v>
          </cell>
          <cell r="P40">
            <v>3</v>
          </cell>
          <cell r="Q40">
            <v>223</v>
          </cell>
          <cell r="R40">
            <v>7</v>
          </cell>
          <cell r="S40">
            <v>356</v>
          </cell>
          <cell r="T40">
            <v>0</v>
          </cell>
          <cell r="U40">
            <v>107</v>
          </cell>
          <cell r="V40">
            <v>0</v>
          </cell>
          <cell r="W40">
            <v>20</v>
          </cell>
          <cell r="X40">
            <v>1</v>
          </cell>
          <cell r="Y40">
            <v>68</v>
          </cell>
          <cell r="Z40">
            <v>0</v>
          </cell>
          <cell r="AA40">
            <v>144</v>
          </cell>
          <cell r="AB40">
            <v>0</v>
          </cell>
          <cell r="AC40">
            <v>154</v>
          </cell>
        </row>
        <row r="41">
          <cell r="D41">
            <v>7</v>
          </cell>
          <cell r="E41">
            <v>546</v>
          </cell>
          <cell r="F41">
            <v>0</v>
          </cell>
          <cell r="G41">
            <v>244</v>
          </cell>
          <cell r="H41">
            <v>0</v>
          </cell>
          <cell r="I41">
            <v>144</v>
          </cell>
          <cell r="J41">
            <v>0</v>
          </cell>
          <cell r="K41">
            <v>81</v>
          </cell>
          <cell r="L41">
            <v>0</v>
          </cell>
          <cell r="M41">
            <v>113</v>
          </cell>
          <cell r="N41">
            <v>0</v>
          </cell>
          <cell r="O41">
            <v>92</v>
          </cell>
          <cell r="P41">
            <v>5</v>
          </cell>
          <cell r="Q41">
            <v>329</v>
          </cell>
          <cell r="R41">
            <v>5</v>
          </cell>
          <cell r="S41">
            <v>314</v>
          </cell>
          <cell r="T41">
            <v>1</v>
          </cell>
          <cell r="U41">
            <v>65</v>
          </cell>
          <cell r="V41">
            <v>7</v>
          </cell>
          <cell r="W41">
            <v>179</v>
          </cell>
          <cell r="X41">
            <v>0</v>
          </cell>
          <cell r="Y41">
            <v>17</v>
          </cell>
          <cell r="Z41">
            <v>0</v>
          </cell>
          <cell r="AA41">
            <v>191</v>
          </cell>
          <cell r="AB41">
            <v>0</v>
          </cell>
          <cell r="AC41">
            <v>222</v>
          </cell>
        </row>
        <row r="42">
          <cell r="D42">
            <v>0</v>
          </cell>
          <cell r="E42">
            <v>0</v>
          </cell>
          <cell r="F42">
            <v>1</v>
          </cell>
          <cell r="G42">
            <v>41</v>
          </cell>
          <cell r="H42">
            <v>0</v>
          </cell>
          <cell r="I42">
            <v>10</v>
          </cell>
          <cell r="J42">
            <v>0</v>
          </cell>
          <cell r="K42">
            <v>15</v>
          </cell>
          <cell r="L42">
            <v>0</v>
          </cell>
          <cell r="M42">
            <v>0</v>
          </cell>
          <cell r="N42">
            <v>0</v>
          </cell>
          <cell r="O42">
            <v>5</v>
          </cell>
          <cell r="P42">
            <v>0</v>
          </cell>
          <cell r="Q42">
            <v>14</v>
          </cell>
          <cell r="R42">
            <v>0</v>
          </cell>
          <cell r="S42">
            <v>49</v>
          </cell>
          <cell r="T42">
            <v>0</v>
          </cell>
          <cell r="U42">
            <v>31</v>
          </cell>
          <cell r="V42">
            <v>0</v>
          </cell>
          <cell r="W42">
            <v>0</v>
          </cell>
          <cell r="X42">
            <v>0</v>
          </cell>
          <cell r="Y42">
            <v>26</v>
          </cell>
          <cell r="Z42">
            <v>0</v>
          </cell>
          <cell r="AA42">
            <v>32</v>
          </cell>
          <cell r="AB42">
            <v>0</v>
          </cell>
          <cell r="AC42">
            <v>66</v>
          </cell>
        </row>
        <row r="43">
          <cell r="D43">
            <v>0</v>
          </cell>
          <cell r="E43">
            <v>0</v>
          </cell>
          <cell r="F43">
            <v>0</v>
          </cell>
          <cell r="G43">
            <v>0</v>
          </cell>
          <cell r="H43">
            <v>0</v>
          </cell>
          <cell r="I43">
            <v>0</v>
          </cell>
          <cell r="J43">
            <v>0</v>
          </cell>
          <cell r="K43">
            <v>2</v>
          </cell>
          <cell r="L43">
            <v>0</v>
          </cell>
          <cell r="M43">
            <v>0</v>
          </cell>
          <cell r="N43">
            <v>0</v>
          </cell>
          <cell r="O43">
            <v>0</v>
          </cell>
          <cell r="P43">
            <v>0</v>
          </cell>
          <cell r="Q43">
            <v>4</v>
          </cell>
          <cell r="R43">
            <v>0</v>
          </cell>
          <cell r="S43">
            <v>25</v>
          </cell>
          <cell r="T43">
            <v>0</v>
          </cell>
          <cell r="U43">
            <v>2</v>
          </cell>
          <cell r="V43">
            <v>0</v>
          </cell>
          <cell r="W43">
            <v>0</v>
          </cell>
          <cell r="X43">
            <v>0</v>
          </cell>
          <cell r="Y43">
            <v>0</v>
          </cell>
          <cell r="Z43">
            <v>0</v>
          </cell>
          <cell r="AA43">
            <v>11</v>
          </cell>
          <cell r="AB43">
            <v>0</v>
          </cell>
          <cell r="AC43">
            <v>3</v>
          </cell>
        </row>
        <row r="44">
          <cell r="D44">
            <v>37</v>
          </cell>
          <cell r="E44">
            <v>667</v>
          </cell>
          <cell r="F44">
            <v>13</v>
          </cell>
          <cell r="G44">
            <v>442</v>
          </cell>
          <cell r="H44">
            <v>24</v>
          </cell>
          <cell r="I44">
            <v>310</v>
          </cell>
          <cell r="J44">
            <v>184</v>
          </cell>
          <cell r="K44">
            <v>357</v>
          </cell>
          <cell r="L44">
            <v>53</v>
          </cell>
          <cell r="M44">
            <v>580</v>
          </cell>
          <cell r="N44">
            <v>3</v>
          </cell>
          <cell r="O44">
            <v>228</v>
          </cell>
          <cell r="P44">
            <v>90</v>
          </cell>
          <cell r="Q44">
            <v>891</v>
          </cell>
          <cell r="R44">
            <v>207</v>
          </cell>
          <cell r="S44">
            <v>1915</v>
          </cell>
          <cell r="T44">
            <v>54</v>
          </cell>
          <cell r="U44">
            <v>695</v>
          </cell>
          <cell r="V44">
            <v>80</v>
          </cell>
          <cell r="W44">
            <v>573</v>
          </cell>
          <cell r="X44">
            <v>10</v>
          </cell>
          <cell r="Y44">
            <v>579</v>
          </cell>
          <cell r="Z44">
            <v>44</v>
          </cell>
          <cell r="AA44">
            <v>975</v>
          </cell>
          <cell r="AB44">
            <v>48</v>
          </cell>
          <cell r="AC44">
            <v>320</v>
          </cell>
        </row>
        <row r="45">
          <cell r="D45">
            <v>0</v>
          </cell>
          <cell r="E45">
            <v>0</v>
          </cell>
          <cell r="F45">
            <v>0</v>
          </cell>
          <cell r="G45">
            <v>0</v>
          </cell>
          <cell r="H45">
            <v>0</v>
          </cell>
          <cell r="I45">
            <v>94</v>
          </cell>
          <cell r="J45">
            <v>0</v>
          </cell>
          <cell r="K45">
            <v>0</v>
          </cell>
          <cell r="L45">
            <v>0</v>
          </cell>
          <cell r="M45">
            <v>10</v>
          </cell>
          <cell r="N45">
            <v>0</v>
          </cell>
          <cell r="O45">
            <v>0</v>
          </cell>
          <cell r="P45">
            <v>1</v>
          </cell>
          <cell r="Q45">
            <v>0</v>
          </cell>
          <cell r="R45">
            <v>0</v>
          </cell>
          <cell r="S45">
            <v>0</v>
          </cell>
          <cell r="T45">
            <v>2</v>
          </cell>
          <cell r="U45">
            <v>75</v>
          </cell>
          <cell r="V45">
            <v>0</v>
          </cell>
          <cell r="W45">
            <v>0</v>
          </cell>
          <cell r="X45">
            <v>0</v>
          </cell>
          <cell r="Y45">
            <v>0</v>
          </cell>
          <cell r="Z45">
            <v>0</v>
          </cell>
          <cell r="AA45">
            <v>0</v>
          </cell>
          <cell r="AB45">
            <v>0</v>
          </cell>
          <cell r="AC45">
            <v>0</v>
          </cell>
        </row>
        <row r="46">
          <cell r="D46">
            <v>38</v>
          </cell>
          <cell r="E46">
            <v>227</v>
          </cell>
          <cell r="F46">
            <v>19</v>
          </cell>
          <cell r="G46">
            <v>214</v>
          </cell>
          <cell r="H46">
            <v>32</v>
          </cell>
          <cell r="I46">
            <v>123</v>
          </cell>
          <cell r="J46">
            <v>106</v>
          </cell>
          <cell r="K46">
            <v>95</v>
          </cell>
          <cell r="L46">
            <v>11</v>
          </cell>
          <cell r="M46">
            <v>108</v>
          </cell>
          <cell r="N46">
            <v>2</v>
          </cell>
          <cell r="O46">
            <v>58</v>
          </cell>
          <cell r="P46">
            <v>60</v>
          </cell>
          <cell r="Q46">
            <v>270</v>
          </cell>
          <cell r="R46">
            <v>112</v>
          </cell>
          <cell r="S46">
            <v>294</v>
          </cell>
          <cell r="T46">
            <v>39</v>
          </cell>
          <cell r="U46">
            <v>96</v>
          </cell>
          <cell r="V46">
            <v>88</v>
          </cell>
          <cell r="W46">
            <v>248</v>
          </cell>
          <cell r="X46">
            <v>14</v>
          </cell>
          <cell r="Y46">
            <v>41</v>
          </cell>
          <cell r="Z46">
            <v>22</v>
          </cell>
          <cell r="AA46">
            <v>180</v>
          </cell>
          <cell r="AB46">
            <v>31</v>
          </cell>
          <cell r="AC46">
            <v>183</v>
          </cell>
        </row>
        <row r="47">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row>
        <row r="48">
          <cell r="D48">
            <v>22</v>
          </cell>
          <cell r="E48">
            <v>227</v>
          </cell>
          <cell r="F48">
            <v>31</v>
          </cell>
          <cell r="G48">
            <v>146</v>
          </cell>
          <cell r="H48">
            <v>14</v>
          </cell>
          <cell r="I48">
            <v>91</v>
          </cell>
          <cell r="J48">
            <v>8</v>
          </cell>
          <cell r="K48">
            <v>111</v>
          </cell>
          <cell r="L48">
            <v>0</v>
          </cell>
          <cell r="M48">
            <v>84</v>
          </cell>
          <cell r="N48">
            <v>6</v>
          </cell>
          <cell r="O48">
            <v>56</v>
          </cell>
          <cell r="P48">
            <v>33</v>
          </cell>
          <cell r="Q48">
            <v>194</v>
          </cell>
          <cell r="R48">
            <v>59</v>
          </cell>
          <cell r="S48">
            <v>295</v>
          </cell>
          <cell r="T48">
            <v>43</v>
          </cell>
          <cell r="U48">
            <v>156</v>
          </cell>
          <cell r="V48">
            <v>107</v>
          </cell>
          <cell r="W48">
            <v>223</v>
          </cell>
          <cell r="X48">
            <v>18</v>
          </cell>
          <cell r="Y48">
            <v>53</v>
          </cell>
          <cell r="Z48">
            <v>28</v>
          </cell>
          <cell r="AA48">
            <v>156</v>
          </cell>
          <cell r="AB48">
            <v>45</v>
          </cell>
          <cell r="AC48">
            <v>191</v>
          </cell>
        </row>
        <row r="49">
          <cell r="D49">
            <v>3</v>
          </cell>
          <cell r="E49">
            <v>129</v>
          </cell>
          <cell r="F49">
            <v>1</v>
          </cell>
          <cell r="G49">
            <v>139</v>
          </cell>
          <cell r="H49">
            <v>7</v>
          </cell>
          <cell r="I49">
            <v>64</v>
          </cell>
          <cell r="J49">
            <v>4</v>
          </cell>
          <cell r="K49">
            <v>53</v>
          </cell>
          <cell r="L49">
            <v>0</v>
          </cell>
          <cell r="M49">
            <v>55</v>
          </cell>
          <cell r="N49">
            <v>0</v>
          </cell>
          <cell r="O49">
            <v>15</v>
          </cell>
          <cell r="P49">
            <v>0</v>
          </cell>
          <cell r="Q49">
            <v>111</v>
          </cell>
          <cell r="R49">
            <v>3</v>
          </cell>
          <cell r="S49">
            <v>149</v>
          </cell>
          <cell r="T49">
            <v>0</v>
          </cell>
          <cell r="U49">
            <v>81</v>
          </cell>
          <cell r="V49">
            <v>5</v>
          </cell>
          <cell r="W49">
            <v>126</v>
          </cell>
          <cell r="X49">
            <v>0</v>
          </cell>
          <cell r="Y49">
            <v>29</v>
          </cell>
          <cell r="Z49">
            <v>0</v>
          </cell>
          <cell r="AA49">
            <v>93</v>
          </cell>
          <cell r="AB49">
            <v>2</v>
          </cell>
          <cell r="AC49">
            <v>109</v>
          </cell>
        </row>
        <row r="50">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row>
        <row r="53">
          <cell r="E53">
            <v>41</v>
          </cell>
          <cell r="G53">
            <v>86</v>
          </cell>
          <cell r="I53">
            <v>61</v>
          </cell>
          <cell r="K53">
            <v>134</v>
          </cell>
          <cell r="M53">
            <v>107</v>
          </cell>
          <cell r="O53">
            <v>106</v>
          </cell>
          <cell r="Q53">
            <v>102</v>
          </cell>
          <cell r="S53">
            <v>250</v>
          </cell>
          <cell r="U53">
            <v>46</v>
          </cell>
          <cell r="W53">
            <v>130</v>
          </cell>
          <cell r="Y53">
            <v>20</v>
          </cell>
          <cell r="AA53">
            <v>92</v>
          </cell>
          <cell r="AC53">
            <v>61</v>
          </cell>
        </row>
        <row r="54">
          <cell r="E54">
            <v>230</v>
          </cell>
          <cell r="G54">
            <v>294</v>
          </cell>
          <cell r="I54">
            <v>98</v>
          </cell>
          <cell r="K54">
            <v>125</v>
          </cell>
          <cell r="M54">
            <v>189</v>
          </cell>
          <cell r="O54">
            <v>69</v>
          </cell>
          <cell r="Q54">
            <v>290</v>
          </cell>
          <cell r="S54">
            <v>188</v>
          </cell>
          <cell r="U54">
            <v>76</v>
          </cell>
          <cell r="W54">
            <v>158</v>
          </cell>
          <cell r="Y54">
            <v>4</v>
          </cell>
          <cell r="AA54">
            <v>101</v>
          </cell>
          <cell r="AC54">
            <v>92</v>
          </cell>
        </row>
        <row r="55">
          <cell r="E55">
            <v>0</v>
          </cell>
          <cell r="G55">
            <v>0</v>
          </cell>
          <cell r="I55">
            <v>0</v>
          </cell>
          <cell r="K55">
            <v>0</v>
          </cell>
          <cell r="M55">
            <v>0</v>
          </cell>
          <cell r="O55">
            <v>0</v>
          </cell>
          <cell r="Q55">
            <v>0</v>
          </cell>
          <cell r="S55">
            <v>8</v>
          </cell>
          <cell r="U55">
            <v>0</v>
          </cell>
          <cell r="W55">
            <v>0</v>
          </cell>
          <cell r="Y55">
            <v>0</v>
          </cell>
          <cell r="AA55">
            <v>0</v>
          </cell>
          <cell r="AC55">
            <v>0</v>
          </cell>
        </row>
        <row r="56">
          <cell r="E56">
            <v>151</v>
          </cell>
          <cell r="G56">
            <v>179</v>
          </cell>
          <cell r="I56">
            <v>77</v>
          </cell>
          <cell r="K56">
            <v>85</v>
          </cell>
          <cell r="M56">
            <v>2</v>
          </cell>
          <cell r="O56">
            <v>9</v>
          </cell>
          <cell r="Q56">
            <v>176</v>
          </cell>
          <cell r="S56">
            <v>357</v>
          </cell>
          <cell r="U56">
            <v>49</v>
          </cell>
          <cell r="W56">
            <v>135</v>
          </cell>
          <cell r="Y56">
            <v>40</v>
          </cell>
          <cell r="AA56">
            <v>62</v>
          </cell>
          <cell r="AC56">
            <v>105</v>
          </cell>
        </row>
        <row r="57">
          <cell r="E57">
            <v>39</v>
          </cell>
          <cell r="G57">
            <v>43</v>
          </cell>
          <cell r="I57">
            <v>15</v>
          </cell>
          <cell r="K57">
            <v>36</v>
          </cell>
          <cell r="M57">
            <v>33</v>
          </cell>
          <cell r="O57">
            <v>0</v>
          </cell>
          <cell r="Q57">
            <v>30</v>
          </cell>
          <cell r="S57">
            <v>32</v>
          </cell>
          <cell r="U57">
            <v>5</v>
          </cell>
          <cell r="W57">
            <v>16</v>
          </cell>
          <cell r="Y57">
            <v>18</v>
          </cell>
          <cell r="AA57">
            <v>18</v>
          </cell>
          <cell r="AC57">
            <v>11</v>
          </cell>
        </row>
        <row r="58">
          <cell r="E58">
            <v>82</v>
          </cell>
          <cell r="G58">
            <v>78</v>
          </cell>
          <cell r="I58">
            <v>16</v>
          </cell>
          <cell r="K58">
            <v>55</v>
          </cell>
          <cell r="M58">
            <v>14</v>
          </cell>
          <cell r="O58">
            <v>20</v>
          </cell>
          <cell r="Q58">
            <v>124</v>
          </cell>
          <cell r="S58">
            <v>132</v>
          </cell>
          <cell r="U58">
            <v>39</v>
          </cell>
          <cell r="W58">
            <v>46</v>
          </cell>
          <cell r="Y58">
            <v>11</v>
          </cell>
          <cell r="AA58">
            <v>29</v>
          </cell>
          <cell r="AC58">
            <v>26</v>
          </cell>
        </row>
        <row r="59">
          <cell r="E59">
            <v>93</v>
          </cell>
          <cell r="G59">
            <v>43</v>
          </cell>
          <cell r="I59">
            <v>40</v>
          </cell>
          <cell r="K59">
            <v>38</v>
          </cell>
          <cell r="M59">
            <v>67</v>
          </cell>
          <cell r="O59">
            <v>17</v>
          </cell>
          <cell r="Q59">
            <v>61</v>
          </cell>
          <cell r="S59">
            <v>139</v>
          </cell>
          <cell r="U59">
            <v>9</v>
          </cell>
          <cell r="W59">
            <v>44</v>
          </cell>
          <cell r="Y59">
            <v>6</v>
          </cell>
          <cell r="AA59">
            <v>32</v>
          </cell>
          <cell r="AC59">
            <v>24</v>
          </cell>
        </row>
        <row r="60">
          <cell r="E60">
            <v>0</v>
          </cell>
          <cell r="G60">
            <v>39</v>
          </cell>
          <cell r="I60">
            <v>0</v>
          </cell>
          <cell r="K60">
            <v>0</v>
          </cell>
          <cell r="M60">
            <v>0</v>
          </cell>
          <cell r="O60">
            <v>0</v>
          </cell>
          <cell r="Q60">
            <v>0</v>
          </cell>
          <cell r="S60">
            <v>22</v>
          </cell>
          <cell r="U60">
            <v>0</v>
          </cell>
          <cell r="W60">
            <v>0</v>
          </cell>
          <cell r="Y60">
            <v>0</v>
          </cell>
          <cell r="AA60">
            <v>0</v>
          </cell>
          <cell r="AC60">
            <v>0</v>
          </cell>
        </row>
        <row r="61">
          <cell r="E61">
            <v>0</v>
          </cell>
          <cell r="G61">
            <v>0</v>
          </cell>
          <cell r="I61">
            <v>0</v>
          </cell>
          <cell r="K61">
            <v>0</v>
          </cell>
          <cell r="M61">
            <v>0</v>
          </cell>
          <cell r="O61">
            <v>0</v>
          </cell>
          <cell r="Q61">
            <v>0</v>
          </cell>
          <cell r="S61">
            <v>2</v>
          </cell>
          <cell r="U61">
            <v>0</v>
          </cell>
          <cell r="W61">
            <v>0</v>
          </cell>
          <cell r="Y61">
            <v>0</v>
          </cell>
          <cell r="AA61">
            <v>0</v>
          </cell>
          <cell r="AC61">
            <v>0</v>
          </cell>
        </row>
        <row r="62">
          <cell r="E62">
            <v>0</v>
          </cell>
          <cell r="G62">
            <v>0</v>
          </cell>
          <cell r="I62">
            <v>0</v>
          </cell>
          <cell r="K62">
            <v>0</v>
          </cell>
          <cell r="M62">
            <v>0</v>
          </cell>
          <cell r="O62">
            <v>0</v>
          </cell>
          <cell r="Q62">
            <v>0</v>
          </cell>
          <cell r="S62">
            <v>2</v>
          </cell>
          <cell r="U62">
            <v>0</v>
          </cell>
          <cell r="W62">
            <v>0</v>
          </cell>
          <cell r="Y62">
            <v>0</v>
          </cell>
          <cell r="AA62">
            <v>0</v>
          </cell>
          <cell r="AC62">
            <v>0</v>
          </cell>
        </row>
        <row r="63">
          <cell r="E63">
            <v>0</v>
          </cell>
          <cell r="G63">
            <v>0</v>
          </cell>
          <cell r="I63">
            <v>0</v>
          </cell>
          <cell r="K63">
            <v>0</v>
          </cell>
          <cell r="M63">
            <v>0</v>
          </cell>
          <cell r="O63">
            <v>0</v>
          </cell>
          <cell r="Q63">
            <v>0</v>
          </cell>
          <cell r="S63">
            <v>0</v>
          </cell>
          <cell r="U63">
            <v>0</v>
          </cell>
          <cell r="W63">
            <v>0</v>
          </cell>
          <cell r="Y63">
            <v>0</v>
          </cell>
          <cell r="AA63">
            <v>0</v>
          </cell>
          <cell r="AC63">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sheetData sheetId="3"/>
      <sheetData sheetId="4"/>
      <sheetData sheetId="5"/>
      <sheetData sheetId="6"/>
      <sheetData sheetId="7">
        <row r="12">
          <cell r="B12">
            <v>7035</v>
          </cell>
          <cell r="Y12">
            <v>757</v>
          </cell>
          <cell r="Z12">
            <v>606</v>
          </cell>
          <cell r="AA12">
            <v>52</v>
          </cell>
          <cell r="AC12">
            <v>5</v>
          </cell>
          <cell r="AD12">
            <v>3</v>
          </cell>
          <cell r="AE12">
            <v>0</v>
          </cell>
        </row>
        <row r="13">
          <cell r="B13">
            <v>24604</v>
          </cell>
          <cell r="Y13">
            <v>1</v>
          </cell>
          <cell r="Z13">
            <v>0</v>
          </cell>
          <cell r="AA13">
            <v>0</v>
          </cell>
          <cell r="AC13">
            <v>2763</v>
          </cell>
          <cell r="AD13">
            <v>931</v>
          </cell>
          <cell r="AE13">
            <v>0</v>
          </cell>
        </row>
        <row r="14">
          <cell r="B14">
            <v>1138</v>
          </cell>
          <cell r="Y14">
            <v>0</v>
          </cell>
          <cell r="Z14">
            <v>0</v>
          </cell>
          <cell r="AA14">
            <v>0</v>
          </cell>
        </row>
        <row r="15">
          <cell r="B15">
            <v>572</v>
          </cell>
          <cell r="Y15">
            <v>0</v>
          </cell>
          <cell r="Z15">
            <v>0</v>
          </cell>
          <cell r="AA15">
            <v>0</v>
          </cell>
          <cell r="AC15">
            <v>13</v>
          </cell>
          <cell r="AD15">
            <v>44</v>
          </cell>
          <cell r="AE15">
            <v>0</v>
          </cell>
        </row>
        <row r="16">
          <cell r="B16">
            <v>4832</v>
          </cell>
          <cell r="Y16">
            <v>18</v>
          </cell>
          <cell r="Z16">
            <v>189</v>
          </cell>
          <cell r="AA16">
            <v>0</v>
          </cell>
          <cell r="AC16">
            <v>119</v>
          </cell>
          <cell r="AD16">
            <v>366</v>
          </cell>
          <cell r="AE16">
            <v>0</v>
          </cell>
        </row>
        <row r="17">
          <cell r="B17">
            <v>1020</v>
          </cell>
          <cell r="Y17">
            <v>0</v>
          </cell>
          <cell r="Z17">
            <v>2</v>
          </cell>
          <cell r="AA17">
            <v>0</v>
          </cell>
          <cell r="AC17">
            <v>20</v>
          </cell>
          <cell r="AD17">
            <v>164</v>
          </cell>
          <cell r="AE17">
            <v>0</v>
          </cell>
        </row>
        <row r="18">
          <cell r="B18">
            <v>1235</v>
          </cell>
          <cell r="Y18">
            <v>0</v>
          </cell>
          <cell r="Z18">
            <v>0</v>
          </cell>
          <cell r="AA18">
            <v>0</v>
          </cell>
          <cell r="AC18">
            <v>17</v>
          </cell>
          <cell r="AD18">
            <v>155</v>
          </cell>
          <cell r="AE18">
            <v>0</v>
          </cell>
        </row>
        <row r="19">
          <cell r="B19">
            <v>0</v>
          </cell>
          <cell r="Y19">
            <v>0</v>
          </cell>
          <cell r="Z19">
            <v>0</v>
          </cell>
          <cell r="AA19">
            <v>0</v>
          </cell>
          <cell r="AC19">
            <v>0</v>
          </cell>
          <cell r="AD19">
            <v>0</v>
          </cell>
          <cell r="AE19">
            <v>0</v>
          </cell>
        </row>
        <row r="20">
          <cell r="B20">
            <v>385</v>
          </cell>
          <cell r="Y20">
            <v>0</v>
          </cell>
          <cell r="Z20">
            <v>0</v>
          </cell>
          <cell r="AA20">
            <v>0</v>
          </cell>
          <cell r="AC20">
            <v>1</v>
          </cell>
          <cell r="AD20">
            <v>51</v>
          </cell>
          <cell r="AE20">
            <v>0</v>
          </cell>
        </row>
        <row r="21">
          <cell r="B21">
            <v>0</v>
          </cell>
          <cell r="Y21">
            <v>0</v>
          </cell>
          <cell r="Z21">
            <v>0</v>
          </cell>
          <cell r="AA21">
            <v>0</v>
          </cell>
          <cell r="AC21">
            <v>0</v>
          </cell>
          <cell r="AD21">
            <v>0</v>
          </cell>
          <cell r="AE21">
            <v>0</v>
          </cell>
        </row>
        <row r="22">
          <cell r="B22">
            <v>854</v>
          </cell>
          <cell r="Y22">
            <v>0</v>
          </cell>
          <cell r="Z22">
            <v>0</v>
          </cell>
          <cell r="AA22">
            <v>0</v>
          </cell>
          <cell r="AC22">
            <v>45</v>
          </cell>
          <cell r="AD22">
            <v>79</v>
          </cell>
          <cell r="AE22">
            <v>0</v>
          </cell>
        </row>
        <row r="23">
          <cell r="B23">
            <v>0</v>
          </cell>
          <cell r="Y23">
            <v>0</v>
          </cell>
          <cell r="Z23">
            <v>0</v>
          </cell>
          <cell r="AA23">
            <v>0</v>
          </cell>
          <cell r="AC23">
            <v>0</v>
          </cell>
          <cell r="AD23">
            <v>0</v>
          </cell>
          <cell r="AE23">
            <v>0</v>
          </cell>
        </row>
        <row r="24">
          <cell r="B24">
            <v>1969</v>
          </cell>
          <cell r="Y24">
            <v>0</v>
          </cell>
          <cell r="Z24">
            <v>0</v>
          </cell>
          <cell r="AA24">
            <v>0</v>
          </cell>
          <cell r="AC24">
            <v>143</v>
          </cell>
          <cell r="AD24">
            <v>98</v>
          </cell>
          <cell r="AE24">
            <v>0</v>
          </cell>
        </row>
        <row r="25">
          <cell r="B25">
            <v>4008</v>
          </cell>
          <cell r="Y25">
            <v>337</v>
          </cell>
          <cell r="Z25">
            <v>82</v>
          </cell>
          <cell r="AA25">
            <v>0</v>
          </cell>
          <cell r="AC25">
            <v>660</v>
          </cell>
          <cell r="AD25">
            <v>169</v>
          </cell>
          <cell r="AE25">
            <v>0</v>
          </cell>
        </row>
        <row r="26">
          <cell r="B26">
            <v>436</v>
          </cell>
          <cell r="Y26">
            <v>7</v>
          </cell>
          <cell r="Z26">
            <v>3</v>
          </cell>
          <cell r="AA26">
            <v>0</v>
          </cell>
          <cell r="AC26">
            <v>80</v>
          </cell>
          <cell r="AD26">
            <v>28</v>
          </cell>
          <cell r="AE26">
            <v>0</v>
          </cell>
        </row>
        <row r="27">
          <cell r="B27">
            <v>495</v>
          </cell>
          <cell r="Y27">
            <v>0</v>
          </cell>
          <cell r="Z27">
            <v>0</v>
          </cell>
          <cell r="AA27">
            <v>0</v>
          </cell>
          <cell r="AC27">
            <v>2</v>
          </cell>
          <cell r="AD27">
            <v>4</v>
          </cell>
          <cell r="AE27">
            <v>0</v>
          </cell>
        </row>
        <row r="28">
          <cell r="B28">
            <v>0</v>
          </cell>
          <cell r="AC28">
            <v>0</v>
          </cell>
          <cell r="AD28">
            <v>0</v>
          </cell>
          <cell r="AE28">
            <v>0</v>
          </cell>
        </row>
        <row r="29">
          <cell r="B29">
            <v>954</v>
          </cell>
          <cell r="Y29">
            <v>6</v>
          </cell>
          <cell r="Z29">
            <v>123</v>
          </cell>
          <cell r="AA29">
            <v>0</v>
          </cell>
          <cell r="AC29">
            <v>51</v>
          </cell>
          <cell r="AD29">
            <v>215</v>
          </cell>
          <cell r="AE29">
            <v>0</v>
          </cell>
        </row>
        <row r="30">
          <cell r="B30">
            <v>10088</v>
          </cell>
          <cell r="Y30">
            <v>369</v>
          </cell>
          <cell r="Z30">
            <v>308</v>
          </cell>
          <cell r="AA30">
            <v>12</v>
          </cell>
          <cell r="AC30">
            <v>907</v>
          </cell>
          <cell r="AD30">
            <v>418</v>
          </cell>
          <cell r="AE30">
            <v>0</v>
          </cell>
        </row>
        <row r="31">
          <cell r="B31">
            <v>0</v>
          </cell>
          <cell r="Y31">
            <v>0</v>
          </cell>
          <cell r="Z31">
            <v>0</v>
          </cell>
          <cell r="AA31">
            <v>0</v>
          </cell>
          <cell r="AC31">
            <v>0</v>
          </cell>
          <cell r="AD31">
            <v>0</v>
          </cell>
          <cell r="AE31">
            <v>0</v>
          </cell>
        </row>
        <row r="32">
          <cell r="B32">
            <v>3007</v>
          </cell>
          <cell r="Y32">
            <v>129</v>
          </cell>
          <cell r="Z32">
            <v>19</v>
          </cell>
          <cell r="AA32">
            <v>5</v>
          </cell>
          <cell r="AC32">
            <v>412</v>
          </cell>
          <cell r="AD32">
            <v>51</v>
          </cell>
          <cell r="AE32">
            <v>58</v>
          </cell>
        </row>
        <row r="33">
          <cell r="B33">
            <v>0</v>
          </cell>
          <cell r="Y33">
            <v>0</v>
          </cell>
          <cell r="Z33">
            <v>0</v>
          </cell>
          <cell r="AA33">
            <v>0</v>
          </cell>
          <cell r="AC33">
            <v>0</v>
          </cell>
          <cell r="AD33">
            <v>0</v>
          </cell>
          <cell r="AE33">
            <v>0</v>
          </cell>
        </row>
        <row r="34">
          <cell r="B34">
            <v>1782</v>
          </cell>
          <cell r="Y34">
            <v>564</v>
          </cell>
          <cell r="Z34">
            <v>154</v>
          </cell>
          <cell r="AA34">
            <v>31</v>
          </cell>
          <cell r="AC34">
            <v>0</v>
          </cell>
          <cell r="AD34">
            <v>1</v>
          </cell>
          <cell r="AE34">
            <v>0</v>
          </cell>
        </row>
        <row r="35">
          <cell r="B35">
            <v>14779</v>
          </cell>
          <cell r="AC35">
            <v>2506</v>
          </cell>
          <cell r="AD35">
            <v>514</v>
          </cell>
          <cell r="AE35">
            <v>15</v>
          </cell>
        </row>
        <row r="36">
          <cell r="B36">
            <v>0</v>
          </cell>
          <cell r="Y36">
            <v>0</v>
          </cell>
          <cell r="Z36">
            <v>0</v>
          </cell>
          <cell r="AA36">
            <v>0</v>
          </cell>
          <cell r="AC36">
            <v>0</v>
          </cell>
          <cell r="AD36">
            <v>0</v>
          </cell>
          <cell r="AE36">
            <v>0</v>
          </cell>
        </row>
        <row r="37">
          <cell r="B37">
            <v>899</v>
          </cell>
          <cell r="AC37">
            <v>30</v>
          </cell>
          <cell r="AD37">
            <v>35</v>
          </cell>
          <cell r="AE37">
            <v>0</v>
          </cell>
        </row>
        <row r="38">
          <cell r="B38">
            <v>673</v>
          </cell>
          <cell r="AC38">
            <v>225</v>
          </cell>
          <cell r="AD38">
            <v>54</v>
          </cell>
          <cell r="AE38">
            <v>0</v>
          </cell>
        </row>
        <row r="39">
          <cell r="B39">
            <v>0</v>
          </cell>
          <cell r="Y39">
            <v>0</v>
          </cell>
          <cell r="Z39">
            <v>0</v>
          </cell>
          <cell r="AA39">
            <v>0</v>
          </cell>
          <cell r="AC39">
            <v>0</v>
          </cell>
          <cell r="AD39">
            <v>0</v>
          </cell>
          <cell r="AE39">
            <v>0</v>
          </cell>
        </row>
        <row r="40">
          <cell r="B40">
            <v>1105</v>
          </cell>
          <cell r="Y40">
            <v>1</v>
          </cell>
          <cell r="Z40">
            <v>4</v>
          </cell>
          <cell r="AA40">
            <v>0</v>
          </cell>
          <cell r="AC40">
            <v>14</v>
          </cell>
          <cell r="AD40">
            <v>31</v>
          </cell>
          <cell r="AE40">
            <v>0</v>
          </cell>
        </row>
        <row r="41">
          <cell r="B41">
            <v>0</v>
          </cell>
          <cell r="AC41">
            <v>0</v>
          </cell>
          <cell r="AD41">
            <v>0</v>
          </cell>
          <cell r="AE41">
            <v>0</v>
          </cell>
        </row>
        <row r="42">
          <cell r="B42">
            <v>0</v>
          </cell>
          <cell r="Y42">
            <v>0</v>
          </cell>
          <cell r="Z42">
            <v>0</v>
          </cell>
          <cell r="AA42">
            <v>0</v>
          </cell>
          <cell r="AC42">
            <v>0</v>
          </cell>
          <cell r="AD42">
            <v>0</v>
          </cell>
          <cell r="AE42">
            <v>0</v>
          </cell>
        </row>
        <row r="43">
          <cell r="B43">
            <v>0</v>
          </cell>
          <cell r="AC43">
            <v>0</v>
          </cell>
          <cell r="AD43">
            <v>0</v>
          </cell>
          <cell r="AE43">
            <v>0</v>
          </cell>
        </row>
        <row r="44">
          <cell r="B44">
            <v>3069</v>
          </cell>
          <cell r="Y44">
            <v>9</v>
          </cell>
          <cell r="Z44">
            <v>39</v>
          </cell>
          <cell r="AA44">
            <v>5</v>
          </cell>
          <cell r="AC44">
            <v>574</v>
          </cell>
          <cell r="AD44">
            <v>217</v>
          </cell>
          <cell r="AE44">
            <v>3</v>
          </cell>
        </row>
        <row r="45">
          <cell r="B45">
            <v>0</v>
          </cell>
          <cell r="Y45">
            <v>0</v>
          </cell>
          <cell r="Z45">
            <v>0</v>
          </cell>
          <cell r="AA45">
            <v>0</v>
          </cell>
          <cell r="AC45">
            <v>0</v>
          </cell>
          <cell r="AD45">
            <v>0</v>
          </cell>
          <cell r="AE45">
            <v>0</v>
          </cell>
        </row>
        <row r="46">
          <cell r="B46">
            <v>0</v>
          </cell>
          <cell r="Y46">
            <v>0</v>
          </cell>
          <cell r="Z46">
            <v>0</v>
          </cell>
          <cell r="AA46">
            <v>0</v>
          </cell>
          <cell r="AC46">
            <v>0</v>
          </cell>
          <cell r="AD46">
            <v>0</v>
          </cell>
          <cell r="AE46">
            <v>0</v>
          </cell>
        </row>
        <row r="47">
          <cell r="B47">
            <v>7124</v>
          </cell>
          <cell r="Y47">
            <v>19</v>
          </cell>
          <cell r="Z47">
            <v>2</v>
          </cell>
          <cell r="AA47">
            <v>0</v>
          </cell>
          <cell r="AC47">
            <v>1527</v>
          </cell>
          <cell r="AD47">
            <v>186</v>
          </cell>
          <cell r="AE47">
            <v>1</v>
          </cell>
        </row>
        <row r="48">
          <cell r="B48">
            <v>2805</v>
          </cell>
          <cell r="Y48">
            <v>9</v>
          </cell>
          <cell r="Z48">
            <v>2</v>
          </cell>
          <cell r="AA48">
            <v>0</v>
          </cell>
          <cell r="AC48">
            <v>614</v>
          </cell>
          <cell r="AD48">
            <v>88</v>
          </cell>
          <cell r="AE48">
            <v>0</v>
          </cell>
        </row>
        <row r="49">
          <cell r="B49">
            <v>5367</v>
          </cell>
          <cell r="Y49">
            <v>12</v>
          </cell>
          <cell r="Z49">
            <v>7</v>
          </cell>
          <cell r="AA49">
            <v>0</v>
          </cell>
          <cell r="AC49">
            <v>1204</v>
          </cell>
          <cell r="AD49">
            <v>182</v>
          </cell>
          <cell r="AE49">
            <v>2</v>
          </cell>
        </row>
        <row r="50">
          <cell r="B50">
            <v>600</v>
          </cell>
          <cell r="Y50">
            <v>0</v>
          </cell>
          <cell r="Z50">
            <v>0</v>
          </cell>
          <cell r="AA50">
            <v>0</v>
          </cell>
          <cell r="AC50">
            <v>0</v>
          </cell>
          <cell r="AD50">
            <v>1</v>
          </cell>
          <cell r="AE50">
            <v>0</v>
          </cell>
        </row>
        <row r="51">
          <cell r="B51">
            <v>6890</v>
          </cell>
          <cell r="Y51">
            <v>158</v>
          </cell>
          <cell r="Z51">
            <v>177</v>
          </cell>
          <cell r="AA51">
            <v>27</v>
          </cell>
          <cell r="AC51">
            <v>1416</v>
          </cell>
          <cell r="AD51">
            <v>1381</v>
          </cell>
          <cell r="AE51">
            <v>196</v>
          </cell>
        </row>
        <row r="52">
          <cell r="B52">
            <v>1912</v>
          </cell>
          <cell r="Y52">
            <v>0</v>
          </cell>
          <cell r="Z52">
            <v>0</v>
          </cell>
          <cell r="AA52">
            <v>0</v>
          </cell>
          <cell r="AC52">
            <v>0</v>
          </cell>
          <cell r="AD52">
            <v>0</v>
          </cell>
          <cell r="AE52">
            <v>0</v>
          </cell>
        </row>
        <row r="53">
          <cell r="B53">
            <v>7122</v>
          </cell>
          <cell r="Y53">
            <v>542</v>
          </cell>
          <cell r="Z53">
            <v>503</v>
          </cell>
          <cell r="AA53">
            <v>5</v>
          </cell>
          <cell r="AC53">
            <v>1695</v>
          </cell>
          <cell r="AD53">
            <v>982</v>
          </cell>
          <cell r="AE53">
            <v>6</v>
          </cell>
        </row>
        <row r="54">
          <cell r="B54">
            <v>0</v>
          </cell>
          <cell r="AC54">
            <v>0</v>
          </cell>
          <cell r="AD54">
            <v>0</v>
          </cell>
          <cell r="AE54">
            <v>0</v>
          </cell>
        </row>
        <row r="55">
          <cell r="B55">
            <v>10417</v>
          </cell>
          <cell r="Y55">
            <v>201</v>
          </cell>
          <cell r="Z55">
            <v>60</v>
          </cell>
          <cell r="AA55">
            <v>0</v>
          </cell>
          <cell r="AC55">
            <v>1055</v>
          </cell>
          <cell r="AD55">
            <v>175</v>
          </cell>
          <cell r="AE55">
            <v>0</v>
          </cell>
        </row>
        <row r="56">
          <cell r="B56">
            <v>4567</v>
          </cell>
          <cell r="Y56">
            <v>6</v>
          </cell>
          <cell r="Z56">
            <v>2</v>
          </cell>
          <cell r="AA56">
            <v>0</v>
          </cell>
          <cell r="AC56">
            <v>627</v>
          </cell>
          <cell r="AD56">
            <v>316</v>
          </cell>
          <cell r="AE56">
            <v>0</v>
          </cell>
        </row>
        <row r="57">
          <cell r="B57">
            <v>0</v>
          </cell>
          <cell r="Y57">
            <v>0</v>
          </cell>
          <cell r="Z57">
            <v>0</v>
          </cell>
          <cell r="AA57">
            <v>0</v>
          </cell>
          <cell r="AC57">
            <v>0</v>
          </cell>
          <cell r="AD57">
            <v>0</v>
          </cell>
          <cell r="AE57">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sheetData sheetId="1"/>
      <sheetData sheetId="2"/>
      <sheetData sheetId="3"/>
      <sheetData sheetId="4"/>
      <sheetData sheetId="5"/>
      <sheetData sheetId="6"/>
      <sheetData sheetId="7"/>
      <sheetData sheetId="8"/>
      <sheetData sheetId="9">
        <row r="11">
          <cell r="D11">
            <v>2277</v>
          </cell>
        </row>
        <row r="13">
          <cell r="D13">
            <v>460</v>
          </cell>
        </row>
        <row r="21">
          <cell r="E21">
            <v>181</v>
          </cell>
          <cell r="F21">
            <v>66</v>
          </cell>
          <cell r="G21">
            <v>218</v>
          </cell>
          <cell r="H21">
            <v>123</v>
          </cell>
          <cell r="I21">
            <v>356</v>
          </cell>
          <cell r="J21">
            <v>344</v>
          </cell>
          <cell r="K21">
            <v>750</v>
          </cell>
          <cell r="L21">
            <v>377</v>
          </cell>
        </row>
        <row r="22">
          <cell r="E22">
            <v>2</v>
          </cell>
          <cell r="F22">
            <v>14</v>
          </cell>
          <cell r="G22">
            <v>165</v>
          </cell>
          <cell r="H22">
            <v>76</v>
          </cell>
          <cell r="I22">
            <v>578</v>
          </cell>
          <cell r="J22">
            <v>1402</v>
          </cell>
          <cell r="K22">
            <v>1037</v>
          </cell>
          <cell r="L22">
            <v>304</v>
          </cell>
        </row>
        <row r="23">
          <cell r="E23">
            <v>1</v>
          </cell>
          <cell r="F23">
            <v>1</v>
          </cell>
          <cell r="G23">
            <v>6</v>
          </cell>
          <cell r="H23">
            <v>3</v>
          </cell>
          <cell r="I23">
            <v>13</v>
          </cell>
          <cell r="J23">
            <v>4</v>
          </cell>
          <cell r="K23">
            <v>8</v>
          </cell>
          <cell r="L23">
            <v>9</v>
          </cell>
        </row>
        <row r="24">
          <cell r="E24">
            <v>3</v>
          </cell>
          <cell r="F24">
            <v>4</v>
          </cell>
          <cell r="G24">
            <v>21</v>
          </cell>
          <cell r="H24">
            <v>8</v>
          </cell>
          <cell r="I24">
            <v>58</v>
          </cell>
          <cell r="J24">
            <v>9</v>
          </cell>
          <cell r="K24">
            <v>22</v>
          </cell>
          <cell r="L24">
            <v>6</v>
          </cell>
        </row>
        <row r="25">
          <cell r="E25">
            <v>1</v>
          </cell>
          <cell r="F25">
            <v>0</v>
          </cell>
          <cell r="G25">
            <v>0</v>
          </cell>
          <cell r="H25">
            <v>1</v>
          </cell>
          <cell r="I25">
            <v>14</v>
          </cell>
          <cell r="J25">
            <v>15</v>
          </cell>
          <cell r="K25">
            <v>17</v>
          </cell>
          <cell r="L25">
            <v>0</v>
          </cell>
        </row>
        <row r="26">
          <cell r="E26">
            <v>1</v>
          </cell>
          <cell r="F26">
            <v>0</v>
          </cell>
          <cell r="G26">
            <v>0</v>
          </cell>
          <cell r="H26">
            <v>2</v>
          </cell>
          <cell r="I26">
            <v>7</v>
          </cell>
          <cell r="J26">
            <v>62</v>
          </cell>
          <cell r="K26">
            <v>98</v>
          </cell>
          <cell r="L26">
            <v>117</v>
          </cell>
        </row>
      </sheetData>
      <sheetData sheetId="10"/>
      <sheetData sheetId="11"/>
      <sheetData sheetId="12">
        <row r="10">
          <cell r="B10">
            <v>139</v>
          </cell>
          <cell r="E10">
            <v>139</v>
          </cell>
          <cell r="F10">
            <v>0</v>
          </cell>
        </row>
        <row r="22">
          <cell r="B22">
            <v>13629</v>
          </cell>
        </row>
        <row r="23">
          <cell r="B23">
            <v>13</v>
          </cell>
        </row>
        <row r="24">
          <cell r="B24">
            <v>86</v>
          </cell>
        </row>
        <row r="25">
          <cell r="B25">
            <v>213</v>
          </cell>
        </row>
        <row r="26">
          <cell r="B26">
            <v>0</v>
          </cell>
        </row>
      </sheetData>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08"/>
  <sheetViews>
    <sheetView workbookViewId="0">
      <selection activeCell="D105" sqref="D105"/>
    </sheetView>
  </sheetViews>
  <sheetFormatPr baseColWidth="10" defaultColWidth="11.42578125" defaultRowHeight="12.75"/>
  <cols>
    <col min="1" max="1" width="11.42578125" style="6"/>
    <col min="2" max="2" width="6.140625" style="6" customWidth="1"/>
    <col min="3" max="3" width="81.5703125" style="6" customWidth="1"/>
    <col min="4" max="4" width="8.85546875" style="713" customWidth="1"/>
    <col min="5" max="16384" width="11.42578125" style="6"/>
  </cols>
  <sheetData>
    <row r="1" spans="2:4">
      <c r="B1" s="1042"/>
      <c r="C1" s="5"/>
    </row>
    <row r="2" spans="2:4" ht="22.9" customHeight="1">
      <c r="B2" s="1336"/>
      <c r="C2" s="1337" t="s">
        <v>1580</v>
      </c>
      <c r="D2" s="1338"/>
    </row>
    <row r="3" spans="2:4">
      <c r="B3" s="1327"/>
      <c r="C3" s="1328"/>
      <c r="D3" s="320"/>
    </row>
    <row r="4" spans="2:4" ht="7.15" customHeight="1">
      <c r="B4" s="1327"/>
      <c r="C4" s="1328"/>
      <c r="D4" s="320"/>
    </row>
    <row r="5" spans="2:4" ht="31.15" customHeight="1">
      <c r="B5" s="1339"/>
      <c r="C5" s="1340" t="s">
        <v>1581</v>
      </c>
      <c r="D5" s="1341" t="s">
        <v>1579</v>
      </c>
    </row>
    <row r="6" spans="2:4">
      <c r="B6" s="1329" t="s">
        <v>1582</v>
      </c>
      <c r="C6" s="132"/>
      <c r="D6" s="46"/>
    </row>
    <row r="7" spans="2:4" ht="21" customHeight="1">
      <c r="B7" s="1345" t="s">
        <v>1583</v>
      </c>
      <c r="C7" s="1346"/>
      <c r="D7" s="1347">
        <v>1</v>
      </c>
    </row>
    <row r="8" spans="2:4" ht="12" customHeight="1">
      <c r="B8" s="1330" t="s">
        <v>1513</v>
      </c>
      <c r="C8" s="132" t="s">
        <v>1508</v>
      </c>
      <c r="D8" s="46"/>
    </row>
    <row r="9" spans="2:4" ht="18" customHeight="1">
      <c r="B9" s="1331" t="s">
        <v>320</v>
      </c>
      <c r="C9" s="132" t="s">
        <v>321</v>
      </c>
      <c r="D9" s="46">
        <v>2</v>
      </c>
    </row>
    <row r="10" spans="2:4" ht="17.25" customHeight="1">
      <c r="B10" s="1331" t="s">
        <v>322</v>
      </c>
      <c r="C10" s="132" t="s">
        <v>323</v>
      </c>
      <c r="D10" s="46">
        <v>3</v>
      </c>
    </row>
    <row r="11" spans="2:4">
      <c r="B11" s="1331" t="s">
        <v>324</v>
      </c>
      <c r="C11" s="132" t="s">
        <v>325</v>
      </c>
      <c r="D11" s="46">
        <v>4</v>
      </c>
    </row>
    <row r="12" spans="2:4">
      <c r="B12" s="1331" t="s">
        <v>341</v>
      </c>
      <c r="C12" s="132" t="s">
        <v>327</v>
      </c>
      <c r="D12" s="46">
        <v>6</v>
      </c>
    </row>
    <row r="13" spans="2:4">
      <c r="B13" s="1331" t="s">
        <v>326</v>
      </c>
      <c r="C13" s="132" t="s">
        <v>1344</v>
      </c>
      <c r="D13" s="46">
        <v>7</v>
      </c>
    </row>
    <row r="14" spans="2:4">
      <c r="B14" s="1331" t="s">
        <v>328</v>
      </c>
      <c r="C14" s="132" t="s">
        <v>1345</v>
      </c>
      <c r="D14" s="46">
        <v>8</v>
      </c>
    </row>
    <row r="15" spans="2:4">
      <c r="B15" s="1331" t="s">
        <v>329</v>
      </c>
      <c r="C15" s="132" t="s">
        <v>1346</v>
      </c>
      <c r="D15" s="46">
        <v>9</v>
      </c>
    </row>
    <row r="16" spans="2:4">
      <c r="B16" s="1331" t="s">
        <v>330</v>
      </c>
      <c r="C16" s="132" t="s">
        <v>1509</v>
      </c>
      <c r="D16" s="46">
        <v>10</v>
      </c>
    </row>
    <row r="17" spans="2:4">
      <c r="B17" s="1331" t="s">
        <v>331</v>
      </c>
      <c r="C17" s="132" t="s">
        <v>1347</v>
      </c>
      <c r="D17" s="46">
        <v>11</v>
      </c>
    </row>
    <row r="18" spans="2:4">
      <c r="B18" s="1331" t="s">
        <v>332</v>
      </c>
      <c r="C18" s="132" t="s">
        <v>334</v>
      </c>
      <c r="D18" s="46">
        <v>12</v>
      </c>
    </row>
    <row r="19" spans="2:4">
      <c r="B19" s="1331" t="s">
        <v>333</v>
      </c>
      <c r="C19" s="132" t="s">
        <v>336</v>
      </c>
      <c r="D19" s="46">
        <v>13</v>
      </c>
    </row>
    <row r="20" spans="2:4">
      <c r="B20" s="1331" t="s">
        <v>335</v>
      </c>
      <c r="C20" s="132" t="s">
        <v>1348</v>
      </c>
      <c r="D20" s="46">
        <v>14</v>
      </c>
    </row>
    <row r="21" spans="2:4">
      <c r="B21" s="1331" t="s">
        <v>337</v>
      </c>
      <c r="C21" s="132" t="s">
        <v>1349</v>
      </c>
      <c r="D21" s="46">
        <v>15</v>
      </c>
    </row>
    <row r="22" spans="2:4">
      <c r="B22" s="53"/>
      <c r="C22" s="132"/>
      <c r="D22" s="46"/>
    </row>
    <row r="23" spans="2:4" ht="19.5" customHeight="1">
      <c r="B23" s="1342" t="s">
        <v>1584</v>
      </c>
      <c r="C23" s="1343"/>
      <c r="D23" s="1344">
        <v>16</v>
      </c>
    </row>
    <row r="24" spans="2:4">
      <c r="B24" s="1331" t="s">
        <v>340</v>
      </c>
      <c r="C24" s="132" t="s">
        <v>1350</v>
      </c>
      <c r="D24" s="46">
        <v>18</v>
      </c>
    </row>
    <row r="25" spans="2:4">
      <c r="B25" s="1331" t="s">
        <v>322</v>
      </c>
      <c r="C25" s="132" t="s">
        <v>1351</v>
      </c>
      <c r="D25" s="46">
        <v>19</v>
      </c>
    </row>
    <row r="26" spans="2:4">
      <c r="B26" s="1331" t="s">
        <v>324</v>
      </c>
      <c r="C26" s="132" t="s">
        <v>1352</v>
      </c>
      <c r="D26" s="46">
        <v>20</v>
      </c>
    </row>
    <row r="27" spans="2:4">
      <c r="B27" s="1331" t="s">
        <v>341</v>
      </c>
      <c r="C27" s="132" t="s">
        <v>1353</v>
      </c>
      <c r="D27" s="46">
        <v>21</v>
      </c>
    </row>
    <row r="28" spans="2:4">
      <c r="B28" s="1331" t="s">
        <v>326</v>
      </c>
      <c r="C28" s="132" t="s">
        <v>1354</v>
      </c>
      <c r="D28" s="46">
        <v>22</v>
      </c>
    </row>
    <row r="29" spans="2:4">
      <c r="B29" s="1331" t="s">
        <v>328</v>
      </c>
      <c r="C29" s="132" t="s">
        <v>1355</v>
      </c>
      <c r="D29" s="46">
        <v>23</v>
      </c>
    </row>
    <row r="30" spans="2:4">
      <c r="B30" s="1331" t="s">
        <v>329</v>
      </c>
      <c r="C30" s="132" t="s">
        <v>1356</v>
      </c>
      <c r="D30" s="46">
        <v>24</v>
      </c>
    </row>
    <row r="31" spans="2:4">
      <c r="B31" s="1331" t="s">
        <v>330</v>
      </c>
      <c r="C31" s="132" t="s">
        <v>1357</v>
      </c>
      <c r="D31" s="46">
        <v>25</v>
      </c>
    </row>
    <row r="32" spans="2:4">
      <c r="B32" s="1331" t="s">
        <v>331</v>
      </c>
      <c r="C32" s="132" t="s">
        <v>1358</v>
      </c>
      <c r="D32" s="46">
        <v>26</v>
      </c>
    </row>
    <row r="33" spans="2:4">
      <c r="B33" s="1331" t="s">
        <v>332</v>
      </c>
      <c r="C33" s="132" t="s">
        <v>1535</v>
      </c>
      <c r="D33" s="46">
        <v>27</v>
      </c>
    </row>
    <row r="34" spans="2:4">
      <c r="B34" s="1332" t="s">
        <v>333</v>
      </c>
      <c r="C34" s="132" t="s">
        <v>1510</v>
      </c>
      <c r="D34" s="46">
        <v>28</v>
      </c>
    </row>
    <row r="35" spans="2:4">
      <c r="B35" s="1332" t="s">
        <v>335</v>
      </c>
      <c r="C35" s="132" t="s">
        <v>1359</v>
      </c>
      <c r="D35" s="46">
        <v>29</v>
      </c>
    </row>
    <row r="36" spans="2:4">
      <c r="B36" s="1331" t="s">
        <v>337</v>
      </c>
      <c r="C36" s="132" t="s">
        <v>343</v>
      </c>
      <c r="D36" s="46">
        <v>30</v>
      </c>
    </row>
    <row r="37" spans="2:4">
      <c r="B37" s="1331" t="s">
        <v>338</v>
      </c>
      <c r="C37" s="132" t="s">
        <v>1511</v>
      </c>
      <c r="D37" s="46">
        <v>31</v>
      </c>
    </row>
    <row r="38" spans="2:4">
      <c r="B38" s="1331"/>
      <c r="C38" s="132"/>
      <c r="D38" s="46"/>
    </row>
    <row r="39" spans="2:4" ht="18.75" customHeight="1">
      <c r="B39" s="1348" t="s">
        <v>1585</v>
      </c>
      <c r="C39" s="1349"/>
      <c r="D39" s="1350">
        <v>33</v>
      </c>
    </row>
    <row r="40" spans="2:4" ht="16.5" customHeight="1">
      <c r="B40" s="1331" t="s">
        <v>344</v>
      </c>
      <c r="C40" s="1333" t="s">
        <v>1512</v>
      </c>
      <c r="D40" s="46">
        <v>34</v>
      </c>
    </row>
    <row r="41" spans="2:4">
      <c r="B41" s="1331" t="s">
        <v>322</v>
      </c>
      <c r="C41" s="1334" t="s">
        <v>1536</v>
      </c>
      <c r="D41" s="46">
        <v>35</v>
      </c>
    </row>
    <row r="42" spans="2:4">
      <c r="B42" s="1331" t="s">
        <v>324</v>
      </c>
      <c r="C42" s="1334" t="s">
        <v>1537</v>
      </c>
      <c r="D42" s="46">
        <v>36</v>
      </c>
    </row>
    <row r="43" spans="2:4">
      <c r="B43" s="1331" t="s">
        <v>341</v>
      </c>
      <c r="C43" s="1334" t="s">
        <v>1538</v>
      </c>
      <c r="D43" s="46">
        <v>37</v>
      </c>
    </row>
    <row r="44" spans="2:4">
      <c r="B44" s="1332" t="s">
        <v>326</v>
      </c>
      <c r="C44" s="132" t="s">
        <v>345</v>
      </c>
      <c r="D44" s="46">
        <v>38</v>
      </c>
    </row>
    <row r="45" spans="2:4">
      <c r="B45" s="1331" t="s">
        <v>328</v>
      </c>
      <c r="C45" s="132" t="s">
        <v>346</v>
      </c>
      <c r="D45" s="46">
        <v>39</v>
      </c>
    </row>
    <row r="46" spans="2:4">
      <c r="B46" s="1331" t="s">
        <v>329</v>
      </c>
      <c r="C46" s="132" t="s">
        <v>347</v>
      </c>
      <c r="D46" s="46">
        <v>40</v>
      </c>
    </row>
    <row r="47" spans="2:4">
      <c r="B47" s="1331" t="s">
        <v>330</v>
      </c>
      <c r="C47" s="132" t="s">
        <v>348</v>
      </c>
      <c r="D47" s="46">
        <v>41</v>
      </c>
    </row>
    <row r="48" spans="2:4">
      <c r="B48" s="1331" t="s">
        <v>331</v>
      </c>
      <c r="C48" s="132" t="s">
        <v>349</v>
      </c>
      <c r="D48" s="46">
        <v>42</v>
      </c>
    </row>
    <row r="49" spans="2:4">
      <c r="B49" s="1331" t="s">
        <v>332</v>
      </c>
      <c r="C49" s="132" t="s">
        <v>350</v>
      </c>
      <c r="D49" s="46">
        <v>43</v>
      </c>
    </row>
    <row r="50" spans="2:4">
      <c r="B50" s="1331" t="s">
        <v>333</v>
      </c>
      <c r="C50" s="132" t="s">
        <v>351</v>
      </c>
      <c r="D50" s="46">
        <v>44</v>
      </c>
    </row>
    <row r="51" spans="2:4">
      <c r="B51" s="1331" t="s">
        <v>335</v>
      </c>
      <c r="C51" s="132" t="s">
        <v>352</v>
      </c>
      <c r="D51" s="46">
        <v>45</v>
      </c>
    </row>
    <row r="52" spans="2:4">
      <c r="B52" s="1331" t="s">
        <v>337</v>
      </c>
      <c r="C52" s="132" t="s">
        <v>353</v>
      </c>
      <c r="D52" s="46">
        <v>46</v>
      </c>
    </row>
    <row r="53" spans="2:4">
      <c r="B53" s="1331" t="s">
        <v>338</v>
      </c>
      <c r="C53" s="132" t="s">
        <v>354</v>
      </c>
      <c r="D53" s="46">
        <v>47</v>
      </c>
    </row>
    <row r="54" spans="2:4">
      <c r="B54" s="1331" t="s">
        <v>339</v>
      </c>
      <c r="C54" s="132" t="s">
        <v>356</v>
      </c>
      <c r="D54" s="46">
        <v>48</v>
      </c>
    </row>
    <row r="55" spans="2:4">
      <c r="B55" s="1331" t="s">
        <v>342</v>
      </c>
      <c r="C55" s="132" t="s">
        <v>358</v>
      </c>
      <c r="D55" s="46">
        <v>49</v>
      </c>
    </row>
    <row r="56" spans="2:4">
      <c r="B56" s="1331" t="s">
        <v>355</v>
      </c>
      <c r="C56" s="132" t="s">
        <v>360</v>
      </c>
      <c r="D56" s="46">
        <v>50</v>
      </c>
    </row>
    <row r="57" spans="2:4">
      <c r="B57" s="1331" t="s">
        <v>357</v>
      </c>
      <c r="C57" s="132" t="s">
        <v>362</v>
      </c>
      <c r="D57" s="46">
        <v>51</v>
      </c>
    </row>
    <row r="58" spans="2:4">
      <c r="B58" s="1331" t="s">
        <v>359</v>
      </c>
      <c r="C58" s="132" t="s">
        <v>364</v>
      </c>
      <c r="D58" s="46">
        <v>52</v>
      </c>
    </row>
    <row r="59" spans="2:4">
      <c r="B59" s="1331" t="s">
        <v>361</v>
      </c>
      <c r="C59" s="132" t="s">
        <v>366</v>
      </c>
      <c r="D59" s="46">
        <v>53</v>
      </c>
    </row>
    <row r="60" spans="2:4">
      <c r="B60" s="1331" t="s">
        <v>363</v>
      </c>
      <c r="C60" s="1334" t="s">
        <v>1539</v>
      </c>
      <c r="D60" s="46">
        <v>54</v>
      </c>
    </row>
    <row r="61" spans="2:4">
      <c r="B61" s="1331" t="s">
        <v>365</v>
      </c>
      <c r="C61" s="132" t="s">
        <v>368</v>
      </c>
      <c r="D61" s="46">
        <v>55</v>
      </c>
    </row>
    <row r="62" spans="2:4">
      <c r="B62" s="1331" t="s">
        <v>367</v>
      </c>
      <c r="C62" s="132" t="s">
        <v>369</v>
      </c>
      <c r="D62" s="46">
        <v>56</v>
      </c>
    </row>
    <row r="63" spans="2:4">
      <c r="B63" s="1331" t="s">
        <v>370</v>
      </c>
      <c r="C63" s="1334" t="s">
        <v>1542</v>
      </c>
      <c r="D63" s="46">
        <v>57</v>
      </c>
    </row>
    <row r="64" spans="2:4">
      <c r="B64" s="1331" t="s">
        <v>372</v>
      </c>
      <c r="C64" s="1334" t="s">
        <v>1543</v>
      </c>
      <c r="D64" s="46">
        <v>58</v>
      </c>
    </row>
    <row r="65" spans="2:10">
      <c r="B65" s="1331" t="s">
        <v>377</v>
      </c>
      <c r="C65" s="132" t="s">
        <v>371</v>
      </c>
      <c r="D65" s="46">
        <v>59</v>
      </c>
    </row>
    <row r="66" spans="2:10">
      <c r="B66" s="1332" t="s">
        <v>378</v>
      </c>
      <c r="C66" s="132" t="s">
        <v>376</v>
      </c>
      <c r="D66" s="46">
        <v>60</v>
      </c>
    </row>
    <row r="67" spans="2:10">
      <c r="B67" s="1332" t="s">
        <v>381</v>
      </c>
      <c r="C67" s="1334" t="s">
        <v>1544</v>
      </c>
      <c r="D67" s="46">
        <v>61</v>
      </c>
    </row>
    <row r="68" spans="2:10">
      <c r="B68" s="1331" t="s">
        <v>382</v>
      </c>
      <c r="C68" s="132" t="s">
        <v>383</v>
      </c>
      <c r="D68" s="46">
        <v>62</v>
      </c>
    </row>
    <row r="69" spans="2:10">
      <c r="B69" s="1331" t="s">
        <v>384</v>
      </c>
      <c r="C69" s="132" t="s">
        <v>385</v>
      </c>
      <c r="D69" s="46">
        <v>63</v>
      </c>
    </row>
    <row r="70" spans="2:10">
      <c r="B70" s="1331" t="s">
        <v>386</v>
      </c>
      <c r="C70" s="1334" t="s">
        <v>1545</v>
      </c>
      <c r="D70" s="46">
        <v>64</v>
      </c>
    </row>
    <row r="71" spans="2:10" ht="15.75">
      <c r="B71" s="1331" t="s">
        <v>387</v>
      </c>
      <c r="C71" s="1334" t="s">
        <v>1546</v>
      </c>
      <c r="D71" s="46">
        <v>65</v>
      </c>
      <c r="E71" s="1314"/>
      <c r="F71" s="1314"/>
      <c r="G71" s="1314"/>
      <c r="H71" s="1314"/>
      <c r="I71" s="1314"/>
      <c r="J71" s="1314"/>
    </row>
    <row r="72" spans="2:10">
      <c r="B72" s="1331" t="s">
        <v>389</v>
      </c>
      <c r="C72" s="132" t="s">
        <v>388</v>
      </c>
      <c r="D72" s="46">
        <v>66</v>
      </c>
    </row>
    <row r="73" spans="2:10">
      <c r="B73" s="1331" t="s">
        <v>391</v>
      </c>
      <c r="C73" s="132" t="s">
        <v>390</v>
      </c>
      <c r="D73" s="46">
        <v>67</v>
      </c>
    </row>
    <row r="74" spans="2:10">
      <c r="B74" s="1331" t="s">
        <v>392</v>
      </c>
      <c r="C74" s="132" t="s">
        <v>1360</v>
      </c>
      <c r="D74" s="46">
        <v>68</v>
      </c>
    </row>
    <row r="75" spans="2:10">
      <c r="B75" s="1331" t="s">
        <v>393</v>
      </c>
      <c r="C75" s="1334" t="s">
        <v>1533</v>
      </c>
      <c r="D75" s="46">
        <v>69</v>
      </c>
    </row>
    <row r="76" spans="2:10">
      <c r="B76" s="1331" t="s">
        <v>395</v>
      </c>
      <c r="C76" s="132" t="s">
        <v>394</v>
      </c>
      <c r="D76" s="46">
        <v>70</v>
      </c>
    </row>
    <row r="77" spans="2:10">
      <c r="B77" s="1331" t="s">
        <v>397</v>
      </c>
      <c r="C77" s="132" t="s">
        <v>396</v>
      </c>
      <c r="D77" s="46">
        <v>71</v>
      </c>
    </row>
    <row r="78" spans="2:10">
      <c r="B78" s="1332" t="s">
        <v>1556</v>
      </c>
      <c r="C78" s="1334" t="s">
        <v>1534</v>
      </c>
      <c r="D78" s="46">
        <v>72</v>
      </c>
    </row>
    <row r="79" spans="2:10">
      <c r="B79" s="1331" t="s">
        <v>398</v>
      </c>
      <c r="C79" s="1334" t="s">
        <v>1532</v>
      </c>
      <c r="D79" s="46">
        <v>73</v>
      </c>
    </row>
    <row r="80" spans="2:10">
      <c r="B80" s="1331" t="s">
        <v>401</v>
      </c>
      <c r="C80" s="1334" t="s">
        <v>1520</v>
      </c>
      <c r="D80" s="46">
        <v>74</v>
      </c>
    </row>
    <row r="81" spans="2:4">
      <c r="B81" s="1331" t="s">
        <v>402</v>
      </c>
      <c r="C81" s="1334" t="s">
        <v>1524</v>
      </c>
      <c r="D81" s="46">
        <v>75</v>
      </c>
    </row>
    <row r="82" spans="2:4">
      <c r="B82" s="1332" t="s">
        <v>409</v>
      </c>
      <c r="C82" s="1334" t="s">
        <v>1525</v>
      </c>
      <c r="D82" s="46">
        <v>76</v>
      </c>
    </row>
    <row r="83" spans="2:4">
      <c r="B83" s="1331" t="s">
        <v>403</v>
      </c>
      <c r="C83" s="1334" t="s">
        <v>1526</v>
      </c>
      <c r="D83" s="46">
        <v>77</v>
      </c>
    </row>
    <row r="84" spans="2:4">
      <c r="B84" s="1331" t="s">
        <v>404</v>
      </c>
      <c r="C84" s="1334" t="s">
        <v>1527</v>
      </c>
      <c r="D84" s="46">
        <v>78</v>
      </c>
    </row>
    <row r="85" spans="2:4">
      <c r="B85" s="1331" t="s">
        <v>405</v>
      </c>
      <c r="C85" s="1334" t="s">
        <v>1528</v>
      </c>
      <c r="D85" s="46">
        <v>79</v>
      </c>
    </row>
    <row r="86" spans="2:4">
      <c r="B86" s="1331" t="s">
        <v>406</v>
      </c>
      <c r="C86" s="1334" t="s">
        <v>1529</v>
      </c>
      <c r="D86" s="46">
        <v>80</v>
      </c>
    </row>
    <row r="87" spans="2:4">
      <c r="B87" s="1331" t="s">
        <v>407</v>
      </c>
      <c r="C87" s="1334" t="s">
        <v>1530</v>
      </c>
      <c r="D87" s="46">
        <v>81</v>
      </c>
    </row>
    <row r="88" spans="2:4">
      <c r="B88" s="1331" t="s">
        <v>408</v>
      </c>
      <c r="C88" s="1334" t="s">
        <v>1531</v>
      </c>
      <c r="D88" s="46">
        <v>82</v>
      </c>
    </row>
    <row r="89" spans="2:4">
      <c r="B89" s="1332" t="s">
        <v>1557</v>
      </c>
      <c r="C89" s="1334" t="s">
        <v>1514</v>
      </c>
      <c r="D89" s="46">
        <v>83</v>
      </c>
    </row>
    <row r="90" spans="2:4">
      <c r="B90" s="1332" t="s">
        <v>1558</v>
      </c>
      <c r="C90" s="1334" t="s">
        <v>1515</v>
      </c>
      <c r="D90" s="46">
        <v>84</v>
      </c>
    </row>
    <row r="91" spans="2:4">
      <c r="B91" s="1332" t="s">
        <v>1559</v>
      </c>
      <c r="C91" s="1334" t="s">
        <v>1516</v>
      </c>
      <c r="D91" s="46">
        <v>85</v>
      </c>
    </row>
    <row r="92" spans="2:4">
      <c r="B92" s="1332" t="s">
        <v>1560</v>
      </c>
      <c r="C92" s="1334" t="s">
        <v>1517</v>
      </c>
      <c r="D92" s="46">
        <v>86</v>
      </c>
    </row>
    <row r="93" spans="2:4">
      <c r="B93" s="1332" t="s">
        <v>1561</v>
      </c>
      <c r="C93" s="1334" t="s">
        <v>1518</v>
      </c>
      <c r="D93" s="46">
        <v>87</v>
      </c>
    </row>
    <row r="94" spans="2:4">
      <c r="B94" s="1332" t="s">
        <v>1562</v>
      </c>
      <c r="C94" s="1334" t="s">
        <v>1519</v>
      </c>
      <c r="D94" s="46">
        <v>88</v>
      </c>
    </row>
    <row r="95" spans="2:4">
      <c r="B95" s="1332" t="s">
        <v>1563</v>
      </c>
      <c r="C95" s="1334" t="s">
        <v>1548</v>
      </c>
      <c r="D95" s="46">
        <v>89</v>
      </c>
    </row>
    <row r="96" spans="2:4">
      <c r="B96" s="1332" t="s">
        <v>1564</v>
      </c>
      <c r="C96" s="1334" t="s">
        <v>1549</v>
      </c>
      <c r="D96" s="46">
        <v>90</v>
      </c>
    </row>
    <row r="97" spans="2:4">
      <c r="B97" s="1332" t="s">
        <v>1565</v>
      </c>
      <c r="C97" s="1334" t="s">
        <v>1550</v>
      </c>
      <c r="D97" s="46">
        <v>91</v>
      </c>
    </row>
    <row r="98" spans="2:4">
      <c r="B98" s="1332" t="s">
        <v>1566</v>
      </c>
      <c r="C98" s="1334" t="s">
        <v>1551</v>
      </c>
      <c r="D98" s="46">
        <v>92</v>
      </c>
    </row>
    <row r="99" spans="2:4">
      <c r="B99" s="1332" t="s">
        <v>1567</v>
      </c>
      <c r="C99" s="1334" t="s">
        <v>1552</v>
      </c>
      <c r="D99" s="46">
        <v>93</v>
      </c>
    </row>
    <row r="100" spans="2:4">
      <c r="B100" s="1332" t="s">
        <v>1568</v>
      </c>
      <c r="C100" s="1334" t="s">
        <v>1553</v>
      </c>
      <c r="D100" s="46">
        <v>94</v>
      </c>
    </row>
    <row r="101" spans="2:4">
      <c r="B101" s="1332" t="s">
        <v>1569</v>
      </c>
      <c r="C101" s="1334" t="s">
        <v>1554</v>
      </c>
      <c r="D101" s="46">
        <v>95</v>
      </c>
    </row>
    <row r="102" spans="2:4">
      <c r="B102" s="1332" t="s">
        <v>1570</v>
      </c>
      <c r="C102" s="132" t="s">
        <v>1555</v>
      </c>
      <c r="D102" s="46"/>
    </row>
    <row r="103" spans="2:4">
      <c r="B103" s="1331"/>
      <c r="C103" s="132"/>
      <c r="D103" s="46"/>
    </row>
    <row r="104" spans="2:4">
      <c r="B104" s="1352" t="s">
        <v>1586</v>
      </c>
      <c r="C104" s="1353"/>
      <c r="D104" s="1354">
        <v>96</v>
      </c>
    </row>
    <row r="105" spans="2:4">
      <c r="B105" s="222"/>
      <c r="C105" s="1335"/>
      <c r="D105" s="56"/>
    </row>
    <row r="106" spans="2:4">
      <c r="C106" s="1315"/>
    </row>
    <row r="108" spans="2:4">
      <c r="C108" s="1029"/>
    </row>
  </sheetData>
  <phoneticPr fontId="0" type="noConversion"/>
  <pageMargins left="0.98425196850393704" right="0.98425196850393704" top="0.98425196850393704" bottom="0.98425196850393704" header="0.51181102362204722" footer="0.51181102362204722"/>
  <pageSetup paperSize="5" scale="85"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1"/>
  <sheetViews>
    <sheetView topLeftCell="A84" workbookViewId="0">
      <selection activeCell="J88" sqref="J88"/>
    </sheetView>
  </sheetViews>
  <sheetFormatPr baseColWidth="10" defaultRowHeight="12.75"/>
  <cols>
    <col min="1" max="1" width="21.140625" customWidth="1"/>
    <col min="2" max="2" width="9.42578125" customWidth="1"/>
    <col min="3" max="3" width="1.85546875" customWidth="1"/>
    <col min="4" max="4" width="8.28515625" customWidth="1"/>
    <col min="5" max="5" width="9.28515625" customWidth="1"/>
    <col min="6" max="6" width="7.7109375" customWidth="1"/>
    <col min="7" max="7" width="8.42578125" customWidth="1"/>
    <col min="8" max="8" width="8.85546875" customWidth="1"/>
    <col min="9" max="9" width="9.28515625" customWidth="1"/>
    <col min="10" max="10" width="9.140625" customWidth="1"/>
    <col min="11" max="11" width="8.85546875" customWidth="1"/>
    <col min="12" max="12" width="8.7109375" customWidth="1"/>
    <col min="13" max="15" width="9.28515625" customWidth="1"/>
  </cols>
  <sheetData>
    <row r="1" spans="1:14" ht="15.75">
      <c r="A1" s="115" t="s">
        <v>553</v>
      </c>
      <c r="B1" s="116"/>
      <c r="C1" s="116"/>
      <c r="D1" s="116"/>
      <c r="E1" s="116"/>
      <c r="F1" s="116"/>
      <c r="G1" s="116"/>
      <c r="H1" s="116"/>
      <c r="I1" s="116"/>
      <c r="J1" s="116"/>
      <c r="K1" s="116"/>
      <c r="L1" s="116"/>
    </row>
    <row r="2" spans="1:14">
      <c r="A2" s="116"/>
      <c r="B2" s="116"/>
      <c r="C2" s="116"/>
      <c r="D2" s="116"/>
      <c r="E2" s="116"/>
      <c r="F2" s="116"/>
      <c r="G2" s="116"/>
      <c r="H2" s="116"/>
      <c r="I2" s="116"/>
      <c r="J2" s="116"/>
      <c r="K2" s="116"/>
      <c r="L2" s="116"/>
    </row>
    <row r="3" spans="1:14">
      <c r="A3" s="117">
        <v>2015</v>
      </c>
      <c r="B3" s="116"/>
      <c r="C3" s="116"/>
      <c r="D3" s="116"/>
      <c r="E3" s="116"/>
      <c r="F3" s="116"/>
      <c r="G3" s="116"/>
      <c r="H3" s="116"/>
      <c r="I3" s="116"/>
      <c r="J3" s="116"/>
      <c r="K3" s="116"/>
      <c r="L3" s="116"/>
    </row>
    <row r="5" spans="1:14">
      <c r="B5" s="118"/>
      <c r="D5" s="118"/>
      <c r="E5" s="118"/>
      <c r="F5" s="118"/>
      <c r="G5" s="118"/>
      <c r="H5" s="118"/>
      <c r="I5" s="118"/>
      <c r="J5" s="118"/>
      <c r="K5" s="118"/>
      <c r="L5" s="118"/>
    </row>
    <row r="7" spans="1:14" ht="24.75" customHeight="1">
      <c r="A7" s="119" t="s">
        <v>554</v>
      </c>
      <c r="B7" s="120" t="s">
        <v>535</v>
      </c>
      <c r="C7" s="121"/>
      <c r="D7" s="122" t="s">
        <v>555</v>
      </c>
      <c r="E7" s="121" t="s">
        <v>556</v>
      </c>
      <c r="F7" s="121" t="s">
        <v>557</v>
      </c>
      <c r="G7" s="121" t="s">
        <v>558</v>
      </c>
      <c r="H7" s="121" t="s">
        <v>559</v>
      </c>
      <c r="I7" s="121" t="s">
        <v>560</v>
      </c>
      <c r="J7" s="121" t="s">
        <v>561</v>
      </c>
      <c r="K7" s="121" t="s">
        <v>562</v>
      </c>
      <c r="L7" s="123" t="s">
        <v>563</v>
      </c>
    </row>
    <row r="8" spans="1:14">
      <c r="A8" s="64"/>
      <c r="B8" s="124"/>
      <c r="C8" s="124"/>
      <c r="D8" s="124"/>
      <c r="E8" s="124"/>
      <c r="F8" s="124"/>
      <c r="G8" s="124"/>
      <c r="H8" s="124"/>
      <c r="I8" s="124"/>
      <c r="J8" s="124"/>
      <c r="K8" s="124"/>
      <c r="L8" s="125"/>
    </row>
    <row r="9" spans="1:14">
      <c r="A9" s="126" t="s">
        <v>564</v>
      </c>
      <c r="B9" s="124">
        <f>SUM(B10:B15)</f>
        <v>79637</v>
      </c>
      <c r="C9" s="127" t="s">
        <v>565</v>
      </c>
      <c r="D9" s="124">
        <f>SUM(D10:D15)</f>
        <v>1086</v>
      </c>
      <c r="E9" s="124">
        <f t="shared" ref="E9:L9" si="0">SUM(E10:E15)</f>
        <v>1105</v>
      </c>
      <c r="F9" s="124">
        <f t="shared" si="0"/>
        <v>4386</v>
      </c>
      <c r="G9" s="124">
        <f t="shared" si="0"/>
        <v>4431</v>
      </c>
      <c r="H9" s="124">
        <f t="shared" si="0"/>
        <v>5844</v>
      </c>
      <c r="I9" s="124">
        <f t="shared" si="0"/>
        <v>6587</v>
      </c>
      <c r="J9" s="124">
        <f t="shared" si="0"/>
        <v>30291</v>
      </c>
      <c r="K9" s="124">
        <f t="shared" si="0"/>
        <v>17483</v>
      </c>
      <c r="L9" s="125">
        <f t="shared" si="0"/>
        <v>8424</v>
      </c>
      <c r="N9" s="128"/>
    </row>
    <row r="10" spans="1:14">
      <c r="A10" s="44" t="s">
        <v>566</v>
      </c>
      <c r="B10" s="124">
        <f>SUM(D10:L10)</f>
        <v>30116</v>
      </c>
      <c r="C10" s="124"/>
      <c r="D10" s="124">
        <v>426</v>
      </c>
      <c r="E10" s="124">
        <v>430</v>
      </c>
      <c r="F10" s="124">
        <v>1651</v>
      </c>
      <c r="G10" s="124">
        <v>1673</v>
      </c>
      <c r="H10" s="124">
        <v>2248</v>
      </c>
      <c r="I10" s="124">
        <v>2517</v>
      </c>
      <c r="J10" s="124">
        <v>11452</v>
      </c>
      <c r="K10" s="124">
        <v>6535</v>
      </c>
      <c r="L10" s="125">
        <v>3184</v>
      </c>
    </row>
    <row r="11" spans="1:14">
      <c r="A11" s="44" t="s">
        <v>1421</v>
      </c>
      <c r="B11" s="124">
        <f t="shared" ref="B11:B27" si="1">SUM(D11:L11)</f>
        <v>29878</v>
      </c>
      <c r="C11" s="124"/>
      <c r="D11" s="124">
        <v>409</v>
      </c>
      <c r="E11" s="124">
        <v>420</v>
      </c>
      <c r="F11" s="124">
        <v>1659</v>
      </c>
      <c r="G11" s="124">
        <v>1663</v>
      </c>
      <c r="H11" s="124">
        <v>2191</v>
      </c>
      <c r="I11" s="124">
        <v>2469</v>
      </c>
      <c r="J11" s="124">
        <v>11355</v>
      </c>
      <c r="K11" s="124">
        <v>6554</v>
      </c>
      <c r="L11" s="125">
        <v>3158</v>
      </c>
    </row>
    <row r="12" spans="1:14">
      <c r="A12" s="44" t="s">
        <v>373</v>
      </c>
      <c r="B12" s="124">
        <f t="shared" si="1"/>
        <v>4049</v>
      </c>
      <c r="C12" s="124"/>
      <c r="D12" s="124">
        <v>56</v>
      </c>
      <c r="E12" s="124">
        <v>58</v>
      </c>
      <c r="F12" s="124">
        <v>222</v>
      </c>
      <c r="G12" s="124">
        <v>226</v>
      </c>
      <c r="H12" s="124">
        <v>297</v>
      </c>
      <c r="I12" s="124">
        <v>335</v>
      </c>
      <c r="J12" s="124">
        <v>1539</v>
      </c>
      <c r="K12" s="124">
        <v>888</v>
      </c>
      <c r="L12" s="125">
        <v>428</v>
      </c>
    </row>
    <row r="13" spans="1:14">
      <c r="A13" s="44" t="s">
        <v>567</v>
      </c>
      <c r="B13" s="124">
        <f t="shared" si="1"/>
        <v>2436</v>
      </c>
      <c r="C13" s="124"/>
      <c r="D13" s="124">
        <v>33</v>
      </c>
      <c r="E13" s="124">
        <v>32</v>
      </c>
      <c r="F13" s="124">
        <v>134</v>
      </c>
      <c r="G13" s="124">
        <v>136</v>
      </c>
      <c r="H13" s="124">
        <v>179</v>
      </c>
      <c r="I13" s="124">
        <v>202</v>
      </c>
      <c r="J13" s="124">
        <v>927</v>
      </c>
      <c r="K13" s="124">
        <v>535</v>
      </c>
      <c r="L13" s="125">
        <v>258</v>
      </c>
      <c r="M13" s="233"/>
    </row>
    <row r="14" spans="1:14">
      <c r="A14" s="44" t="s">
        <v>568</v>
      </c>
      <c r="B14" s="124">
        <f t="shared" si="1"/>
        <v>7589</v>
      </c>
      <c r="C14" s="124"/>
      <c r="D14" s="124">
        <v>86</v>
      </c>
      <c r="E14" s="124">
        <v>87</v>
      </c>
      <c r="F14" s="124">
        <v>413</v>
      </c>
      <c r="G14" s="124">
        <v>423</v>
      </c>
      <c r="H14" s="124">
        <v>520</v>
      </c>
      <c r="I14" s="124">
        <v>604</v>
      </c>
      <c r="J14" s="124">
        <v>2900</v>
      </c>
      <c r="K14" s="124">
        <v>1749</v>
      </c>
      <c r="L14" s="125">
        <v>807</v>
      </c>
    </row>
    <row r="15" spans="1:14">
      <c r="A15" s="44" t="s">
        <v>569</v>
      </c>
      <c r="B15" s="124">
        <f t="shared" si="1"/>
        <v>5569</v>
      </c>
      <c r="C15" s="124"/>
      <c r="D15" s="124">
        <v>76</v>
      </c>
      <c r="E15" s="124">
        <v>78</v>
      </c>
      <c r="F15" s="124">
        <v>307</v>
      </c>
      <c r="G15" s="124">
        <v>310</v>
      </c>
      <c r="H15" s="124">
        <v>409</v>
      </c>
      <c r="I15" s="124">
        <v>460</v>
      </c>
      <c r="J15" s="124">
        <v>2118</v>
      </c>
      <c r="K15" s="124">
        <v>1222</v>
      </c>
      <c r="L15" s="125">
        <v>589</v>
      </c>
    </row>
    <row r="16" spans="1:14">
      <c r="A16" s="44"/>
      <c r="B16" s="129"/>
      <c r="C16" s="129"/>
      <c r="D16" s="129"/>
      <c r="E16" s="129"/>
      <c r="F16" s="129"/>
      <c r="G16" s="129"/>
      <c r="H16" s="129"/>
      <c r="I16" s="129"/>
      <c r="J16" s="129"/>
      <c r="K16" s="129"/>
      <c r="L16" s="130"/>
    </row>
    <row r="17" spans="1:14">
      <c r="A17" s="126" t="s">
        <v>570</v>
      </c>
      <c r="B17" s="124">
        <f t="shared" si="1"/>
        <v>18363</v>
      </c>
      <c r="C17" s="127" t="s">
        <v>565</v>
      </c>
      <c r="D17" s="124">
        <f>SUM(D18:D23)</f>
        <v>247</v>
      </c>
      <c r="E17" s="124">
        <f t="shared" ref="E17:L17" si="2">SUM(E18:E23)</f>
        <v>254</v>
      </c>
      <c r="F17" s="124">
        <f t="shared" si="2"/>
        <v>981</v>
      </c>
      <c r="G17" s="124">
        <f t="shared" si="2"/>
        <v>982</v>
      </c>
      <c r="H17" s="124">
        <f t="shared" si="2"/>
        <v>1191</v>
      </c>
      <c r="I17" s="124">
        <f t="shared" si="2"/>
        <v>1241</v>
      </c>
      <c r="J17" s="124">
        <f t="shared" si="2"/>
        <v>6614</v>
      </c>
      <c r="K17" s="124">
        <f t="shared" si="2"/>
        <v>4872</v>
      </c>
      <c r="L17" s="125">
        <f t="shared" si="2"/>
        <v>1981</v>
      </c>
      <c r="N17" s="128"/>
    </row>
    <row r="18" spans="1:14" ht="12" customHeight="1">
      <c r="A18" s="44" t="s">
        <v>571</v>
      </c>
      <c r="B18" s="124">
        <f t="shared" si="1"/>
        <v>10310</v>
      </c>
      <c r="C18" s="124"/>
      <c r="D18" s="124">
        <v>135</v>
      </c>
      <c r="E18" s="124">
        <v>138</v>
      </c>
      <c r="F18" s="124">
        <v>564</v>
      </c>
      <c r="G18" s="124">
        <v>565</v>
      </c>
      <c r="H18" s="124">
        <v>690</v>
      </c>
      <c r="I18" s="124">
        <v>719</v>
      </c>
      <c r="J18" s="124">
        <v>3690</v>
      </c>
      <c r="K18" s="124">
        <v>2713</v>
      </c>
      <c r="L18" s="125">
        <v>1096</v>
      </c>
    </row>
    <row r="19" spans="1:14" ht="12.75" customHeight="1">
      <c r="A19" s="44" t="s">
        <v>572</v>
      </c>
      <c r="B19" s="124">
        <f t="shared" si="1"/>
        <v>1610</v>
      </c>
      <c r="C19" s="124"/>
      <c r="D19" s="124">
        <v>22</v>
      </c>
      <c r="E19" s="124">
        <v>22</v>
      </c>
      <c r="F19" s="124">
        <v>86</v>
      </c>
      <c r="G19" s="124">
        <v>86</v>
      </c>
      <c r="H19" s="124">
        <v>104</v>
      </c>
      <c r="I19" s="124">
        <v>109</v>
      </c>
      <c r="J19" s="124">
        <v>580</v>
      </c>
      <c r="K19" s="124">
        <v>427</v>
      </c>
      <c r="L19" s="125">
        <v>174</v>
      </c>
      <c r="M19" s="233"/>
    </row>
    <row r="20" spans="1:14" ht="12" customHeight="1">
      <c r="A20" s="44" t="s">
        <v>481</v>
      </c>
      <c r="B20" s="124">
        <f t="shared" si="1"/>
        <v>3633</v>
      </c>
      <c r="C20" s="124"/>
      <c r="D20" s="124">
        <v>50</v>
      </c>
      <c r="E20" s="124">
        <v>52</v>
      </c>
      <c r="F20" s="124">
        <v>195</v>
      </c>
      <c r="G20" s="124">
        <v>195</v>
      </c>
      <c r="H20" s="124">
        <v>235</v>
      </c>
      <c r="I20" s="124">
        <v>245</v>
      </c>
      <c r="J20" s="124">
        <v>1307</v>
      </c>
      <c r="K20" s="124">
        <v>963</v>
      </c>
      <c r="L20" s="125">
        <v>391</v>
      </c>
    </row>
    <row r="21" spans="1:14" ht="12.75" customHeight="1">
      <c r="A21" s="44" t="s">
        <v>573</v>
      </c>
      <c r="B21" s="124">
        <f t="shared" si="1"/>
        <v>1544</v>
      </c>
      <c r="C21" s="124"/>
      <c r="D21" s="124">
        <v>21</v>
      </c>
      <c r="E21" s="124">
        <v>22</v>
      </c>
      <c r="F21" s="124">
        <v>82</v>
      </c>
      <c r="G21" s="124">
        <v>82</v>
      </c>
      <c r="H21" s="124">
        <v>100</v>
      </c>
      <c r="I21" s="124">
        <v>104</v>
      </c>
      <c r="J21" s="124">
        <v>556</v>
      </c>
      <c r="K21" s="124">
        <v>410</v>
      </c>
      <c r="L21" s="125">
        <v>167</v>
      </c>
      <c r="M21" s="233"/>
    </row>
    <row r="22" spans="1:14" ht="14.25" customHeight="1">
      <c r="A22" s="44" t="s">
        <v>574</v>
      </c>
      <c r="B22" s="124">
        <f t="shared" si="1"/>
        <v>812</v>
      </c>
      <c r="C22" s="124"/>
      <c r="D22" s="124">
        <v>10</v>
      </c>
      <c r="E22" s="124">
        <v>10</v>
      </c>
      <c r="F22" s="124">
        <v>43</v>
      </c>
      <c r="G22" s="124">
        <v>44</v>
      </c>
      <c r="H22" s="124">
        <v>53</v>
      </c>
      <c r="I22" s="124">
        <v>55</v>
      </c>
      <c r="J22" s="124">
        <v>293</v>
      </c>
      <c r="K22" s="124">
        <v>216</v>
      </c>
      <c r="L22" s="125">
        <v>88</v>
      </c>
      <c r="M22" s="233"/>
    </row>
    <row r="23" spans="1:14">
      <c r="A23" s="44" t="s">
        <v>575</v>
      </c>
      <c r="B23" s="124">
        <f t="shared" si="1"/>
        <v>454</v>
      </c>
      <c r="C23" s="124"/>
      <c r="D23" s="124">
        <v>9</v>
      </c>
      <c r="E23" s="124">
        <v>10</v>
      </c>
      <c r="F23" s="124">
        <v>11</v>
      </c>
      <c r="G23" s="124">
        <v>10</v>
      </c>
      <c r="H23" s="124">
        <v>9</v>
      </c>
      <c r="I23" s="124">
        <v>9</v>
      </c>
      <c r="J23" s="124">
        <v>188</v>
      </c>
      <c r="K23" s="124">
        <v>143</v>
      </c>
      <c r="L23" s="125">
        <v>65</v>
      </c>
      <c r="M23" s="233"/>
    </row>
    <row r="24" spans="1:14">
      <c r="A24" s="44"/>
      <c r="B24" s="1143"/>
      <c r="C24" s="1143"/>
      <c r="D24" s="1143"/>
      <c r="E24" s="1143"/>
      <c r="F24" s="1143"/>
      <c r="G24" s="1143"/>
      <c r="H24" s="1143"/>
      <c r="I24" s="1143"/>
      <c r="J24" s="1143"/>
      <c r="K24" s="1143"/>
      <c r="L24" s="1144"/>
    </row>
    <row r="25" spans="1:14">
      <c r="A25" s="126" t="s">
        <v>576</v>
      </c>
      <c r="B25" s="124">
        <f t="shared" si="1"/>
        <v>11130</v>
      </c>
      <c r="C25" s="127" t="s">
        <v>565</v>
      </c>
      <c r="D25" s="124">
        <f>SUM(D26:D27)</f>
        <v>139</v>
      </c>
      <c r="E25" s="124">
        <f t="shared" ref="E25:L25" si="3">SUM(E26:E27)</f>
        <v>142</v>
      </c>
      <c r="F25" s="124">
        <f t="shared" si="3"/>
        <v>592</v>
      </c>
      <c r="G25" s="124">
        <f t="shared" si="3"/>
        <v>595</v>
      </c>
      <c r="H25" s="124">
        <f t="shared" si="3"/>
        <v>786</v>
      </c>
      <c r="I25" s="124">
        <f t="shared" si="3"/>
        <v>864</v>
      </c>
      <c r="J25" s="124">
        <f t="shared" si="3"/>
        <v>3859</v>
      </c>
      <c r="K25" s="124">
        <f t="shared" si="3"/>
        <v>2831</v>
      </c>
      <c r="L25" s="125">
        <f t="shared" si="3"/>
        <v>1322</v>
      </c>
      <c r="M25" s="233"/>
      <c r="N25" s="128"/>
    </row>
    <row r="26" spans="1:14">
      <c r="A26" s="44" t="s">
        <v>577</v>
      </c>
      <c r="B26" s="124">
        <f t="shared" si="1"/>
        <v>9342</v>
      </c>
      <c r="C26" s="124"/>
      <c r="D26" s="124">
        <v>119</v>
      </c>
      <c r="E26" s="124">
        <v>122</v>
      </c>
      <c r="F26" s="124">
        <v>497</v>
      </c>
      <c r="G26" s="124">
        <v>500</v>
      </c>
      <c r="H26" s="124">
        <v>660</v>
      </c>
      <c r="I26" s="124">
        <v>725</v>
      </c>
      <c r="J26" s="124">
        <v>3237</v>
      </c>
      <c r="K26" s="124">
        <v>2374</v>
      </c>
      <c r="L26" s="125">
        <v>1108</v>
      </c>
    </row>
    <row r="27" spans="1:14">
      <c r="A27" s="44" t="s">
        <v>578</v>
      </c>
      <c r="B27" s="124">
        <f t="shared" si="1"/>
        <v>1788</v>
      </c>
      <c r="C27" s="124"/>
      <c r="D27" s="124">
        <v>20</v>
      </c>
      <c r="E27" s="124">
        <v>20</v>
      </c>
      <c r="F27" s="124">
        <v>95</v>
      </c>
      <c r="G27" s="124">
        <v>95</v>
      </c>
      <c r="H27" s="124">
        <v>126</v>
      </c>
      <c r="I27" s="124">
        <v>139</v>
      </c>
      <c r="J27" s="124">
        <v>622</v>
      </c>
      <c r="K27" s="124">
        <v>457</v>
      </c>
      <c r="L27" s="125">
        <v>214</v>
      </c>
      <c r="M27" s="233"/>
    </row>
    <row r="28" spans="1:14">
      <c r="A28" s="44"/>
      <c r="B28" s="124"/>
      <c r="C28" s="124"/>
      <c r="D28" s="124"/>
      <c r="E28" s="124"/>
      <c r="F28" s="124"/>
      <c r="G28" s="124"/>
      <c r="H28" s="124"/>
      <c r="I28" s="124"/>
      <c r="J28" s="124"/>
      <c r="K28" s="124"/>
      <c r="L28" s="125"/>
    </row>
    <row r="29" spans="1:14">
      <c r="A29" s="126" t="s">
        <v>579</v>
      </c>
      <c r="B29" s="124">
        <f t="shared" ref="B29:B44" si="4">SUM(D29:L29)</f>
        <v>8366</v>
      </c>
      <c r="C29" s="127" t="s">
        <v>565</v>
      </c>
      <c r="D29" s="124">
        <f>SUM(D30:D32)</f>
        <v>113</v>
      </c>
      <c r="E29" s="124">
        <f t="shared" ref="E29:L29" si="5">SUM(E30:E32)</f>
        <v>113</v>
      </c>
      <c r="F29" s="124">
        <f t="shared" si="5"/>
        <v>448</v>
      </c>
      <c r="G29" s="124">
        <f t="shared" si="5"/>
        <v>445</v>
      </c>
      <c r="H29" s="124">
        <f t="shared" si="5"/>
        <v>549</v>
      </c>
      <c r="I29" s="124">
        <f t="shared" si="5"/>
        <v>596</v>
      </c>
      <c r="J29" s="124">
        <f t="shared" si="5"/>
        <v>3025</v>
      </c>
      <c r="K29" s="124">
        <f t="shared" si="5"/>
        <v>2063</v>
      </c>
      <c r="L29" s="125">
        <f t="shared" si="5"/>
        <v>1014</v>
      </c>
      <c r="N29" s="128"/>
    </row>
    <row r="30" spans="1:14">
      <c r="A30" s="44" t="s">
        <v>580</v>
      </c>
      <c r="B30" s="124">
        <f t="shared" si="4"/>
        <v>6402</v>
      </c>
      <c r="C30" s="124"/>
      <c r="D30" s="124">
        <v>90</v>
      </c>
      <c r="E30" s="124">
        <v>90</v>
      </c>
      <c r="F30" s="124">
        <v>348</v>
      </c>
      <c r="G30" s="124">
        <v>344</v>
      </c>
      <c r="H30" s="124">
        <v>432</v>
      </c>
      <c r="I30" s="124">
        <v>468</v>
      </c>
      <c r="J30" s="124">
        <v>2216</v>
      </c>
      <c r="K30" s="124">
        <v>1627</v>
      </c>
      <c r="L30" s="125">
        <v>787</v>
      </c>
    </row>
    <row r="31" spans="1:14">
      <c r="A31" s="44" t="s">
        <v>581</v>
      </c>
      <c r="B31" s="124">
        <f t="shared" si="4"/>
        <v>1119</v>
      </c>
      <c r="C31" s="124"/>
      <c r="D31" s="124">
        <v>12</v>
      </c>
      <c r="E31" s="124">
        <v>12</v>
      </c>
      <c r="F31" s="124">
        <v>60</v>
      </c>
      <c r="G31" s="124">
        <v>61</v>
      </c>
      <c r="H31" s="124">
        <v>75</v>
      </c>
      <c r="I31" s="124">
        <v>82</v>
      </c>
      <c r="J31" s="124">
        <v>438</v>
      </c>
      <c r="K31" s="124">
        <v>246</v>
      </c>
      <c r="L31" s="125">
        <v>133</v>
      </c>
      <c r="M31" s="233"/>
    </row>
    <row r="32" spans="1:14">
      <c r="A32" s="44" t="s">
        <v>582</v>
      </c>
      <c r="B32" s="124">
        <f t="shared" si="4"/>
        <v>845</v>
      </c>
      <c r="C32" s="124"/>
      <c r="D32" s="124">
        <v>11</v>
      </c>
      <c r="E32" s="124">
        <v>11</v>
      </c>
      <c r="F32" s="124">
        <v>40</v>
      </c>
      <c r="G32" s="124">
        <v>40</v>
      </c>
      <c r="H32" s="124">
        <v>42</v>
      </c>
      <c r="I32" s="124">
        <v>46</v>
      </c>
      <c r="J32" s="124">
        <v>371</v>
      </c>
      <c r="K32" s="124">
        <v>190</v>
      </c>
      <c r="L32" s="125">
        <v>94</v>
      </c>
    </row>
    <row r="33" spans="1:14">
      <c r="A33" s="44"/>
      <c r="B33" s="124"/>
      <c r="C33" s="124"/>
      <c r="D33" s="124"/>
      <c r="E33" s="124"/>
      <c r="F33" s="124"/>
      <c r="G33" s="124"/>
      <c r="H33" s="124"/>
      <c r="I33" s="124"/>
      <c r="J33" s="124"/>
      <c r="K33" s="124"/>
      <c r="L33" s="125"/>
    </row>
    <row r="34" spans="1:14">
      <c r="A34" s="126" t="s">
        <v>583</v>
      </c>
      <c r="B34" s="124">
        <f t="shared" si="4"/>
        <v>117496</v>
      </c>
      <c r="C34" s="127" t="s">
        <v>565</v>
      </c>
      <c r="D34" s="124">
        <f>+D29+D25+D17+D9</f>
        <v>1585</v>
      </c>
      <c r="E34" s="124">
        <f t="shared" ref="E34:L34" si="6">+E29+E25+E17+E9</f>
        <v>1614</v>
      </c>
      <c r="F34" s="124">
        <f t="shared" si="6"/>
        <v>6407</v>
      </c>
      <c r="G34" s="124">
        <f t="shared" si="6"/>
        <v>6453</v>
      </c>
      <c r="H34" s="124">
        <f t="shared" si="6"/>
        <v>8370</v>
      </c>
      <c r="I34" s="124">
        <f t="shared" si="6"/>
        <v>9288</v>
      </c>
      <c r="J34" s="124">
        <f t="shared" si="6"/>
        <v>43789</v>
      </c>
      <c r="K34" s="124">
        <f t="shared" si="6"/>
        <v>27249</v>
      </c>
      <c r="L34" s="125">
        <f t="shared" si="6"/>
        <v>12741</v>
      </c>
      <c r="N34" s="128"/>
    </row>
    <row r="35" spans="1:14">
      <c r="A35" s="44"/>
      <c r="B35" s="124"/>
      <c r="C35" s="124"/>
      <c r="D35" s="124"/>
      <c r="E35" s="124"/>
      <c r="F35" s="124"/>
      <c r="G35" s="124"/>
      <c r="H35" s="124"/>
      <c r="I35" s="124"/>
      <c r="J35" s="124"/>
      <c r="K35" s="124"/>
      <c r="L35" s="125"/>
    </row>
    <row r="36" spans="1:14">
      <c r="A36" s="44"/>
      <c r="B36" s="129"/>
      <c r="C36" s="129"/>
      <c r="D36" s="129"/>
      <c r="E36" s="129"/>
      <c r="F36" s="129"/>
      <c r="G36" s="129"/>
      <c r="H36" s="129"/>
      <c r="I36" s="129"/>
      <c r="J36" s="129"/>
      <c r="K36" s="129"/>
      <c r="L36" s="130"/>
    </row>
    <row r="37" spans="1:14">
      <c r="A37" s="126" t="s">
        <v>452</v>
      </c>
      <c r="B37" s="124">
        <f t="shared" si="4"/>
        <v>81500</v>
      </c>
      <c r="C37" s="127" t="s">
        <v>565</v>
      </c>
      <c r="D37" s="124">
        <f t="shared" ref="D37:L37" si="7">SUM(D38:D41)</f>
        <v>1198</v>
      </c>
      <c r="E37" s="124">
        <f t="shared" si="7"/>
        <v>1229</v>
      </c>
      <c r="F37" s="124">
        <f t="shared" si="7"/>
        <v>4828</v>
      </c>
      <c r="G37" s="124">
        <f t="shared" si="7"/>
        <v>4844</v>
      </c>
      <c r="H37" s="124">
        <f t="shared" si="7"/>
        <v>5962</v>
      </c>
      <c r="I37" s="124">
        <f t="shared" si="7"/>
        <v>6250</v>
      </c>
      <c r="J37" s="124">
        <f t="shared" si="7"/>
        <v>28406</v>
      </c>
      <c r="K37" s="124">
        <f t="shared" si="7"/>
        <v>19694</v>
      </c>
      <c r="L37" s="125">
        <f t="shared" si="7"/>
        <v>9089</v>
      </c>
      <c r="N37" s="128"/>
    </row>
    <row r="38" spans="1:14">
      <c r="A38" s="44" t="s">
        <v>584</v>
      </c>
      <c r="B38" s="124">
        <f t="shared" si="4"/>
        <v>33904</v>
      </c>
      <c r="C38" s="124"/>
      <c r="D38" s="124">
        <v>503</v>
      </c>
      <c r="E38" s="124">
        <v>512</v>
      </c>
      <c r="F38" s="124">
        <v>2005</v>
      </c>
      <c r="G38" s="124">
        <v>2011</v>
      </c>
      <c r="H38" s="124">
        <v>2433</v>
      </c>
      <c r="I38" s="124">
        <v>2548</v>
      </c>
      <c r="J38" s="124">
        <v>11843</v>
      </c>
      <c r="K38" s="124">
        <v>8232</v>
      </c>
      <c r="L38" s="125">
        <v>3817</v>
      </c>
      <c r="M38" s="225"/>
    </row>
    <row r="39" spans="1:14">
      <c r="A39" s="44" t="s">
        <v>679</v>
      </c>
      <c r="B39" s="124">
        <f t="shared" si="4"/>
        <v>36145</v>
      </c>
      <c r="C39" s="124"/>
      <c r="D39" s="124">
        <v>533</v>
      </c>
      <c r="E39" s="124">
        <v>541</v>
      </c>
      <c r="F39" s="124">
        <v>2126</v>
      </c>
      <c r="G39" s="124">
        <v>2133</v>
      </c>
      <c r="H39" s="124">
        <v>2683</v>
      </c>
      <c r="I39" s="124">
        <v>2805</v>
      </c>
      <c r="J39" s="124">
        <v>12554</v>
      </c>
      <c r="K39" s="124">
        <v>8726</v>
      </c>
      <c r="L39" s="125">
        <v>4044</v>
      </c>
      <c r="M39" s="225"/>
    </row>
    <row r="40" spans="1:14">
      <c r="A40" s="44" t="s">
        <v>585</v>
      </c>
      <c r="B40" s="124">
        <f t="shared" si="4"/>
        <v>7646</v>
      </c>
      <c r="C40" s="124"/>
      <c r="D40" s="124">
        <v>106</v>
      </c>
      <c r="E40" s="124">
        <v>118</v>
      </c>
      <c r="F40" s="124">
        <v>472</v>
      </c>
      <c r="G40" s="124">
        <v>474</v>
      </c>
      <c r="H40" s="124">
        <v>568</v>
      </c>
      <c r="I40" s="124">
        <v>605</v>
      </c>
      <c r="J40" s="124">
        <v>2682</v>
      </c>
      <c r="K40" s="124">
        <v>1817</v>
      </c>
      <c r="L40" s="125">
        <v>804</v>
      </c>
      <c r="M40" s="225"/>
    </row>
    <row r="41" spans="1:14">
      <c r="A41" s="44" t="s">
        <v>374</v>
      </c>
      <c r="B41" s="124">
        <f t="shared" si="4"/>
        <v>3805</v>
      </c>
      <c r="C41" s="124"/>
      <c r="D41" s="124">
        <v>56</v>
      </c>
      <c r="E41" s="124">
        <v>58</v>
      </c>
      <c r="F41" s="124">
        <v>225</v>
      </c>
      <c r="G41" s="124">
        <v>226</v>
      </c>
      <c r="H41" s="124">
        <v>278</v>
      </c>
      <c r="I41" s="124">
        <v>292</v>
      </c>
      <c r="J41" s="124">
        <v>1327</v>
      </c>
      <c r="K41" s="124">
        <v>919</v>
      </c>
      <c r="L41" s="125">
        <v>424</v>
      </c>
      <c r="M41" s="225"/>
    </row>
    <row r="42" spans="1:14">
      <c r="A42" s="44"/>
      <c r="B42" s="129"/>
      <c r="C42" s="129"/>
      <c r="D42" s="129"/>
      <c r="E42" s="129"/>
      <c r="F42" s="129"/>
      <c r="G42" s="129"/>
      <c r="H42" s="129"/>
      <c r="I42" s="129"/>
      <c r="J42" s="129"/>
      <c r="K42" s="129"/>
      <c r="L42" s="130"/>
    </row>
    <row r="43" spans="1:14">
      <c r="A43" s="126" t="s">
        <v>586</v>
      </c>
      <c r="B43" s="124">
        <f t="shared" si="4"/>
        <v>17906</v>
      </c>
      <c r="C43" s="127" t="s">
        <v>565</v>
      </c>
      <c r="D43" s="124">
        <f>SUM(D44:D54)</f>
        <v>258</v>
      </c>
      <c r="E43" s="124">
        <f t="shared" ref="E43:L43" si="8">SUM(E44:E54)</f>
        <v>262</v>
      </c>
      <c r="F43" s="124">
        <f t="shared" si="8"/>
        <v>1032</v>
      </c>
      <c r="G43" s="124">
        <f t="shared" si="8"/>
        <v>1035</v>
      </c>
      <c r="H43" s="124">
        <f t="shared" si="8"/>
        <v>1262</v>
      </c>
      <c r="I43" s="124">
        <f t="shared" si="8"/>
        <v>1310</v>
      </c>
      <c r="J43" s="124">
        <f t="shared" si="8"/>
        <v>5966</v>
      </c>
      <c r="K43" s="124">
        <f t="shared" si="8"/>
        <v>4503</v>
      </c>
      <c r="L43" s="125">
        <f t="shared" si="8"/>
        <v>2278</v>
      </c>
      <c r="N43" s="128"/>
    </row>
    <row r="44" spans="1:14">
      <c r="A44" s="44" t="s">
        <v>587</v>
      </c>
      <c r="B44" s="131">
        <f t="shared" si="4"/>
        <v>6170</v>
      </c>
      <c r="C44" s="124"/>
      <c r="D44" s="124">
        <v>83</v>
      </c>
      <c r="E44" s="124">
        <v>85</v>
      </c>
      <c r="F44" s="124">
        <v>318</v>
      </c>
      <c r="G44" s="124">
        <v>320</v>
      </c>
      <c r="H44" s="124">
        <v>420</v>
      </c>
      <c r="I44" s="124">
        <v>439</v>
      </c>
      <c r="J44" s="124">
        <v>2075</v>
      </c>
      <c r="K44" s="124">
        <v>1620</v>
      </c>
      <c r="L44" s="125">
        <v>810</v>
      </c>
      <c r="M44" s="226"/>
    </row>
    <row r="45" spans="1:14">
      <c r="A45" s="44" t="s">
        <v>588</v>
      </c>
      <c r="B45" s="131">
        <f t="shared" ref="B45:B59" si="9">SUM(D45:L45)</f>
        <v>2582</v>
      </c>
      <c r="C45" s="124"/>
      <c r="D45" s="124">
        <v>37</v>
      </c>
      <c r="E45" s="124">
        <v>40</v>
      </c>
      <c r="F45" s="124">
        <v>148</v>
      </c>
      <c r="G45" s="124">
        <v>149</v>
      </c>
      <c r="H45" s="124">
        <v>183</v>
      </c>
      <c r="I45" s="124">
        <v>184</v>
      </c>
      <c r="J45" s="124">
        <v>862</v>
      </c>
      <c r="K45" s="124">
        <v>650</v>
      </c>
      <c r="L45" s="125">
        <v>329</v>
      </c>
      <c r="M45" s="226"/>
    </row>
    <row r="46" spans="1:14">
      <c r="A46" s="44" t="s">
        <v>589</v>
      </c>
      <c r="B46" s="131">
        <f t="shared" si="9"/>
        <v>1181</v>
      </c>
      <c r="C46" s="124"/>
      <c r="D46" s="124">
        <v>16</v>
      </c>
      <c r="E46" s="124">
        <v>16</v>
      </c>
      <c r="F46" s="124">
        <v>77</v>
      </c>
      <c r="G46" s="124">
        <v>77</v>
      </c>
      <c r="H46" s="124">
        <v>89</v>
      </c>
      <c r="I46" s="124">
        <v>93</v>
      </c>
      <c r="J46" s="124">
        <v>395</v>
      </c>
      <c r="K46" s="124">
        <v>270</v>
      </c>
      <c r="L46" s="125">
        <v>148</v>
      </c>
      <c r="M46" s="226"/>
    </row>
    <row r="47" spans="1:14">
      <c r="A47" s="44" t="s">
        <v>590</v>
      </c>
      <c r="B47" s="131">
        <f t="shared" si="9"/>
        <v>1277</v>
      </c>
      <c r="C47" s="124"/>
      <c r="D47" s="124">
        <v>21</v>
      </c>
      <c r="E47" s="124">
        <v>21</v>
      </c>
      <c r="F47" s="124">
        <v>80</v>
      </c>
      <c r="G47" s="124">
        <v>80</v>
      </c>
      <c r="H47" s="124">
        <v>90</v>
      </c>
      <c r="I47" s="124">
        <v>95</v>
      </c>
      <c r="J47" s="124">
        <v>420</v>
      </c>
      <c r="K47" s="124">
        <v>318</v>
      </c>
      <c r="L47" s="125">
        <v>152</v>
      </c>
      <c r="M47" s="226"/>
    </row>
    <row r="48" spans="1:14">
      <c r="A48" s="44" t="s">
        <v>591</v>
      </c>
      <c r="B48" s="131">
        <f t="shared" si="9"/>
        <v>1066</v>
      </c>
      <c r="C48" s="124"/>
      <c r="D48" s="124">
        <v>16</v>
      </c>
      <c r="E48" s="124">
        <v>16</v>
      </c>
      <c r="F48" s="124">
        <v>61</v>
      </c>
      <c r="G48" s="124">
        <v>61</v>
      </c>
      <c r="H48" s="124">
        <v>76</v>
      </c>
      <c r="I48" s="124">
        <v>78</v>
      </c>
      <c r="J48" s="124">
        <v>355</v>
      </c>
      <c r="K48" s="124">
        <v>268</v>
      </c>
      <c r="L48" s="125">
        <v>135</v>
      </c>
      <c r="M48" s="226"/>
    </row>
    <row r="49" spans="1:14">
      <c r="A49" s="44" t="s">
        <v>592</v>
      </c>
      <c r="B49" s="131">
        <f t="shared" si="9"/>
        <v>1156</v>
      </c>
      <c r="C49" s="124"/>
      <c r="D49" s="124">
        <v>17</v>
      </c>
      <c r="E49" s="124">
        <v>17</v>
      </c>
      <c r="F49" s="124">
        <v>76</v>
      </c>
      <c r="G49" s="124">
        <v>76</v>
      </c>
      <c r="H49" s="124">
        <v>88</v>
      </c>
      <c r="I49" s="124">
        <v>94</v>
      </c>
      <c r="J49" s="124">
        <v>390</v>
      </c>
      <c r="K49" s="124">
        <v>262</v>
      </c>
      <c r="L49" s="125">
        <v>136</v>
      </c>
      <c r="M49" s="226"/>
    </row>
    <row r="50" spans="1:14">
      <c r="A50" s="44" t="s">
        <v>593</v>
      </c>
      <c r="B50" s="131">
        <f t="shared" si="9"/>
        <v>1304</v>
      </c>
      <c r="C50" s="124"/>
      <c r="D50" s="124">
        <v>19</v>
      </c>
      <c r="E50" s="124">
        <v>18</v>
      </c>
      <c r="F50" s="124">
        <v>75</v>
      </c>
      <c r="G50" s="124">
        <v>75</v>
      </c>
      <c r="H50" s="124">
        <v>91</v>
      </c>
      <c r="I50" s="124">
        <v>94</v>
      </c>
      <c r="J50" s="124">
        <v>435</v>
      </c>
      <c r="K50" s="124">
        <v>331</v>
      </c>
      <c r="L50" s="125">
        <v>166</v>
      </c>
      <c r="M50" s="226"/>
    </row>
    <row r="51" spans="1:14">
      <c r="A51" s="44" t="s">
        <v>594</v>
      </c>
      <c r="B51" s="131">
        <f t="shared" si="9"/>
        <v>1149</v>
      </c>
      <c r="C51" s="124"/>
      <c r="D51" s="124">
        <v>17</v>
      </c>
      <c r="E51" s="124">
        <v>16</v>
      </c>
      <c r="F51" s="124">
        <v>66</v>
      </c>
      <c r="G51" s="124">
        <v>66</v>
      </c>
      <c r="H51" s="124">
        <v>82</v>
      </c>
      <c r="I51" s="124">
        <v>85</v>
      </c>
      <c r="J51" s="124">
        <v>382</v>
      </c>
      <c r="K51" s="124">
        <v>288</v>
      </c>
      <c r="L51" s="125">
        <v>147</v>
      </c>
      <c r="M51" s="226"/>
    </row>
    <row r="52" spans="1:14">
      <c r="A52" s="44" t="s">
        <v>595</v>
      </c>
      <c r="B52" s="131">
        <f t="shared" si="9"/>
        <v>1328</v>
      </c>
      <c r="C52" s="124"/>
      <c r="D52" s="124">
        <v>20</v>
      </c>
      <c r="E52" s="124">
        <v>21</v>
      </c>
      <c r="F52" s="124">
        <v>82</v>
      </c>
      <c r="G52" s="124">
        <v>82</v>
      </c>
      <c r="H52" s="124">
        <v>92</v>
      </c>
      <c r="I52" s="124">
        <v>94</v>
      </c>
      <c r="J52" s="124">
        <v>433</v>
      </c>
      <c r="K52" s="124">
        <v>336</v>
      </c>
      <c r="L52" s="125">
        <v>168</v>
      </c>
      <c r="M52" s="226"/>
    </row>
    <row r="53" spans="1:14">
      <c r="A53" s="44" t="s">
        <v>596</v>
      </c>
      <c r="B53" s="124">
        <f t="shared" si="9"/>
        <v>312</v>
      </c>
      <c r="C53" s="124"/>
      <c r="D53" s="124">
        <v>6</v>
      </c>
      <c r="E53" s="124">
        <v>6</v>
      </c>
      <c r="F53" s="124">
        <v>22</v>
      </c>
      <c r="G53" s="124">
        <v>22</v>
      </c>
      <c r="H53" s="124">
        <v>24</v>
      </c>
      <c r="I53" s="124">
        <v>25</v>
      </c>
      <c r="J53" s="124">
        <v>92</v>
      </c>
      <c r="K53" s="124">
        <v>74</v>
      </c>
      <c r="L53" s="125">
        <v>41</v>
      </c>
      <c r="M53" s="226"/>
    </row>
    <row r="54" spans="1:14">
      <c r="A54" s="44" t="s">
        <v>597</v>
      </c>
      <c r="B54" s="124">
        <f t="shared" si="9"/>
        <v>381</v>
      </c>
      <c r="C54" s="124"/>
      <c r="D54" s="124">
        <v>6</v>
      </c>
      <c r="E54" s="124">
        <v>6</v>
      </c>
      <c r="F54" s="124">
        <v>27</v>
      </c>
      <c r="G54" s="124">
        <v>27</v>
      </c>
      <c r="H54" s="124">
        <v>27</v>
      </c>
      <c r="I54" s="124">
        <v>29</v>
      </c>
      <c r="J54" s="124">
        <v>127</v>
      </c>
      <c r="K54" s="124">
        <v>86</v>
      </c>
      <c r="L54" s="125">
        <v>46</v>
      </c>
      <c r="M54" s="226"/>
    </row>
    <row r="55" spans="1:14">
      <c r="A55" s="44"/>
      <c r="B55" s="1060"/>
      <c r="C55" s="1060"/>
      <c r="D55" s="1060"/>
      <c r="E55" s="1060"/>
      <c r="F55" s="1060"/>
      <c r="G55" s="1060"/>
      <c r="H55" s="1060"/>
      <c r="I55" s="1060"/>
      <c r="J55" s="1060"/>
      <c r="K55" s="1060"/>
      <c r="L55" s="1061"/>
      <c r="M55" s="118"/>
    </row>
    <row r="56" spans="1:14">
      <c r="A56" s="126" t="s">
        <v>598</v>
      </c>
      <c r="B56" s="124">
        <f t="shared" si="9"/>
        <v>14972</v>
      </c>
      <c r="C56" s="127" t="s">
        <v>565</v>
      </c>
      <c r="D56" s="124">
        <f>SUM(D57:D59)</f>
        <v>217</v>
      </c>
      <c r="E56" s="124">
        <f t="shared" ref="E56:L56" si="10">SUM(E57:E59)</f>
        <v>218</v>
      </c>
      <c r="F56" s="124">
        <f t="shared" si="10"/>
        <v>876</v>
      </c>
      <c r="G56" s="124">
        <f t="shared" si="10"/>
        <v>894</v>
      </c>
      <c r="H56" s="124">
        <f t="shared" si="10"/>
        <v>1121</v>
      </c>
      <c r="I56" s="124">
        <f t="shared" si="10"/>
        <v>1174</v>
      </c>
      <c r="J56" s="124">
        <f t="shared" si="10"/>
        <v>5192</v>
      </c>
      <c r="K56" s="124">
        <f t="shared" si="10"/>
        <v>3569</v>
      </c>
      <c r="L56" s="125">
        <f t="shared" si="10"/>
        <v>1711</v>
      </c>
      <c r="M56" s="132"/>
      <c r="N56" s="128"/>
    </row>
    <row r="57" spans="1:14">
      <c r="A57" s="44" t="s">
        <v>599</v>
      </c>
      <c r="B57" s="124">
        <f t="shared" si="9"/>
        <v>11888</v>
      </c>
      <c r="C57" s="124"/>
      <c r="D57" s="124">
        <v>172</v>
      </c>
      <c r="E57" s="124">
        <v>174</v>
      </c>
      <c r="F57" s="124">
        <v>696</v>
      </c>
      <c r="G57" s="124">
        <v>710</v>
      </c>
      <c r="H57" s="124">
        <v>890</v>
      </c>
      <c r="I57" s="124">
        <v>932</v>
      </c>
      <c r="J57" s="124">
        <v>4122</v>
      </c>
      <c r="K57" s="124">
        <v>2834</v>
      </c>
      <c r="L57" s="125">
        <v>1358</v>
      </c>
      <c r="M57" s="226"/>
    </row>
    <row r="58" spans="1:14">
      <c r="A58" s="44" t="s">
        <v>375</v>
      </c>
      <c r="B58" s="124">
        <f t="shared" si="9"/>
        <v>1758</v>
      </c>
      <c r="C58" s="124"/>
      <c r="D58" s="124">
        <v>26</v>
      </c>
      <c r="E58" s="124">
        <v>24</v>
      </c>
      <c r="F58" s="124">
        <v>103</v>
      </c>
      <c r="G58" s="124">
        <v>105</v>
      </c>
      <c r="H58" s="124">
        <v>132</v>
      </c>
      <c r="I58" s="124">
        <v>138</v>
      </c>
      <c r="J58" s="124">
        <v>610</v>
      </c>
      <c r="K58" s="124">
        <v>419</v>
      </c>
      <c r="L58" s="125">
        <v>201</v>
      </c>
      <c r="M58" s="226"/>
    </row>
    <row r="59" spans="1:14">
      <c r="A59" s="44" t="s">
        <v>600</v>
      </c>
      <c r="B59" s="124">
        <f t="shared" si="9"/>
        <v>1326</v>
      </c>
      <c r="C59" s="124"/>
      <c r="D59" s="124">
        <v>19</v>
      </c>
      <c r="E59" s="124">
        <v>20</v>
      </c>
      <c r="F59" s="124">
        <v>77</v>
      </c>
      <c r="G59" s="124">
        <v>79</v>
      </c>
      <c r="H59" s="124">
        <v>99</v>
      </c>
      <c r="I59" s="124">
        <v>104</v>
      </c>
      <c r="J59" s="124">
        <v>460</v>
      </c>
      <c r="K59" s="124">
        <v>316</v>
      </c>
      <c r="L59" s="125">
        <v>152</v>
      </c>
      <c r="M59" s="226"/>
    </row>
    <row r="60" spans="1:14">
      <c r="A60" s="44"/>
      <c r="B60" s="124"/>
      <c r="C60" s="124"/>
      <c r="D60" s="124"/>
      <c r="E60" s="124"/>
      <c r="F60" s="124"/>
      <c r="G60" s="124"/>
      <c r="H60" s="124"/>
      <c r="I60" s="124"/>
      <c r="J60" s="124"/>
      <c r="K60" s="124"/>
      <c r="L60" s="125"/>
    </row>
    <row r="61" spans="1:14">
      <c r="A61" s="126" t="s">
        <v>601</v>
      </c>
      <c r="B61" s="124">
        <f t="shared" ref="B61:B76" si="11">SUM(D61:L61)</f>
        <v>7743</v>
      </c>
      <c r="C61" s="127" t="s">
        <v>565</v>
      </c>
      <c r="D61" s="124">
        <f>SUM(D62:D65)</f>
        <v>118</v>
      </c>
      <c r="E61" s="124">
        <f t="shared" ref="E61:L61" si="12">SUM(E62:E65)</f>
        <v>122</v>
      </c>
      <c r="F61" s="124">
        <f t="shared" si="12"/>
        <v>468</v>
      </c>
      <c r="G61" s="124">
        <f t="shared" si="12"/>
        <v>470</v>
      </c>
      <c r="H61" s="124">
        <f t="shared" si="12"/>
        <v>553</v>
      </c>
      <c r="I61" s="124">
        <f t="shared" si="12"/>
        <v>562</v>
      </c>
      <c r="J61" s="124">
        <f t="shared" si="12"/>
        <v>2788</v>
      </c>
      <c r="K61" s="124">
        <f t="shared" si="12"/>
        <v>1818</v>
      </c>
      <c r="L61" s="125">
        <f t="shared" si="12"/>
        <v>844</v>
      </c>
      <c r="N61" s="128"/>
    </row>
    <row r="62" spans="1:14">
      <c r="A62" s="44" t="s">
        <v>602</v>
      </c>
      <c r="B62" s="124">
        <f t="shared" si="11"/>
        <v>5312</v>
      </c>
      <c r="C62" s="124"/>
      <c r="D62" s="124">
        <v>77</v>
      </c>
      <c r="E62" s="124">
        <v>78</v>
      </c>
      <c r="F62" s="124">
        <v>313</v>
      </c>
      <c r="G62" s="124">
        <v>316</v>
      </c>
      <c r="H62" s="124">
        <v>380</v>
      </c>
      <c r="I62" s="124">
        <v>383</v>
      </c>
      <c r="J62" s="124">
        <v>1865</v>
      </c>
      <c r="K62" s="124">
        <v>1320</v>
      </c>
      <c r="L62" s="125">
        <v>580</v>
      </c>
      <c r="M62" s="226"/>
    </row>
    <row r="63" spans="1:14">
      <c r="A63" s="44" t="s">
        <v>603</v>
      </c>
      <c r="B63" s="124">
        <f t="shared" si="11"/>
        <v>592</v>
      </c>
      <c r="C63" s="124"/>
      <c r="D63" s="124">
        <v>11</v>
      </c>
      <c r="E63" s="124">
        <v>12</v>
      </c>
      <c r="F63" s="124">
        <v>35</v>
      </c>
      <c r="G63" s="124">
        <v>35</v>
      </c>
      <c r="H63" s="124">
        <v>36</v>
      </c>
      <c r="I63" s="124">
        <v>38</v>
      </c>
      <c r="J63" s="124">
        <v>234</v>
      </c>
      <c r="K63" s="124">
        <v>129</v>
      </c>
      <c r="L63" s="125">
        <v>62</v>
      </c>
      <c r="M63" s="226"/>
    </row>
    <row r="64" spans="1:14">
      <c r="A64" s="44" t="s">
        <v>604</v>
      </c>
      <c r="B64" s="124">
        <f t="shared" si="11"/>
        <v>789</v>
      </c>
      <c r="C64" s="124"/>
      <c r="D64" s="124">
        <v>13</v>
      </c>
      <c r="E64" s="124">
        <v>14</v>
      </c>
      <c r="F64" s="124">
        <v>49</v>
      </c>
      <c r="G64" s="124">
        <v>49</v>
      </c>
      <c r="H64" s="124">
        <v>58</v>
      </c>
      <c r="I64" s="124">
        <v>60</v>
      </c>
      <c r="J64" s="124">
        <v>301</v>
      </c>
      <c r="K64" s="124">
        <v>159</v>
      </c>
      <c r="L64" s="125">
        <v>86</v>
      </c>
      <c r="M64" s="226"/>
    </row>
    <row r="65" spans="1:21">
      <c r="A65" s="44" t="s">
        <v>605</v>
      </c>
      <c r="B65" s="124">
        <f t="shared" si="11"/>
        <v>1050</v>
      </c>
      <c r="C65" s="124"/>
      <c r="D65" s="124">
        <v>17</v>
      </c>
      <c r="E65" s="124">
        <v>18</v>
      </c>
      <c r="F65" s="124">
        <v>71</v>
      </c>
      <c r="G65" s="124">
        <v>70</v>
      </c>
      <c r="H65" s="124">
        <v>79</v>
      </c>
      <c r="I65" s="124">
        <v>81</v>
      </c>
      <c r="J65" s="124">
        <v>388</v>
      </c>
      <c r="K65" s="124">
        <v>210</v>
      </c>
      <c r="L65" s="125">
        <v>116</v>
      </c>
      <c r="M65" s="226"/>
    </row>
    <row r="66" spans="1:21">
      <c r="A66" s="44"/>
      <c r="B66" s="124"/>
      <c r="C66" s="124"/>
      <c r="D66" s="124"/>
      <c r="E66" s="124"/>
      <c r="F66" s="124"/>
      <c r="G66" s="124"/>
      <c r="H66" s="124"/>
      <c r="I66" s="124"/>
      <c r="J66" s="124"/>
      <c r="K66" s="124"/>
      <c r="L66" s="125"/>
    </row>
    <row r="67" spans="1:21">
      <c r="A67" s="126" t="s">
        <v>606</v>
      </c>
      <c r="B67" s="124">
        <f t="shared" si="11"/>
        <v>23892</v>
      </c>
      <c r="C67" s="127" t="s">
        <v>565</v>
      </c>
      <c r="D67" s="124">
        <f>SUM(D68:D71)</f>
        <v>344</v>
      </c>
      <c r="E67" s="124">
        <f t="shared" ref="E67:L67" si="13">SUM(E68:E71)</f>
        <v>337</v>
      </c>
      <c r="F67" s="124">
        <f t="shared" si="13"/>
        <v>1383</v>
      </c>
      <c r="G67" s="124">
        <f t="shared" si="13"/>
        <v>1385</v>
      </c>
      <c r="H67" s="124">
        <f t="shared" si="13"/>
        <v>1668</v>
      </c>
      <c r="I67" s="124">
        <f t="shared" si="13"/>
        <v>1697</v>
      </c>
      <c r="J67" s="124">
        <f t="shared" si="13"/>
        <v>8569</v>
      </c>
      <c r="K67" s="124">
        <f t="shared" si="13"/>
        <v>5882</v>
      </c>
      <c r="L67" s="125">
        <f t="shared" si="13"/>
        <v>2627</v>
      </c>
      <c r="N67" s="128"/>
    </row>
    <row r="68" spans="1:21">
      <c r="A68" s="44" t="s">
        <v>607</v>
      </c>
      <c r="B68" s="124">
        <f t="shared" si="11"/>
        <v>19552</v>
      </c>
      <c r="C68" s="124"/>
      <c r="D68" s="124">
        <v>287</v>
      </c>
      <c r="E68" s="124">
        <v>284</v>
      </c>
      <c r="F68" s="124">
        <v>1186</v>
      </c>
      <c r="G68" s="124">
        <v>1187</v>
      </c>
      <c r="H68" s="124">
        <v>1436</v>
      </c>
      <c r="I68" s="124">
        <v>1446</v>
      </c>
      <c r="J68" s="124">
        <v>6832</v>
      </c>
      <c r="K68" s="124">
        <v>4777</v>
      </c>
      <c r="L68" s="125">
        <v>2117</v>
      </c>
      <c r="M68" s="225"/>
    </row>
    <row r="69" spans="1:21">
      <c r="A69" s="44" t="s">
        <v>608</v>
      </c>
      <c r="B69" s="124">
        <f t="shared" si="11"/>
        <v>482</v>
      </c>
      <c r="C69" s="124"/>
      <c r="D69" s="124">
        <v>10</v>
      </c>
      <c r="E69" s="124">
        <v>9</v>
      </c>
      <c r="F69" s="124">
        <v>22</v>
      </c>
      <c r="G69" s="124">
        <v>22</v>
      </c>
      <c r="H69" s="124">
        <v>24</v>
      </c>
      <c r="I69" s="124">
        <v>26</v>
      </c>
      <c r="J69" s="124">
        <v>173</v>
      </c>
      <c r="K69" s="124">
        <v>130</v>
      </c>
      <c r="L69" s="125">
        <v>66</v>
      </c>
      <c r="M69" s="225"/>
    </row>
    <row r="70" spans="1:21">
      <c r="A70" s="44" t="s">
        <v>609</v>
      </c>
      <c r="B70" s="124">
        <f t="shared" si="11"/>
        <v>2470</v>
      </c>
      <c r="C70" s="124"/>
      <c r="D70" s="124">
        <v>30</v>
      </c>
      <c r="E70" s="124">
        <v>29</v>
      </c>
      <c r="F70" s="124">
        <v>112</v>
      </c>
      <c r="G70" s="124">
        <v>112</v>
      </c>
      <c r="H70" s="124">
        <v>137</v>
      </c>
      <c r="I70" s="124">
        <v>145</v>
      </c>
      <c r="J70" s="124">
        <v>998</v>
      </c>
      <c r="K70" s="124">
        <v>632</v>
      </c>
      <c r="L70" s="125">
        <v>275</v>
      </c>
      <c r="M70" s="225"/>
    </row>
    <row r="71" spans="1:21">
      <c r="A71" s="44" t="s">
        <v>610</v>
      </c>
      <c r="B71" s="124">
        <f t="shared" si="11"/>
        <v>1388</v>
      </c>
      <c r="C71" s="124"/>
      <c r="D71" s="124">
        <v>17</v>
      </c>
      <c r="E71" s="124">
        <v>15</v>
      </c>
      <c r="F71" s="124">
        <v>63</v>
      </c>
      <c r="G71" s="124">
        <v>64</v>
      </c>
      <c r="H71" s="124">
        <v>71</v>
      </c>
      <c r="I71" s="124">
        <v>80</v>
      </c>
      <c r="J71" s="124">
        <v>566</v>
      </c>
      <c r="K71" s="124">
        <v>343</v>
      </c>
      <c r="L71" s="125">
        <v>169</v>
      </c>
      <c r="M71" s="225"/>
    </row>
    <row r="72" spans="1:21">
      <c r="A72" s="44"/>
      <c r="B72" s="124"/>
      <c r="C72" s="124"/>
      <c r="D72" s="124"/>
      <c r="E72" s="124"/>
      <c r="F72" s="124"/>
      <c r="G72" s="124"/>
      <c r="H72" s="124"/>
      <c r="I72" s="124"/>
      <c r="J72" s="124"/>
      <c r="K72" s="124"/>
      <c r="L72" s="125"/>
    </row>
    <row r="73" spans="1:21">
      <c r="A73" s="126" t="s">
        <v>611</v>
      </c>
      <c r="B73" s="124">
        <f t="shared" si="11"/>
        <v>13476</v>
      </c>
      <c r="C73" s="127" t="s">
        <v>565</v>
      </c>
      <c r="D73" s="124">
        <f>SUM(D74:D83)</f>
        <v>188</v>
      </c>
      <c r="E73" s="124">
        <f t="shared" ref="E73:L73" si="14">SUM(E74:E83)</f>
        <v>188</v>
      </c>
      <c r="F73" s="124">
        <f t="shared" si="14"/>
        <v>775</v>
      </c>
      <c r="G73" s="124">
        <f t="shared" si="14"/>
        <v>777</v>
      </c>
      <c r="H73" s="124">
        <f t="shared" si="14"/>
        <v>965</v>
      </c>
      <c r="I73" s="124">
        <f t="shared" si="14"/>
        <v>1004</v>
      </c>
      <c r="J73" s="124">
        <f t="shared" si="14"/>
        <v>4728</v>
      </c>
      <c r="K73" s="124">
        <f t="shared" si="14"/>
        <v>3164</v>
      </c>
      <c r="L73" s="125">
        <f t="shared" si="14"/>
        <v>1687</v>
      </c>
      <c r="N73" s="128"/>
    </row>
    <row r="74" spans="1:21">
      <c r="A74" s="44" t="s">
        <v>612</v>
      </c>
      <c r="B74" s="124">
        <f t="shared" si="11"/>
        <v>7281</v>
      </c>
      <c r="C74" s="124"/>
      <c r="D74" s="124">
        <v>91</v>
      </c>
      <c r="E74" s="124">
        <v>89</v>
      </c>
      <c r="F74" s="124">
        <v>389</v>
      </c>
      <c r="G74" s="124">
        <v>394</v>
      </c>
      <c r="H74" s="124">
        <v>541</v>
      </c>
      <c r="I74" s="124">
        <v>550</v>
      </c>
      <c r="J74" s="124">
        <v>2473</v>
      </c>
      <c r="K74" s="124">
        <v>1795</v>
      </c>
      <c r="L74" s="125">
        <v>959</v>
      </c>
      <c r="M74" s="226"/>
    </row>
    <row r="75" spans="1:21">
      <c r="A75" s="44" t="s">
        <v>316</v>
      </c>
      <c r="B75" s="124">
        <f t="shared" si="11"/>
        <v>1051</v>
      </c>
      <c r="C75" s="124"/>
      <c r="D75" s="124">
        <v>17</v>
      </c>
      <c r="E75" s="124">
        <v>20</v>
      </c>
      <c r="F75" s="124">
        <v>91</v>
      </c>
      <c r="G75" s="124">
        <v>91</v>
      </c>
      <c r="H75" s="124">
        <v>94</v>
      </c>
      <c r="I75" s="124">
        <v>97</v>
      </c>
      <c r="J75" s="124">
        <v>312</v>
      </c>
      <c r="K75" s="124">
        <v>212</v>
      </c>
      <c r="L75" s="125">
        <v>117</v>
      </c>
      <c r="M75" s="124"/>
      <c r="N75" s="124"/>
      <c r="O75" s="124"/>
      <c r="P75" s="124"/>
      <c r="Q75" s="124"/>
      <c r="R75" s="124"/>
      <c r="S75" s="124"/>
      <c r="T75" s="124"/>
      <c r="U75" s="124"/>
    </row>
    <row r="76" spans="1:21">
      <c r="A76" s="44" t="s">
        <v>613</v>
      </c>
      <c r="B76" s="124">
        <f t="shared" si="11"/>
        <v>1183</v>
      </c>
      <c r="C76" s="124"/>
      <c r="D76" s="124">
        <v>17</v>
      </c>
      <c r="E76" s="124">
        <v>17</v>
      </c>
      <c r="F76" s="124">
        <v>68</v>
      </c>
      <c r="G76" s="124">
        <v>67</v>
      </c>
      <c r="H76" s="124">
        <v>72</v>
      </c>
      <c r="I76" s="124">
        <v>74</v>
      </c>
      <c r="J76" s="124">
        <v>440</v>
      </c>
      <c r="K76" s="124">
        <v>283</v>
      </c>
      <c r="L76" s="125">
        <v>145</v>
      </c>
      <c r="M76" s="226"/>
    </row>
    <row r="77" spans="1:21">
      <c r="A77" s="44" t="s">
        <v>614</v>
      </c>
      <c r="B77" s="124">
        <f t="shared" ref="B77:B87" si="15">SUM(D77:L77)</f>
        <v>312</v>
      </c>
      <c r="C77" s="124"/>
      <c r="D77" s="124">
        <v>6</v>
      </c>
      <c r="E77" s="124">
        <v>6</v>
      </c>
      <c r="F77" s="124">
        <v>17</v>
      </c>
      <c r="G77" s="124">
        <v>17</v>
      </c>
      <c r="H77" s="124">
        <v>18</v>
      </c>
      <c r="I77" s="124">
        <v>19</v>
      </c>
      <c r="J77" s="124">
        <v>113</v>
      </c>
      <c r="K77" s="124">
        <v>75</v>
      </c>
      <c r="L77" s="125">
        <v>41</v>
      </c>
      <c r="M77" s="226"/>
    </row>
    <row r="78" spans="1:21">
      <c r="A78" s="44" t="s">
        <v>615</v>
      </c>
      <c r="B78" s="124">
        <f t="shared" si="15"/>
        <v>687</v>
      </c>
      <c r="C78" s="124"/>
      <c r="D78" s="124">
        <v>11</v>
      </c>
      <c r="E78" s="124">
        <v>11</v>
      </c>
      <c r="F78" s="124">
        <v>40</v>
      </c>
      <c r="G78" s="124">
        <v>40</v>
      </c>
      <c r="H78" s="124">
        <v>44</v>
      </c>
      <c r="I78" s="124">
        <v>46</v>
      </c>
      <c r="J78" s="124">
        <v>270</v>
      </c>
      <c r="K78" s="124">
        <v>147</v>
      </c>
      <c r="L78" s="125">
        <v>78</v>
      </c>
      <c r="M78" s="226"/>
    </row>
    <row r="79" spans="1:21">
      <c r="A79" s="44" t="s">
        <v>616</v>
      </c>
      <c r="B79" s="124">
        <f t="shared" si="15"/>
        <v>590</v>
      </c>
      <c r="C79" s="124"/>
      <c r="D79" s="124">
        <v>10</v>
      </c>
      <c r="E79" s="124">
        <v>10</v>
      </c>
      <c r="F79" s="124">
        <v>33</v>
      </c>
      <c r="G79" s="124">
        <v>33</v>
      </c>
      <c r="H79" s="124">
        <v>38</v>
      </c>
      <c r="I79" s="124">
        <v>45</v>
      </c>
      <c r="J79" s="124">
        <v>230</v>
      </c>
      <c r="K79" s="124">
        <v>124</v>
      </c>
      <c r="L79" s="125">
        <v>67</v>
      </c>
      <c r="M79" s="226"/>
    </row>
    <row r="80" spans="1:21">
      <c r="A80" s="44" t="s">
        <v>617</v>
      </c>
      <c r="B80" s="124">
        <f t="shared" si="15"/>
        <v>301</v>
      </c>
      <c r="C80" s="124"/>
      <c r="D80" s="124">
        <v>6</v>
      </c>
      <c r="E80" s="124">
        <v>6</v>
      </c>
      <c r="F80" s="124">
        <v>16</v>
      </c>
      <c r="G80" s="124">
        <v>16</v>
      </c>
      <c r="H80" s="124">
        <v>17</v>
      </c>
      <c r="I80" s="124">
        <v>22</v>
      </c>
      <c r="J80" s="124">
        <v>114</v>
      </c>
      <c r="K80" s="124">
        <v>67</v>
      </c>
      <c r="L80" s="125">
        <v>37</v>
      </c>
      <c r="M80" s="226"/>
    </row>
    <row r="81" spans="1:14">
      <c r="A81" s="44" t="s">
        <v>618</v>
      </c>
      <c r="B81" s="124">
        <f t="shared" si="15"/>
        <v>245</v>
      </c>
      <c r="C81" s="124"/>
      <c r="D81" s="124">
        <v>5</v>
      </c>
      <c r="E81" s="124">
        <v>5</v>
      </c>
      <c r="F81" s="124">
        <v>14</v>
      </c>
      <c r="G81" s="124">
        <v>14</v>
      </c>
      <c r="H81" s="124">
        <v>15</v>
      </c>
      <c r="I81" s="124">
        <v>20</v>
      </c>
      <c r="J81" s="124">
        <v>88</v>
      </c>
      <c r="K81" s="124">
        <v>55</v>
      </c>
      <c r="L81" s="125">
        <v>29</v>
      </c>
      <c r="M81" s="226"/>
    </row>
    <row r="82" spans="1:14">
      <c r="A82" s="44" t="s">
        <v>619</v>
      </c>
      <c r="B82" s="124">
        <f t="shared" si="15"/>
        <v>1587</v>
      </c>
      <c r="C82" s="124"/>
      <c r="D82" s="124">
        <v>20</v>
      </c>
      <c r="E82" s="124">
        <v>19</v>
      </c>
      <c r="F82" s="124">
        <v>93</v>
      </c>
      <c r="G82" s="124">
        <v>91</v>
      </c>
      <c r="H82" s="124">
        <v>110</v>
      </c>
      <c r="I82" s="124">
        <v>112</v>
      </c>
      <c r="J82" s="124">
        <v>604</v>
      </c>
      <c r="K82" s="124">
        <v>353</v>
      </c>
      <c r="L82" s="125">
        <v>185</v>
      </c>
      <c r="M82" s="226"/>
    </row>
    <row r="83" spans="1:14">
      <c r="A83" s="44" t="s">
        <v>620</v>
      </c>
      <c r="B83" s="124">
        <f t="shared" si="15"/>
        <v>239</v>
      </c>
      <c r="C83" s="124"/>
      <c r="D83" s="124">
        <v>5</v>
      </c>
      <c r="E83" s="124">
        <v>5</v>
      </c>
      <c r="F83" s="124">
        <v>14</v>
      </c>
      <c r="G83" s="124">
        <v>14</v>
      </c>
      <c r="H83" s="124">
        <v>16</v>
      </c>
      <c r="I83" s="124">
        <v>19</v>
      </c>
      <c r="J83" s="124">
        <v>84</v>
      </c>
      <c r="K83" s="124">
        <v>53</v>
      </c>
      <c r="L83" s="125">
        <v>29</v>
      </c>
      <c r="M83" s="226"/>
    </row>
    <row r="84" spans="1:14">
      <c r="A84" s="44"/>
      <c r="B84" s="124"/>
      <c r="C84" s="124"/>
      <c r="D84" s="1060"/>
      <c r="E84" s="1060"/>
      <c r="F84" s="1060"/>
      <c r="G84" s="1060"/>
      <c r="H84" s="1060"/>
      <c r="I84" s="1060"/>
      <c r="J84" s="1060"/>
      <c r="K84" s="1060"/>
      <c r="L84" s="1061"/>
      <c r="M84" s="226"/>
    </row>
    <row r="85" spans="1:14">
      <c r="A85" s="126" t="s">
        <v>621</v>
      </c>
      <c r="B85" s="124">
        <f t="shared" si="15"/>
        <v>159489</v>
      </c>
      <c r="C85" s="127" t="s">
        <v>565</v>
      </c>
      <c r="D85" s="124">
        <f t="shared" ref="D85:L85" si="16">+D73+D67+D61+D56+D43+D37</f>
        <v>2323</v>
      </c>
      <c r="E85" s="124">
        <f t="shared" si="16"/>
        <v>2356</v>
      </c>
      <c r="F85" s="124">
        <f t="shared" si="16"/>
        <v>9362</v>
      </c>
      <c r="G85" s="124">
        <f t="shared" si="16"/>
        <v>9405</v>
      </c>
      <c r="H85" s="124">
        <f t="shared" si="16"/>
        <v>11531</v>
      </c>
      <c r="I85" s="124">
        <f t="shared" si="16"/>
        <v>11997</v>
      </c>
      <c r="J85" s="124">
        <f t="shared" si="16"/>
        <v>55649</v>
      </c>
      <c r="K85" s="124">
        <f t="shared" si="16"/>
        <v>38630</v>
      </c>
      <c r="L85" s="125">
        <f t="shared" si="16"/>
        <v>18236</v>
      </c>
      <c r="N85" s="128"/>
    </row>
    <row r="86" spans="1:14">
      <c r="A86" s="44"/>
      <c r="B86" s="124"/>
      <c r="C86" s="124"/>
      <c r="D86" s="124"/>
      <c r="E86" s="124"/>
      <c r="F86" s="124"/>
      <c r="G86" s="124"/>
      <c r="H86" s="124"/>
      <c r="I86" s="124"/>
      <c r="J86" s="124"/>
      <c r="K86" s="124"/>
      <c r="L86" s="125"/>
    </row>
    <row r="87" spans="1:14" ht="18.75" customHeight="1">
      <c r="A87" s="133" t="s">
        <v>622</v>
      </c>
      <c r="B87" s="134">
        <f t="shared" si="15"/>
        <v>276985</v>
      </c>
      <c r="C87" s="135" t="s">
        <v>565</v>
      </c>
      <c r="D87" s="134">
        <f t="shared" ref="D87:L87" si="17">+D34+D85</f>
        <v>3908</v>
      </c>
      <c r="E87" s="134">
        <f t="shared" si="17"/>
        <v>3970</v>
      </c>
      <c r="F87" s="134">
        <f t="shared" si="17"/>
        <v>15769</v>
      </c>
      <c r="G87" s="134">
        <f t="shared" si="17"/>
        <v>15858</v>
      </c>
      <c r="H87" s="134">
        <f t="shared" si="17"/>
        <v>19901</v>
      </c>
      <c r="I87" s="134">
        <f t="shared" si="17"/>
        <v>21285</v>
      </c>
      <c r="J87" s="134">
        <f t="shared" si="17"/>
        <v>99438</v>
      </c>
      <c r="K87" s="134">
        <f t="shared" si="17"/>
        <v>65879</v>
      </c>
      <c r="L87" s="136">
        <f t="shared" si="17"/>
        <v>30977</v>
      </c>
      <c r="N87" s="128"/>
    </row>
    <row r="88" spans="1:14">
      <c r="A88" s="217" t="s">
        <v>1291</v>
      </c>
    </row>
    <row r="89" spans="1:14">
      <c r="B89" s="128"/>
      <c r="D89" s="137"/>
      <c r="E89" s="137"/>
      <c r="F89" s="137"/>
      <c r="G89" s="137"/>
      <c r="H89" s="137"/>
      <c r="I89" s="137"/>
      <c r="J89" s="137"/>
      <c r="K89" s="137"/>
      <c r="L89" s="137"/>
    </row>
    <row r="90" spans="1:14">
      <c r="B90" s="128"/>
      <c r="D90" s="137"/>
      <c r="E90" s="137"/>
      <c r="F90" s="137"/>
      <c r="G90" s="137"/>
      <c r="H90" s="137"/>
      <c r="I90" s="137"/>
      <c r="J90" s="137"/>
      <c r="K90" s="137"/>
      <c r="L90" s="137"/>
    </row>
    <row r="91" spans="1:14">
      <c r="D91" s="118"/>
      <c r="F91" s="138"/>
      <c r="H91" s="118"/>
      <c r="I91" s="118"/>
    </row>
  </sheetData>
  <phoneticPr fontId="19" type="noConversion"/>
  <pageMargins left="0.98425196850393704" right="0.59055118110236227" top="0.59055118110236227" bottom="0.59055118110236227" header="0.51181102362204722" footer="0.51181102362204722"/>
  <pageSetup paperSize="5" scale="75"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0"/>
  <sheetViews>
    <sheetView topLeftCell="A82" zoomScale="81" zoomScaleNormal="81" workbookViewId="0">
      <selection activeCell="F91" sqref="F91"/>
    </sheetView>
  </sheetViews>
  <sheetFormatPr baseColWidth="10" defaultRowHeight="12.75"/>
  <cols>
    <col min="1" max="1" width="18.42578125" customWidth="1"/>
    <col min="2" max="2" width="9.42578125" customWidth="1"/>
    <col min="3" max="3" width="2.28515625" customWidth="1"/>
    <col min="4" max="4" width="8.28515625" customWidth="1"/>
    <col min="5" max="5" width="8.85546875" customWidth="1"/>
    <col min="6" max="6" width="9.28515625" customWidth="1"/>
    <col min="7" max="7" width="9.140625" customWidth="1"/>
    <col min="8" max="10" width="8.85546875" customWidth="1"/>
    <col min="11" max="11" width="9.42578125" customWidth="1"/>
  </cols>
  <sheetData>
    <row r="1" spans="1:12" ht="15.75">
      <c r="A1" s="139" t="s">
        <v>623</v>
      </c>
      <c r="B1" s="116"/>
      <c r="C1" s="116"/>
      <c r="D1" s="116"/>
      <c r="E1" s="116"/>
      <c r="F1" s="116"/>
      <c r="G1" s="116"/>
      <c r="H1" s="116"/>
      <c r="I1" s="116"/>
      <c r="J1" s="116"/>
      <c r="K1" s="116"/>
    </row>
    <row r="2" spans="1:12">
      <c r="A2" s="116"/>
      <c r="B2" s="116"/>
      <c r="C2" s="116"/>
      <c r="D2" s="116"/>
      <c r="E2" s="116"/>
      <c r="F2" s="116"/>
      <c r="G2" s="116"/>
      <c r="H2" s="116"/>
      <c r="I2" s="116"/>
      <c r="J2" s="116"/>
      <c r="K2" s="116"/>
    </row>
    <row r="3" spans="1:12">
      <c r="A3" s="3">
        <f>+'8'!A3</f>
        <v>2015</v>
      </c>
      <c r="B3" s="116"/>
      <c r="C3" s="116"/>
      <c r="D3" s="116"/>
      <c r="E3" s="116"/>
      <c r="F3" s="116"/>
      <c r="G3" s="116"/>
      <c r="H3" s="116"/>
      <c r="I3" s="116"/>
      <c r="J3" s="116"/>
      <c r="K3" s="116"/>
    </row>
    <row r="5" spans="1:12">
      <c r="B5" s="118"/>
      <c r="D5" s="118"/>
      <c r="E5" s="118"/>
      <c r="F5" s="118"/>
      <c r="G5" s="118"/>
      <c r="H5" s="118"/>
      <c r="I5" s="118"/>
      <c r="J5" s="118"/>
      <c r="K5" s="118"/>
    </row>
    <row r="7" spans="1:12" ht="24.75" customHeight="1">
      <c r="A7" s="119" t="s">
        <v>554</v>
      </c>
      <c r="B7" s="120" t="s">
        <v>535</v>
      </c>
      <c r="C7" s="121"/>
      <c r="D7" s="122" t="s">
        <v>624</v>
      </c>
      <c r="E7" s="140" t="s">
        <v>559</v>
      </c>
      <c r="F7" s="121" t="s">
        <v>560</v>
      </c>
      <c r="G7" s="121" t="s">
        <v>561</v>
      </c>
      <c r="H7" s="121" t="s">
        <v>625</v>
      </c>
      <c r="I7" s="121" t="s">
        <v>626</v>
      </c>
      <c r="J7" s="123" t="s">
        <v>563</v>
      </c>
      <c r="K7" s="141" t="s">
        <v>627</v>
      </c>
    </row>
    <row r="8" spans="1:12">
      <c r="A8" s="64"/>
      <c r="B8" s="132"/>
      <c r="C8" s="132"/>
      <c r="D8" s="132"/>
      <c r="E8" s="132"/>
      <c r="F8" s="132"/>
      <c r="G8" s="132"/>
      <c r="H8" s="132"/>
      <c r="I8" s="132"/>
      <c r="J8" s="132"/>
      <c r="K8" s="142"/>
    </row>
    <row r="9" spans="1:12">
      <c r="A9" s="126" t="s">
        <v>564</v>
      </c>
      <c r="B9" s="124">
        <f>SUM(B10:B15)</f>
        <v>38782.905200000001</v>
      </c>
      <c r="C9" s="127" t="s">
        <v>565</v>
      </c>
      <c r="D9" s="124">
        <f t="shared" ref="D9:K9" si="0">SUM(D10:D15)</f>
        <v>5371.485999999999</v>
      </c>
      <c r="E9" s="124">
        <f t="shared" si="0"/>
        <v>2717.4255000000007</v>
      </c>
      <c r="F9" s="124">
        <f t="shared" si="0"/>
        <v>2865.5966999999996</v>
      </c>
      <c r="G9" s="124">
        <f t="shared" si="0"/>
        <v>13836.9288</v>
      </c>
      <c r="H9" s="124">
        <f t="shared" si="0"/>
        <v>2625.0639999999999</v>
      </c>
      <c r="I9" s="124">
        <f t="shared" si="0"/>
        <v>6743.8465999999989</v>
      </c>
      <c r="J9" s="124">
        <f t="shared" si="0"/>
        <v>4622.5576000000001</v>
      </c>
      <c r="K9" s="125">
        <f t="shared" si="0"/>
        <v>1470.182</v>
      </c>
    </row>
    <row r="10" spans="1:12">
      <c r="A10" s="44" t="s">
        <v>566</v>
      </c>
      <c r="B10" s="124">
        <f t="shared" ref="B10:B15" si="1">SUM(D10:J10)</f>
        <v>14660.042099999999</v>
      </c>
      <c r="C10" s="124"/>
      <c r="D10" s="124">
        <f>+SUM('8'!D10:G10)*0.4879</f>
        <v>2039.422</v>
      </c>
      <c r="E10" s="124">
        <f>+'8'!H10*0.464</f>
        <v>1043.0720000000001</v>
      </c>
      <c r="F10" s="124">
        <f>+'8'!I10*0.4351</f>
        <v>1095.1467</v>
      </c>
      <c r="G10" s="124">
        <f>+'8'!J10*0.4568</f>
        <v>5231.2735999999995</v>
      </c>
      <c r="H10" s="124">
        <f>+'8'!K10*0.1504</f>
        <v>982.86400000000003</v>
      </c>
      <c r="I10" s="124">
        <f>+'8'!K10*0.3858</f>
        <v>2521.203</v>
      </c>
      <c r="J10" s="124">
        <f>+'8'!L10*0.5487</f>
        <v>1747.0608</v>
      </c>
      <c r="K10" s="125">
        <f>+'8'!D10*1.35</f>
        <v>575.1</v>
      </c>
      <c r="L10" s="234"/>
    </row>
    <row r="11" spans="1:12">
      <c r="A11" s="44" t="s">
        <v>1422</v>
      </c>
      <c r="B11" s="124">
        <f t="shared" si="1"/>
        <v>14547.843100000002</v>
      </c>
      <c r="C11" s="124"/>
      <c r="D11" s="124">
        <f>+SUM('8'!D11:G11)*0.488</f>
        <v>2025.6879999999999</v>
      </c>
      <c r="E11" s="124">
        <f>+'8'!H11*0.4645</f>
        <v>1017.7195</v>
      </c>
      <c r="F11" s="124">
        <f>+'8'!I11*0.435</f>
        <v>1074.0150000000001</v>
      </c>
      <c r="G11" s="124">
        <f>+'8'!J11*0.4568</f>
        <v>5186.9639999999999</v>
      </c>
      <c r="H11" s="124">
        <f>+'8'!K11*0.15</f>
        <v>983.09999999999991</v>
      </c>
      <c r="I11" s="124">
        <f>+'8'!K11*0.3857</f>
        <v>2527.8777999999998</v>
      </c>
      <c r="J11" s="124">
        <f>+'8'!L11*0.5486</f>
        <v>1732.4787999999999</v>
      </c>
      <c r="K11" s="125">
        <f>+'8'!D11*1.298</f>
        <v>530.88200000000006</v>
      </c>
    </row>
    <row r="12" spans="1:12">
      <c r="A12" s="44" t="s">
        <v>373</v>
      </c>
      <c r="B12" s="124">
        <f t="shared" si="1"/>
        <v>1973.2598</v>
      </c>
      <c r="C12" s="124"/>
      <c r="D12" s="124">
        <f>+SUM('8'!D12:G12)*0.488</f>
        <v>274.25599999999997</v>
      </c>
      <c r="E12" s="124">
        <f>+'8'!H12*0.47</f>
        <v>139.59</v>
      </c>
      <c r="F12" s="124">
        <f>+'8'!I12*0.435</f>
        <v>145.72499999999999</v>
      </c>
      <c r="G12" s="124">
        <f>+'8'!J12*0.4568</f>
        <v>703.01519999999994</v>
      </c>
      <c r="H12" s="124">
        <f>+'8'!K12*0.15</f>
        <v>133.19999999999999</v>
      </c>
      <c r="I12" s="124">
        <f>+'8'!K12*0.3857</f>
        <v>342.5016</v>
      </c>
      <c r="J12" s="124">
        <f>+'8'!L12*0.549</f>
        <v>234.97200000000001</v>
      </c>
      <c r="K12" s="125">
        <f>+'8'!D12*1.34</f>
        <v>75.040000000000006</v>
      </c>
    </row>
    <row r="13" spans="1:12">
      <c r="A13" s="44" t="s">
        <v>567</v>
      </c>
      <c r="B13" s="124">
        <f t="shared" si="1"/>
        <v>1187.1751000000002</v>
      </c>
      <c r="C13" s="124"/>
      <c r="D13" s="124">
        <f>+SUM('8'!D13:G13)*0.488</f>
        <v>163.47999999999999</v>
      </c>
      <c r="E13" s="124">
        <f>+'8'!H13*0.47</f>
        <v>84.13</v>
      </c>
      <c r="F13" s="124">
        <f>+'8'!I13*0.435</f>
        <v>87.87</v>
      </c>
      <c r="G13" s="124">
        <f>+'8'!J13*0.4568</f>
        <v>423.45359999999999</v>
      </c>
      <c r="H13" s="124">
        <f>+'8'!K13*0.15</f>
        <v>80.25</v>
      </c>
      <c r="I13" s="124">
        <f>+'8'!K13*0.3857</f>
        <v>206.34950000000001</v>
      </c>
      <c r="J13" s="124">
        <f>+'8'!L13*0.549</f>
        <v>141.64200000000002</v>
      </c>
      <c r="K13" s="125">
        <v>44</v>
      </c>
      <c r="L13" s="233"/>
    </row>
    <row r="14" spans="1:12">
      <c r="A14" s="44" t="s">
        <v>568</v>
      </c>
      <c r="B14" s="124">
        <f t="shared" si="1"/>
        <v>3702.1543000000001</v>
      </c>
      <c r="C14" s="124"/>
      <c r="D14" s="124">
        <f>+SUM('8'!D14:G14)*0.488</f>
        <v>492.392</v>
      </c>
      <c r="E14" s="124">
        <f>+'8'!H14*0.466</f>
        <v>242.32000000000002</v>
      </c>
      <c r="F14" s="124">
        <f>+'8'!I14*0.435</f>
        <v>262.74</v>
      </c>
      <c r="G14" s="124">
        <f>+'8'!J14*0.4568</f>
        <v>1324.72</v>
      </c>
      <c r="H14" s="124">
        <f>+'8'!K14*0.15</f>
        <v>262.34999999999997</v>
      </c>
      <c r="I14" s="124">
        <f>+'8'!K14*0.3857</f>
        <v>674.58929999999998</v>
      </c>
      <c r="J14" s="124">
        <f>+'8'!L14*0.549</f>
        <v>443.04300000000006</v>
      </c>
      <c r="K14" s="125">
        <f>+'8'!D14*1.56</f>
        <v>134.16</v>
      </c>
    </row>
    <row r="15" spans="1:12">
      <c r="A15" s="44" t="s">
        <v>569</v>
      </c>
      <c r="B15" s="124">
        <f t="shared" si="1"/>
        <v>2712.4307999999996</v>
      </c>
      <c r="C15" s="124"/>
      <c r="D15" s="124">
        <f>+SUM('8'!D15:G15)*0.488</f>
        <v>376.24799999999999</v>
      </c>
      <c r="E15" s="124">
        <f>+'8'!H15*0.466</f>
        <v>190.59400000000002</v>
      </c>
      <c r="F15" s="124">
        <f>+'8'!I15*0.435</f>
        <v>200.1</v>
      </c>
      <c r="G15" s="124">
        <f>+'8'!J15*0.4568</f>
        <v>967.50239999999997</v>
      </c>
      <c r="H15" s="124">
        <f>+'8'!K15*0.15</f>
        <v>183.29999999999998</v>
      </c>
      <c r="I15" s="124">
        <f>+'8'!K15*0.3857</f>
        <v>471.3254</v>
      </c>
      <c r="J15" s="124">
        <f>+'8'!L15*0.549</f>
        <v>323.36100000000005</v>
      </c>
      <c r="K15" s="125">
        <v>111</v>
      </c>
      <c r="L15" s="233"/>
    </row>
    <row r="16" spans="1:12">
      <c r="A16" s="44"/>
      <c r="B16" s="124"/>
      <c r="C16" s="124"/>
      <c r="D16" s="1143"/>
      <c r="E16" s="1143"/>
      <c r="F16" s="1143"/>
      <c r="G16" s="1143"/>
      <c r="H16" s="1143"/>
      <c r="I16" s="1143"/>
      <c r="J16" s="1143"/>
      <c r="K16" s="1144"/>
      <c r="L16" s="233"/>
    </row>
    <row r="17" spans="1:11">
      <c r="A17" s="126" t="s">
        <v>570</v>
      </c>
      <c r="B17" s="124">
        <f>SUM(B18:B23)</f>
        <v>9189.5507999999991</v>
      </c>
      <c r="C17" s="127" t="s">
        <v>565</v>
      </c>
      <c r="D17" s="124">
        <f t="shared" ref="D17:K17" si="2">SUM(D18:D23)</f>
        <v>1184.1219999999998</v>
      </c>
      <c r="E17" s="124">
        <f t="shared" si="2"/>
        <v>559.65089999999998</v>
      </c>
      <c r="F17" s="124">
        <f t="shared" si="2"/>
        <v>559.69099999999992</v>
      </c>
      <c r="G17" s="124">
        <f t="shared" si="2"/>
        <v>3374.9850000000001</v>
      </c>
      <c r="H17" s="124">
        <f t="shared" si="2"/>
        <v>673.14990000000012</v>
      </c>
      <c r="I17" s="124">
        <f t="shared" si="2"/>
        <v>1807.5120000000002</v>
      </c>
      <c r="J17" s="124">
        <f t="shared" si="2"/>
        <v>1030.44</v>
      </c>
      <c r="K17" s="125">
        <f t="shared" si="2"/>
        <v>418.78</v>
      </c>
    </row>
    <row r="18" spans="1:11">
      <c r="A18" s="44" t="s">
        <v>571</v>
      </c>
      <c r="B18" s="124">
        <f t="shared" ref="B18:B23" si="3">SUM(D18:J18)</f>
        <v>5158.2578999999996</v>
      </c>
      <c r="C18" s="124"/>
      <c r="D18" s="124">
        <f>+SUM('8'!D18:G18)*0.481</f>
        <v>674.36199999999997</v>
      </c>
      <c r="E18" s="124">
        <f>+'8'!H18*0.4699</f>
        <v>324.23099999999999</v>
      </c>
      <c r="F18" s="124">
        <f>+'8'!I18*0.451</f>
        <v>324.26900000000001</v>
      </c>
      <c r="G18" s="124">
        <f>+'8'!J18*0.5105</f>
        <v>1883.7449999999999</v>
      </c>
      <c r="H18" s="124">
        <f>+'8'!K18*0.1383</f>
        <v>375.2079</v>
      </c>
      <c r="I18" s="124">
        <f>+'8'!K18*0.371</f>
        <v>1006.523</v>
      </c>
      <c r="J18" s="124">
        <f>+'8'!L18*0.52</f>
        <v>569.92000000000007</v>
      </c>
      <c r="K18" s="125">
        <f>+'8'!D18*1.7</f>
        <v>229.5</v>
      </c>
    </row>
    <row r="19" spans="1:11">
      <c r="A19" s="44" t="s">
        <v>572</v>
      </c>
      <c r="B19" s="124">
        <f t="shared" si="3"/>
        <v>805.33160000000009</v>
      </c>
      <c r="C19" s="124"/>
      <c r="D19" s="124">
        <f>+SUM('8'!D19:G19)*0.48</f>
        <v>103.67999999999999</v>
      </c>
      <c r="E19" s="124">
        <f>+'8'!H19*0.4699</f>
        <v>48.869599999999998</v>
      </c>
      <c r="F19" s="124">
        <f>+'8'!I19*0.451</f>
        <v>49.158999999999999</v>
      </c>
      <c r="G19" s="124">
        <f>+'8'!J19*0.51</f>
        <v>295.8</v>
      </c>
      <c r="H19" s="124">
        <f>+'8'!K19*0.138</f>
        <v>58.926000000000002</v>
      </c>
      <c r="I19" s="124">
        <f>+'8'!K19*0.371</f>
        <v>158.417</v>
      </c>
      <c r="J19" s="124">
        <f>+'8'!L19*0.52</f>
        <v>90.48</v>
      </c>
      <c r="K19" s="125">
        <f>+'8'!D19*1.69</f>
        <v>37.18</v>
      </c>
    </row>
    <row r="20" spans="1:11">
      <c r="A20" s="44" t="s">
        <v>481</v>
      </c>
      <c r="B20" s="124">
        <f t="shared" si="3"/>
        <v>1817.1384999999998</v>
      </c>
      <c r="C20" s="124"/>
      <c r="D20" s="124">
        <f>+SUM('8'!D20:G20)*0.48</f>
        <v>236.16</v>
      </c>
      <c r="E20" s="124">
        <f>+'8'!H20*0.4699</f>
        <v>110.42649999999999</v>
      </c>
      <c r="F20" s="124">
        <f>+'8'!I20*0.451</f>
        <v>110.495</v>
      </c>
      <c r="G20" s="124">
        <f>+'8'!J20*0.51</f>
        <v>666.57</v>
      </c>
      <c r="H20" s="124">
        <f>+'8'!K20*0.138</f>
        <v>132.89400000000001</v>
      </c>
      <c r="I20" s="124">
        <f>+'8'!K20*0.371</f>
        <v>357.27300000000002</v>
      </c>
      <c r="J20" s="124">
        <f>+'8'!L20*0.52</f>
        <v>203.32</v>
      </c>
      <c r="K20" s="125">
        <f>+'8'!D20*1.69</f>
        <v>84.5</v>
      </c>
    </row>
    <row r="21" spans="1:11">
      <c r="A21" s="44" t="s">
        <v>573</v>
      </c>
      <c r="B21" s="124">
        <f t="shared" si="3"/>
        <v>772.51099999999997</v>
      </c>
      <c r="C21" s="124"/>
      <c r="D21" s="124">
        <f>+SUM('8'!D21:G21)*0.48</f>
        <v>99.36</v>
      </c>
      <c r="E21" s="124">
        <f>+'8'!H21*0.4699</f>
        <v>46.989999999999995</v>
      </c>
      <c r="F21" s="124">
        <f>+'8'!I21*0.451</f>
        <v>46.904000000000003</v>
      </c>
      <c r="G21" s="124">
        <f>+'8'!J21*0.51</f>
        <v>283.56</v>
      </c>
      <c r="H21" s="124">
        <f>+'8'!K21*0.138</f>
        <v>56.580000000000005</v>
      </c>
      <c r="I21" s="124">
        <f>+'8'!K21*0.371</f>
        <v>152.10999999999999</v>
      </c>
      <c r="J21" s="124">
        <f>+'8'!L21*0.521</f>
        <v>87.007000000000005</v>
      </c>
      <c r="K21" s="125">
        <f>+'8'!D21*1.69</f>
        <v>35.49</v>
      </c>
    </row>
    <row r="22" spans="1:11">
      <c r="A22" s="44" t="s">
        <v>574</v>
      </c>
      <c r="B22" s="124">
        <f t="shared" si="3"/>
        <v>406.29170000000005</v>
      </c>
      <c r="C22" s="124"/>
      <c r="D22" s="124">
        <f>+SUM('8'!D22:G22)*0.48</f>
        <v>51.36</v>
      </c>
      <c r="E22" s="124">
        <f>+'8'!H22*0.4699</f>
        <v>24.904699999999998</v>
      </c>
      <c r="F22" s="124">
        <f>+'8'!I22*0.451</f>
        <v>24.805</v>
      </c>
      <c r="G22" s="124">
        <f>+'8'!J22*0.51</f>
        <v>149.43</v>
      </c>
      <c r="H22" s="124">
        <f>+'8'!K22*0.138</f>
        <v>29.808000000000003</v>
      </c>
      <c r="I22" s="124">
        <f>+'8'!K22*0.371</f>
        <v>80.135999999999996</v>
      </c>
      <c r="J22" s="124">
        <f>+'8'!L22*0.521</f>
        <v>45.847999999999999</v>
      </c>
      <c r="K22" s="125">
        <f>+'8'!D22*1.69</f>
        <v>16.899999999999999</v>
      </c>
    </row>
    <row r="23" spans="1:11">
      <c r="A23" s="44" t="s">
        <v>575</v>
      </c>
      <c r="B23" s="124">
        <f t="shared" si="3"/>
        <v>230.02010000000001</v>
      </c>
      <c r="C23" s="124"/>
      <c r="D23" s="124">
        <f>+SUM('8'!D23:G23)*0.48</f>
        <v>19.2</v>
      </c>
      <c r="E23" s="124">
        <f>+'8'!H23*0.4699</f>
        <v>4.2290999999999999</v>
      </c>
      <c r="F23" s="124">
        <f>+'8'!I23*0.451</f>
        <v>4.0590000000000002</v>
      </c>
      <c r="G23" s="124">
        <f>+'8'!J23*0.51</f>
        <v>95.88</v>
      </c>
      <c r="H23" s="124">
        <f>+'8'!K23*0.138</f>
        <v>19.734000000000002</v>
      </c>
      <c r="I23" s="124">
        <f>+'8'!K23*0.371</f>
        <v>53.052999999999997</v>
      </c>
      <c r="J23" s="124">
        <f>+'8'!L23*0.521</f>
        <v>33.865000000000002</v>
      </c>
      <c r="K23" s="125">
        <f>+'8'!D23*1.69</f>
        <v>15.209999999999999</v>
      </c>
    </row>
    <row r="24" spans="1:11">
      <c r="A24" s="44"/>
      <c r="B24" s="124"/>
      <c r="C24" s="124"/>
      <c r="D24" s="1143"/>
      <c r="E24" s="1143"/>
      <c r="F24" s="1143"/>
      <c r="G24" s="1143"/>
      <c r="H24" s="1143"/>
      <c r="I24" s="1143"/>
      <c r="J24" s="1143"/>
      <c r="K24" s="124"/>
    </row>
    <row r="25" spans="1:11">
      <c r="A25" s="126" t="s">
        <v>576</v>
      </c>
      <c r="B25" s="124">
        <f>SUM(B26:B27)</f>
        <v>5316.1876000000002</v>
      </c>
      <c r="C25" s="127" t="s">
        <v>565</v>
      </c>
      <c r="D25" s="124">
        <f t="shared" ref="D25:K25" si="4">SUM(D26:D27)</f>
        <v>700.92599999999993</v>
      </c>
      <c r="E25" s="124">
        <f t="shared" si="4"/>
        <v>356.71799999999996</v>
      </c>
      <c r="F25" s="124">
        <f t="shared" si="4"/>
        <v>372.91</v>
      </c>
      <c r="G25" s="124">
        <f t="shared" si="4"/>
        <v>1831.4814000000001</v>
      </c>
      <c r="H25" s="124">
        <f t="shared" si="4"/>
        <v>404.35820000000001</v>
      </c>
      <c r="I25" s="124">
        <f t="shared" si="4"/>
        <v>996.51199999999994</v>
      </c>
      <c r="J25" s="124">
        <f t="shared" si="4"/>
        <v>653.28199999999993</v>
      </c>
      <c r="K25" s="125">
        <f t="shared" si="4"/>
        <v>247.42</v>
      </c>
    </row>
    <row r="26" spans="1:11">
      <c r="A26" s="44" t="s">
        <v>577</v>
      </c>
      <c r="B26" s="124">
        <f>SUM(D26:J26)</f>
        <v>4460.2034000000003</v>
      </c>
      <c r="C26" s="124"/>
      <c r="D26" s="124">
        <f>+SUM('8'!D26:G26)*0.477</f>
        <v>590.52599999999995</v>
      </c>
      <c r="E26" s="124">
        <f>+'8'!H26*0.454</f>
        <v>299.64</v>
      </c>
      <c r="F26" s="124">
        <f>+'8'!I26*0.43</f>
        <v>311.75</v>
      </c>
      <c r="G26" s="124">
        <f>+'8'!J26*0.4746</f>
        <v>1536.2802000000001</v>
      </c>
      <c r="H26" s="124">
        <f>+'8'!K26*0.1428</f>
        <v>339.00720000000001</v>
      </c>
      <c r="I26" s="124">
        <f>+'8'!K26*0.352</f>
        <v>835.64799999999991</v>
      </c>
      <c r="J26" s="124">
        <f>+'8'!L26*0.494</f>
        <v>547.35199999999998</v>
      </c>
      <c r="K26" s="125">
        <f>+'8'!D26*1.78</f>
        <v>211.82</v>
      </c>
    </row>
    <row r="27" spans="1:11">
      <c r="A27" s="44" t="s">
        <v>578</v>
      </c>
      <c r="B27" s="124">
        <f>SUM(D27:J27)</f>
        <v>855.98419999999999</v>
      </c>
      <c r="C27" s="124"/>
      <c r="D27" s="124">
        <f>+SUM('8'!D27:G27)*0.48</f>
        <v>110.39999999999999</v>
      </c>
      <c r="E27" s="124">
        <f>+'8'!H27*0.453</f>
        <v>57.078000000000003</v>
      </c>
      <c r="F27" s="124">
        <f>+'8'!I27*0.44</f>
        <v>61.160000000000004</v>
      </c>
      <c r="G27" s="124">
        <f>+'8'!J27*0.4746</f>
        <v>295.20120000000003</v>
      </c>
      <c r="H27" s="124">
        <f>+'8'!K27*0.143</f>
        <v>65.350999999999999</v>
      </c>
      <c r="I27" s="124">
        <f>+'8'!K27*0.352</f>
        <v>160.864</v>
      </c>
      <c r="J27" s="124">
        <f>+'8'!L27*0.495</f>
        <v>105.92999999999999</v>
      </c>
      <c r="K27" s="125">
        <f>+'8'!D27*1.78</f>
        <v>35.6</v>
      </c>
    </row>
    <row r="28" spans="1:11">
      <c r="A28" s="44"/>
      <c r="B28" s="124"/>
      <c r="C28" s="124"/>
      <c r="D28" s="124"/>
      <c r="E28" s="124"/>
      <c r="F28" s="124"/>
      <c r="G28" s="124"/>
      <c r="H28" s="124"/>
      <c r="I28" s="124"/>
      <c r="J28" s="124"/>
      <c r="K28" s="125"/>
    </row>
    <row r="29" spans="1:11">
      <c r="A29" s="126" t="s">
        <v>579</v>
      </c>
      <c r="B29" s="124">
        <f>SUM(B30:B32)</f>
        <v>4108.9791999999998</v>
      </c>
      <c r="C29" s="127" t="s">
        <v>565</v>
      </c>
      <c r="D29" s="124">
        <f t="shared" ref="D29:K29" si="5">SUM(D30:D32)</f>
        <v>553.90499999999997</v>
      </c>
      <c r="E29" s="124">
        <f t="shared" si="5"/>
        <v>269.12700000000001</v>
      </c>
      <c r="F29" s="124">
        <f t="shared" si="5"/>
        <v>273.22400000000005</v>
      </c>
      <c r="G29" s="124">
        <f t="shared" si="5"/>
        <v>1483.4372000000001</v>
      </c>
      <c r="H29" s="124">
        <f t="shared" si="5"/>
        <v>328.01699999999994</v>
      </c>
      <c r="I29" s="124">
        <f t="shared" si="5"/>
        <v>684.91600000000005</v>
      </c>
      <c r="J29" s="124">
        <f t="shared" si="5"/>
        <v>516.35300000000007</v>
      </c>
      <c r="K29" s="125">
        <f t="shared" si="5"/>
        <v>169.95</v>
      </c>
    </row>
    <row r="30" spans="1:11">
      <c r="A30" s="44" t="s">
        <v>580</v>
      </c>
      <c r="B30" s="124">
        <f>SUM(D30:J30)</f>
        <v>3142.944</v>
      </c>
      <c r="C30" s="124"/>
      <c r="D30" s="124">
        <f>+SUM('8'!D30:G30)*0.495</f>
        <v>431.64</v>
      </c>
      <c r="E30" s="124">
        <f>+'8'!H30*0.49</f>
        <v>211.68</v>
      </c>
      <c r="F30" s="124">
        <f>+'8'!I30*0.458</f>
        <v>214.34400000000002</v>
      </c>
      <c r="G30" s="124">
        <f>+'8'!J30*0.49</f>
        <v>1085.8399999999999</v>
      </c>
      <c r="H30" s="124">
        <f>+'8'!K30*0.159</f>
        <v>258.69299999999998</v>
      </c>
      <c r="I30" s="124">
        <f>+'8'!K30*0.332</f>
        <v>540.16399999999999</v>
      </c>
      <c r="J30" s="124">
        <f>+'8'!L30*0.509</f>
        <v>400.58300000000003</v>
      </c>
      <c r="K30" s="125">
        <f>+'8'!D30*1.505</f>
        <v>135.44999999999999</v>
      </c>
    </row>
    <row r="31" spans="1:11">
      <c r="A31" s="44" t="s">
        <v>581</v>
      </c>
      <c r="B31" s="124">
        <f>SUM(D31:J31)</f>
        <v>549.55600000000004</v>
      </c>
      <c r="C31" s="124"/>
      <c r="D31" s="124">
        <f>+SUM('8'!D31:G31)*0.495</f>
        <v>71.775000000000006</v>
      </c>
      <c r="E31" s="124">
        <f>+'8'!H31*0.491</f>
        <v>36.825000000000003</v>
      </c>
      <c r="F31" s="124">
        <f>+'8'!I31*0.46</f>
        <v>37.72</v>
      </c>
      <c r="G31" s="124">
        <f>+'8'!J31*0.49</f>
        <v>214.62</v>
      </c>
      <c r="H31" s="124">
        <f>+'8'!K31*0.159</f>
        <v>39.113999999999997</v>
      </c>
      <c r="I31" s="124">
        <f>+'8'!K31*0.332</f>
        <v>81.672000000000011</v>
      </c>
      <c r="J31" s="124">
        <f>+'8'!L31*0.51</f>
        <v>67.83</v>
      </c>
      <c r="K31" s="125">
        <f>+'8'!D31*1.5</f>
        <v>18</v>
      </c>
    </row>
    <row r="32" spans="1:11">
      <c r="A32" s="44" t="s">
        <v>582</v>
      </c>
      <c r="B32" s="124">
        <f>SUM(D32:J32)</f>
        <v>416.47919999999993</v>
      </c>
      <c r="C32" s="124"/>
      <c r="D32" s="124">
        <f>+SUM('8'!D32:G32)*0.495</f>
        <v>50.49</v>
      </c>
      <c r="E32" s="124">
        <f>+'8'!H32*0.491</f>
        <v>20.622</v>
      </c>
      <c r="F32" s="124">
        <f>+'8'!I32*0.46</f>
        <v>21.16</v>
      </c>
      <c r="G32" s="124">
        <f>+'8'!J32*0.4932</f>
        <v>182.97720000000001</v>
      </c>
      <c r="H32" s="124">
        <f>+'8'!K32*0.159</f>
        <v>30.21</v>
      </c>
      <c r="I32" s="124">
        <f>+'8'!K32*0.332</f>
        <v>63.080000000000005</v>
      </c>
      <c r="J32" s="124">
        <f>+'8'!L32*0.51</f>
        <v>47.94</v>
      </c>
      <c r="K32" s="125">
        <f>+'8'!D32*1.5</f>
        <v>16.5</v>
      </c>
    </row>
    <row r="33" spans="1:12">
      <c r="A33" s="44"/>
      <c r="B33" s="124"/>
      <c r="C33" s="124"/>
      <c r="D33" s="124"/>
      <c r="E33" s="124"/>
      <c r="F33" s="124"/>
      <c r="G33" s="124"/>
      <c r="H33" s="124"/>
      <c r="I33" s="124"/>
      <c r="J33" s="124"/>
      <c r="K33" s="125"/>
    </row>
    <row r="34" spans="1:12">
      <c r="A34" s="126" t="s">
        <v>583</v>
      </c>
      <c r="B34" s="124">
        <f>SUM(D34:J34)</f>
        <v>57397.62279999999</v>
      </c>
      <c r="C34" s="127" t="s">
        <v>565</v>
      </c>
      <c r="D34" s="124">
        <f t="shared" ref="D34:K34" si="6">+D29+D25+D17+D9</f>
        <v>7810.4389999999985</v>
      </c>
      <c r="E34" s="124">
        <f t="shared" si="6"/>
        <v>3902.9214000000006</v>
      </c>
      <c r="F34" s="124">
        <f t="shared" si="6"/>
        <v>4071.4216999999994</v>
      </c>
      <c r="G34" s="124">
        <f t="shared" si="6"/>
        <v>20526.832399999999</v>
      </c>
      <c r="H34" s="124">
        <f t="shared" si="6"/>
        <v>4030.5891000000001</v>
      </c>
      <c r="I34" s="124">
        <f t="shared" si="6"/>
        <v>10232.786599999999</v>
      </c>
      <c r="J34" s="124">
        <f t="shared" si="6"/>
        <v>6822.6325999999999</v>
      </c>
      <c r="K34" s="125">
        <f t="shared" si="6"/>
        <v>2306.3319999999999</v>
      </c>
    </row>
    <row r="35" spans="1:12">
      <c r="A35" s="44"/>
      <c r="B35" s="124"/>
      <c r="C35" s="124"/>
      <c r="D35" s="124"/>
      <c r="E35" s="124"/>
      <c r="F35" s="124"/>
      <c r="G35" s="124"/>
      <c r="H35" s="124"/>
      <c r="I35" s="124"/>
      <c r="J35" s="124"/>
      <c r="K35" s="125"/>
    </row>
    <row r="36" spans="1:12">
      <c r="A36" s="44"/>
      <c r="B36" s="143"/>
      <c r="C36" s="124"/>
      <c r="D36" s="124"/>
      <c r="E36" s="124"/>
      <c r="F36" s="124"/>
      <c r="G36" s="124"/>
      <c r="H36" s="124"/>
      <c r="I36" s="124"/>
      <c r="J36" s="124"/>
      <c r="K36" s="125"/>
    </row>
    <row r="37" spans="1:12">
      <c r="A37" s="126" t="s">
        <v>452</v>
      </c>
      <c r="B37" s="124">
        <f>SUM(B38:B41)</f>
        <v>42345.771800000002</v>
      </c>
      <c r="C37" s="127" t="s">
        <v>565</v>
      </c>
      <c r="D37" s="124">
        <f t="shared" ref="D37:K37" si="7">SUM(D38:D41)</f>
        <v>5961.1773000000003</v>
      </c>
      <c r="E37" s="124">
        <f t="shared" si="7"/>
        <v>2982.136</v>
      </c>
      <c r="F37" s="124">
        <f t="shared" si="7"/>
        <v>3170.0239999999999</v>
      </c>
      <c r="G37" s="124">
        <f t="shared" si="7"/>
        <v>14762.598200000002</v>
      </c>
      <c r="H37" s="124">
        <f t="shared" si="7"/>
        <v>2709.5400000000004</v>
      </c>
      <c r="I37" s="124">
        <f t="shared" si="7"/>
        <v>7601.0608000000002</v>
      </c>
      <c r="J37" s="124">
        <f t="shared" si="7"/>
        <v>5159.2354999999998</v>
      </c>
      <c r="K37" s="125">
        <f t="shared" si="7"/>
        <v>1732.54</v>
      </c>
    </row>
    <row r="38" spans="1:12">
      <c r="A38" s="44" t="s">
        <v>584</v>
      </c>
      <c r="B38" s="124">
        <f>SUM(D38:J38)</f>
        <v>17613.8511</v>
      </c>
      <c r="C38" s="124"/>
      <c r="D38" s="124">
        <f>+SUM('8'!D38:G38)*0.4927</f>
        <v>2478.7737000000002</v>
      </c>
      <c r="E38" s="124">
        <f>+'8'!H38*0.5</f>
        <v>1216.5</v>
      </c>
      <c r="F38" s="124">
        <f>+'8'!I38*0.5075</f>
        <v>1293.1099999999999</v>
      </c>
      <c r="G38" s="124">
        <f>+'8'!J38*0.5197</f>
        <v>6154.8071000000009</v>
      </c>
      <c r="H38" s="124">
        <f>+'8'!K38*0.137</f>
        <v>1127.7840000000001</v>
      </c>
      <c r="I38" s="124">
        <f>+'8'!K38*0.3859</f>
        <v>3176.7288000000003</v>
      </c>
      <c r="J38" s="124">
        <f>+'8'!L38*0.5675</f>
        <v>2166.1475</v>
      </c>
      <c r="K38" s="125">
        <f>+'8'!D38*1.44</f>
        <v>724.31999999999994</v>
      </c>
    </row>
    <row r="39" spans="1:12">
      <c r="A39" s="44" t="s">
        <v>679</v>
      </c>
      <c r="B39" s="124">
        <f>SUM(D39:J39)</f>
        <v>18782.911900000003</v>
      </c>
      <c r="C39" s="124"/>
      <c r="D39" s="124">
        <f>+SUM('8'!D39:G39)*0.4927</f>
        <v>2627.5691000000002</v>
      </c>
      <c r="E39" s="124">
        <f>+'8'!H39*0.5</f>
        <v>1341.5</v>
      </c>
      <c r="F39" s="124">
        <f>+'8'!I39*0.507</f>
        <v>1422.135</v>
      </c>
      <c r="G39" s="124">
        <f>+'8'!J39*0.5197</f>
        <v>6524.3138000000008</v>
      </c>
      <c r="H39" s="124">
        <f>+'8'!K39*0.138</f>
        <v>1204.1880000000001</v>
      </c>
      <c r="I39" s="124">
        <f>+'8'!K39*0.386</f>
        <v>3368.2359999999999</v>
      </c>
      <c r="J39" s="124">
        <f>+'8'!L39*0.5675</f>
        <v>2294.9699999999998</v>
      </c>
      <c r="K39" s="125">
        <f>+'8'!D39*1.44</f>
        <v>767.52</v>
      </c>
    </row>
    <row r="40" spans="1:12">
      <c r="A40" s="44" t="s">
        <v>585</v>
      </c>
      <c r="B40" s="124">
        <f>SUM(D40:J40)</f>
        <v>3971.3474000000001</v>
      </c>
      <c r="C40" s="124"/>
      <c r="D40" s="124">
        <f>+SUM('8'!D40:G40)*0.4927</f>
        <v>576.45900000000006</v>
      </c>
      <c r="E40" s="124">
        <f>+'8'!H40*0.502</f>
        <v>285.13600000000002</v>
      </c>
      <c r="F40" s="124">
        <f>+'8'!I40*0.507</f>
        <v>306.73500000000001</v>
      </c>
      <c r="G40" s="124">
        <f>+'8'!J40*0.5197</f>
        <v>1393.8354000000002</v>
      </c>
      <c r="H40" s="124">
        <f>+'8'!K40*0.138</f>
        <v>250.74600000000001</v>
      </c>
      <c r="I40" s="124">
        <f>+'8'!K40*0.386</f>
        <v>701.36199999999997</v>
      </c>
      <c r="J40" s="124">
        <f>+'8'!L40*0.5685</f>
        <v>457.07400000000001</v>
      </c>
      <c r="K40" s="125">
        <f>+'8'!D40*1.51</f>
        <v>160.06</v>
      </c>
    </row>
    <row r="41" spans="1:12">
      <c r="A41" s="44" t="s">
        <v>374</v>
      </c>
      <c r="B41" s="124">
        <f>SUM(D41:J41)</f>
        <v>1977.6614000000002</v>
      </c>
      <c r="C41" s="124"/>
      <c r="D41" s="124">
        <f>+SUM('8'!D41:G41)*0.4927</f>
        <v>278.37549999999999</v>
      </c>
      <c r="E41" s="124">
        <f>+'8'!H41*0.5</f>
        <v>139</v>
      </c>
      <c r="F41" s="124">
        <f>+'8'!I41*0.507</f>
        <v>148.04400000000001</v>
      </c>
      <c r="G41" s="124">
        <f>+'8'!J41*0.5197</f>
        <v>689.64190000000008</v>
      </c>
      <c r="H41" s="124">
        <f>+'8'!K41*0.138</f>
        <v>126.82200000000002</v>
      </c>
      <c r="I41" s="124">
        <f>+'8'!K41*0.386</f>
        <v>354.73400000000004</v>
      </c>
      <c r="J41" s="124">
        <f>+'8'!L41*0.5685</f>
        <v>241.04400000000001</v>
      </c>
      <c r="K41" s="125">
        <f>+'8'!D41*1.44</f>
        <v>80.64</v>
      </c>
    </row>
    <row r="42" spans="1:12">
      <c r="A42" s="44"/>
      <c r="B42" s="124"/>
      <c r="C42" s="124"/>
      <c r="D42" s="124"/>
      <c r="E42" s="124"/>
      <c r="F42" s="124"/>
      <c r="G42" s="124"/>
      <c r="H42" s="124"/>
      <c r="I42" s="124"/>
      <c r="J42" s="124"/>
      <c r="K42" s="125"/>
      <c r="L42" s="118"/>
    </row>
    <row r="43" spans="1:12">
      <c r="A43" s="126" t="s">
        <v>586</v>
      </c>
      <c r="B43" s="124">
        <f>SUM(B44:B54)</f>
        <v>8966.2335000000021</v>
      </c>
      <c r="C43" s="127" t="s">
        <v>565</v>
      </c>
      <c r="D43" s="124">
        <f t="shared" ref="D43:K43" si="8">SUM(D44:D54)</f>
        <v>1286.758</v>
      </c>
      <c r="E43" s="124">
        <f t="shared" si="8"/>
        <v>639.41999999999996</v>
      </c>
      <c r="F43" s="124">
        <f t="shared" si="8"/>
        <v>668.53899999999999</v>
      </c>
      <c r="G43" s="124">
        <f t="shared" si="8"/>
        <v>3089.3505</v>
      </c>
      <c r="H43" s="124">
        <f t="shared" si="8"/>
        <v>573.84400000000016</v>
      </c>
      <c r="I43" s="124">
        <f t="shared" si="8"/>
        <v>1566.2339999999995</v>
      </c>
      <c r="J43" s="124">
        <f t="shared" si="8"/>
        <v>1142.0880000000002</v>
      </c>
      <c r="K43" s="125">
        <f t="shared" si="8"/>
        <v>401.99</v>
      </c>
    </row>
    <row r="44" spans="1:12">
      <c r="A44" s="44" t="s">
        <v>587</v>
      </c>
      <c r="B44" s="124">
        <f>SUM(D44:J44)</f>
        <v>3084.0334999999995</v>
      </c>
      <c r="C44" s="124"/>
      <c r="D44" s="124">
        <f>+SUM('8'!D44:G44)*0.497</f>
        <v>400.58199999999999</v>
      </c>
      <c r="E44" s="124">
        <f>+'8'!H44*0.5</f>
        <v>210</v>
      </c>
      <c r="F44" s="124">
        <f>+'8'!I44*0.511</f>
        <v>224.32900000000001</v>
      </c>
      <c r="G44" s="124">
        <f>+'8'!J44*0.5175</f>
        <v>1073.8125</v>
      </c>
      <c r="H44" s="124">
        <f>+'8'!K44*0.127</f>
        <v>205.74</v>
      </c>
      <c r="I44" s="124">
        <f>+'8'!K44*0.3475</f>
        <v>562.94999999999993</v>
      </c>
      <c r="J44" s="124">
        <f>+'8'!L44*0.502</f>
        <v>406.62</v>
      </c>
      <c r="K44" s="125">
        <f>+'8'!D44*1.56</f>
        <v>129.48000000000002</v>
      </c>
    </row>
    <row r="45" spans="1:12">
      <c r="A45" s="44" t="s">
        <v>588</v>
      </c>
      <c r="B45" s="124">
        <f>SUM(D45:J45)</f>
        <v>1293.143</v>
      </c>
      <c r="C45" s="124"/>
      <c r="D45" s="124">
        <f>+SUM('8'!D45:G45)*0.497</f>
        <v>185.87799999999999</v>
      </c>
      <c r="E45" s="124">
        <f>+'8'!H45*0.51</f>
        <v>93.33</v>
      </c>
      <c r="F45" s="124">
        <f>+'8'!I45*0.51</f>
        <v>93.84</v>
      </c>
      <c r="G45" s="124">
        <f>+'8'!J45*0.518</f>
        <v>446.51600000000002</v>
      </c>
      <c r="H45" s="124">
        <f>+'8'!K45*0.127</f>
        <v>82.55</v>
      </c>
      <c r="I45" s="124">
        <f>+'8'!K45*0.348</f>
        <v>226.2</v>
      </c>
      <c r="J45" s="124">
        <f>+'8'!L45*0.501</f>
        <v>164.82900000000001</v>
      </c>
      <c r="K45" s="125">
        <f>+'8'!D45*1.56</f>
        <v>57.72</v>
      </c>
    </row>
    <row r="46" spans="1:12">
      <c r="A46" s="44" t="s">
        <v>589</v>
      </c>
      <c r="B46" s="124">
        <f>SUM(D46:J46)</f>
        <v>592.2700000000001</v>
      </c>
      <c r="C46" s="124"/>
      <c r="D46" s="124">
        <f>+SUM('8'!D46:G46)*0.497</f>
        <v>92.441999999999993</v>
      </c>
      <c r="E46" s="124">
        <f>+'8'!H46*0.51</f>
        <v>45.39</v>
      </c>
      <c r="F46" s="124">
        <f>+'8'!I46*0.51</f>
        <v>47.43</v>
      </c>
      <c r="G46" s="124">
        <f>+'8'!J46*0.518</f>
        <v>204.61</v>
      </c>
      <c r="H46" s="124">
        <f>+'8'!K46*0.127</f>
        <v>34.29</v>
      </c>
      <c r="I46" s="124">
        <f>+'8'!K46*0.348</f>
        <v>93.96</v>
      </c>
      <c r="J46" s="124">
        <f>+'8'!L46*0.501</f>
        <v>74.147999999999996</v>
      </c>
      <c r="K46" s="125">
        <f>+'8'!D46*1.56</f>
        <v>24.96</v>
      </c>
    </row>
    <row r="47" spans="1:12">
      <c r="A47" s="44" t="s">
        <v>590</v>
      </c>
      <c r="B47" s="124">
        <f>SUM(D47:J47)</f>
        <v>639.82400000000007</v>
      </c>
      <c r="C47" s="124"/>
      <c r="D47" s="124">
        <f>+SUM('8'!D47:G47)*0.497</f>
        <v>100.39400000000001</v>
      </c>
      <c r="E47" s="124">
        <f>+'8'!H47*0.51</f>
        <v>45.9</v>
      </c>
      <c r="F47" s="124">
        <f>+'8'!I47*0.51</f>
        <v>48.45</v>
      </c>
      <c r="G47" s="124">
        <f>+'8'!J47*0.518</f>
        <v>217.56</v>
      </c>
      <c r="H47" s="124">
        <f>+'8'!K47*0.128</f>
        <v>40.704000000000001</v>
      </c>
      <c r="I47" s="124">
        <f>+'8'!K47*0.348</f>
        <v>110.66399999999999</v>
      </c>
      <c r="J47" s="124">
        <f>+'8'!L47*0.501</f>
        <v>76.152000000000001</v>
      </c>
      <c r="K47" s="125">
        <f>+'8'!D47*1.56</f>
        <v>32.76</v>
      </c>
    </row>
    <row r="48" spans="1:12">
      <c r="A48" s="44" t="s">
        <v>591</v>
      </c>
      <c r="B48" s="124">
        <f t="shared" ref="B48:B53" si="9">SUM(D48:J48)</f>
        <v>534.32500000000005</v>
      </c>
      <c r="C48" s="124"/>
      <c r="D48" s="124">
        <f>+SUM('8'!D48:G48)*0.498</f>
        <v>76.691999999999993</v>
      </c>
      <c r="E48" s="124">
        <f>+'8'!H48*0.51</f>
        <v>38.76</v>
      </c>
      <c r="F48" s="124">
        <f>+'8'!I48*0.51</f>
        <v>39.78</v>
      </c>
      <c r="G48" s="124">
        <f>+'8'!J48*0.518</f>
        <v>183.89000000000001</v>
      </c>
      <c r="H48" s="124">
        <f>+'8'!K48*0.128</f>
        <v>34.304000000000002</v>
      </c>
      <c r="I48" s="124">
        <f>+'8'!K48*0.348</f>
        <v>93.263999999999996</v>
      </c>
      <c r="J48" s="124">
        <f>+'8'!L48*0.501</f>
        <v>67.635000000000005</v>
      </c>
      <c r="K48" s="125">
        <f>+'8'!D48*1.56</f>
        <v>24.96</v>
      </c>
    </row>
    <row r="49" spans="1:13">
      <c r="A49" s="44" t="s">
        <v>592</v>
      </c>
      <c r="B49" s="124">
        <f t="shared" si="9"/>
        <v>580.31600000000003</v>
      </c>
      <c r="C49" s="124"/>
      <c r="D49" s="124">
        <f>+SUM('8'!D49:G49)*0.498</f>
        <v>92.628</v>
      </c>
      <c r="E49" s="124">
        <f>+'8'!H49*0.51</f>
        <v>44.88</v>
      </c>
      <c r="F49" s="124">
        <f>+'8'!I49*0.51</f>
        <v>47.94</v>
      </c>
      <c r="G49" s="124">
        <f>+'8'!J49*0.518</f>
        <v>202.02</v>
      </c>
      <c r="H49" s="124">
        <f>+'8'!K49*0.128</f>
        <v>33.536000000000001</v>
      </c>
      <c r="I49" s="124">
        <f>+'8'!K49*0.348</f>
        <v>91.175999999999988</v>
      </c>
      <c r="J49" s="124">
        <f>+'8'!L49*0.501</f>
        <v>68.135999999999996</v>
      </c>
      <c r="K49" s="125">
        <f>+'8'!D49*1.56</f>
        <v>26.52</v>
      </c>
    </row>
    <row r="50" spans="1:13">
      <c r="A50" s="44" t="s">
        <v>593</v>
      </c>
      <c r="B50" s="124">
        <f t="shared" si="9"/>
        <v>653.52800000000002</v>
      </c>
      <c r="C50" s="124"/>
      <c r="D50" s="124">
        <f>+SUM('8'!D50:G50)*0.498</f>
        <v>93.126000000000005</v>
      </c>
      <c r="E50" s="124">
        <f>+'8'!H50*0.51</f>
        <v>46.410000000000004</v>
      </c>
      <c r="F50" s="124">
        <f>+'8'!I50*0.51</f>
        <v>47.94</v>
      </c>
      <c r="G50" s="124">
        <f>+'8'!J50*0.518</f>
        <v>225.33</v>
      </c>
      <c r="H50" s="124">
        <f>+'8'!K50*0.128</f>
        <v>42.368000000000002</v>
      </c>
      <c r="I50" s="124">
        <f>+'8'!K50*0.348</f>
        <v>115.18799999999999</v>
      </c>
      <c r="J50" s="124">
        <f>+'8'!L50*0.501</f>
        <v>83.165999999999997</v>
      </c>
      <c r="K50" s="125">
        <f>+'8'!D50*1.56</f>
        <v>29.64</v>
      </c>
    </row>
    <row r="51" spans="1:13">
      <c r="A51" s="44" t="s">
        <v>594</v>
      </c>
      <c r="B51" s="124">
        <f t="shared" si="9"/>
        <v>575.95100000000002</v>
      </c>
      <c r="C51" s="124"/>
      <c r="D51" s="124">
        <f>+SUM('8'!D51:G51)*0.498</f>
        <v>82.17</v>
      </c>
      <c r="E51" s="124">
        <f>+'8'!H51*0.51</f>
        <v>41.82</v>
      </c>
      <c r="F51" s="124">
        <f>+'8'!I51*0.51</f>
        <v>43.35</v>
      </c>
      <c r="G51" s="124">
        <f>+'8'!J51*0.518</f>
        <v>197.876</v>
      </c>
      <c r="H51" s="124">
        <f>+'8'!K51*0.128</f>
        <v>36.864000000000004</v>
      </c>
      <c r="I51" s="124">
        <f>+'8'!K51*0.348</f>
        <v>100.22399999999999</v>
      </c>
      <c r="J51" s="124">
        <f>+'8'!L51*0.501</f>
        <v>73.647000000000006</v>
      </c>
      <c r="K51" s="125">
        <f>+'8'!D51*1.55</f>
        <v>26.35</v>
      </c>
    </row>
    <row r="52" spans="1:13">
      <c r="A52" s="44" t="s">
        <v>595</v>
      </c>
      <c r="B52" s="124">
        <f t="shared" si="9"/>
        <v>665.34800000000007</v>
      </c>
      <c r="C52" s="124"/>
      <c r="D52" s="124">
        <f>+SUM('8'!D52:G52)*0.498</f>
        <v>102.09</v>
      </c>
      <c r="E52" s="124">
        <f>+'8'!H52*0.51</f>
        <v>46.92</v>
      </c>
      <c r="F52" s="124">
        <f>+'8'!I52*0.51</f>
        <v>47.94</v>
      </c>
      <c r="G52" s="124">
        <f>+'8'!J52*0.518</f>
        <v>224.29400000000001</v>
      </c>
      <c r="H52" s="124">
        <f>+'8'!K52*0.128</f>
        <v>43.008000000000003</v>
      </c>
      <c r="I52" s="124">
        <f>+'8'!K52*0.348</f>
        <v>116.928</v>
      </c>
      <c r="J52" s="124">
        <f>+'8'!L52*0.501</f>
        <v>84.168000000000006</v>
      </c>
      <c r="K52" s="125">
        <f>+'8'!D52*1.55</f>
        <v>31</v>
      </c>
    </row>
    <row r="53" spans="1:13">
      <c r="A53" s="44" t="s">
        <v>596</v>
      </c>
      <c r="B53" s="124">
        <f t="shared" si="9"/>
        <v>156.29899999999998</v>
      </c>
      <c r="C53" s="124"/>
      <c r="D53" s="124">
        <f>+SUM('8'!D53:G53)*0.498</f>
        <v>27.887999999999998</v>
      </c>
      <c r="E53" s="124">
        <f>+'8'!H53*0.51</f>
        <v>12.24</v>
      </c>
      <c r="F53" s="124">
        <f>+'8'!I53*0.51</f>
        <v>12.75</v>
      </c>
      <c r="G53" s="124">
        <f>+'8'!J53*0.518</f>
        <v>47.655999999999999</v>
      </c>
      <c r="H53" s="124">
        <f>+'8'!K53*0.128</f>
        <v>9.4719999999999995</v>
      </c>
      <c r="I53" s="124">
        <f>+'8'!K53*0.348</f>
        <v>25.751999999999999</v>
      </c>
      <c r="J53" s="124">
        <f>+'8'!L53*0.501</f>
        <v>20.541</v>
      </c>
      <c r="K53" s="125">
        <f>+'8'!D53*1.55</f>
        <v>9.3000000000000007</v>
      </c>
    </row>
    <row r="54" spans="1:13">
      <c r="A54" s="44" t="s">
        <v>597</v>
      </c>
      <c r="B54" s="124">
        <f>SUM(D54:J54)</f>
        <v>191.196</v>
      </c>
      <c r="C54" s="124"/>
      <c r="D54" s="124">
        <f>+SUM('8'!D54:G54)*0.498</f>
        <v>32.868000000000002</v>
      </c>
      <c r="E54" s="124">
        <f>+'8'!H54*0.51</f>
        <v>13.77</v>
      </c>
      <c r="F54" s="124">
        <f>+'8'!I54*0.51</f>
        <v>14.790000000000001</v>
      </c>
      <c r="G54" s="124">
        <f>+'8'!J54*0.518</f>
        <v>65.786000000000001</v>
      </c>
      <c r="H54" s="124">
        <f>+'8'!K54*0.128</f>
        <v>11.008000000000001</v>
      </c>
      <c r="I54" s="124">
        <f>+'8'!K54*0.348</f>
        <v>29.927999999999997</v>
      </c>
      <c r="J54" s="124">
        <f>+'8'!L54*0.501</f>
        <v>23.045999999999999</v>
      </c>
      <c r="K54" s="125">
        <f>+'8'!D54*1.55</f>
        <v>9.3000000000000007</v>
      </c>
    </row>
    <row r="55" spans="1:13">
      <c r="A55" s="44"/>
      <c r="B55" s="124"/>
      <c r="C55" s="124"/>
      <c r="D55" s="1143"/>
      <c r="E55" s="1143"/>
      <c r="F55" s="1143"/>
      <c r="G55" s="1143"/>
      <c r="H55" s="1143"/>
      <c r="I55" s="1143"/>
      <c r="J55" s="1143"/>
      <c r="K55" s="125"/>
    </row>
    <row r="56" spans="1:13">
      <c r="A56" s="126" t="s">
        <v>598</v>
      </c>
      <c r="B56" s="124">
        <f>SUM(B57:B59)</f>
        <v>7589.2579000000005</v>
      </c>
      <c r="C56" s="127" t="s">
        <v>565</v>
      </c>
      <c r="D56" s="124">
        <f t="shared" ref="D56:K56" si="10">SUM(D57:D59)</f>
        <v>1058.3999999999999</v>
      </c>
      <c r="E56" s="124">
        <f t="shared" si="10"/>
        <v>527.07449999999994</v>
      </c>
      <c r="F56" s="124">
        <f t="shared" si="10"/>
        <v>568.17999999999995</v>
      </c>
      <c r="G56" s="124">
        <f t="shared" si="10"/>
        <v>2644.3767999999995</v>
      </c>
      <c r="H56" s="124">
        <f t="shared" si="10"/>
        <v>450.82760000000007</v>
      </c>
      <c r="I56" s="124">
        <f t="shared" si="10"/>
        <v>1430.8530000000001</v>
      </c>
      <c r="J56" s="124">
        <f t="shared" si="10"/>
        <v>909.54600000000005</v>
      </c>
      <c r="K56" s="125">
        <f t="shared" si="10"/>
        <v>330.66400000000004</v>
      </c>
      <c r="L56" s="132"/>
      <c r="M56" s="132"/>
    </row>
    <row r="57" spans="1:13">
      <c r="A57" s="44" t="s">
        <v>599</v>
      </c>
      <c r="B57" s="124">
        <f>SUM(D57:J57)</f>
        <v>6028.2233999999999</v>
      </c>
      <c r="C57" s="124"/>
      <c r="D57" s="124">
        <f>+SUM('8'!D57:G57)*0.48</f>
        <v>840.95999999999992</v>
      </c>
      <c r="E57" s="124">
        <f>+'8'!H57*0.4701</f>
        <v>418.38900000000001</v>
      </c>
      <c r="F57" s="124">
        <f>+'8'!I57*0.485</f>
        <v>452.02</v>
      </c>
      <c r="G57" s="124">
        <f>+'8'!J57*0.5094</f>
        <v>2099.7467999999999</v>
      </c>
      <c r="H57" s="124">
        <f>+'8'!K57*0.1264</f>
        <v>358.21760000000006</v>
      </c>
      <c r="I57" s="124">
        <f>+'8'!K57*0.401</f>
        <v>1136.434</v>
      </c>
      <c r="J57" s="124">
        <f>+'8'!L57*0.532</f>
        <v>722.45600000000002</v>
      </c>
      <c r="K57" s="125">
        <f>+'8'!D57*1.442</f>
        <v>248.024</v>
      </c>
    </row>
    <row r="58" spans="1:13">
      <c r="A58" s="44" t="s">
        <v>375</v>
      </c>
      <c r="B58" s="124">
        <f>SUM(D58:J58)</f>
        <v>890.01899999999989</v>
      </c>
      <c r="C58" s="124"/>
      <c r="D58" s="124">
        <f>+SUM('8'!D58:G58)*0.48</f>
        <v>123.83999999999999</v>
      </c>
      <c r="E58" s="124">
        <f>+'8'!H58*0.4705</f>
        <v>62.105999999999995</v>
      </c>
      <c r="F58" s="124">
        <f>+'8'!I58*0.48</f>
        <v>66.239999999999995</v>
      </c>
      <c r="G58" s="124">
        <f>+'8'!J58*0.509</f>
        <v>310.49</v>
      </c>
      <c r="H58" s="124">
        <f>+'8'!K58*0.126</f>
        <v>52.793999999999997</v>
      </c>
      <c r="I58" s="124">
        <f>+'8'!K58*0.401</f>
        <v>168.01900000000001</v>
      </c>
      <c r="J58" s="124">
        <f>+'8'!L58*0.53</f>
        <v>106.53</v>
      </c>
      <c r="K58" s="125">
        <f>+'8'!D58*1.79</f>
        <v>46.54</v>
      </c>
    </row>
    <row r="59" spans="1:13">
      <c r="A59" s="44" t="s">
        <v>600</v>
      </c>
      <c r="B59" s="124">
        <f>SUM(D59:J59)</f>
        <v>671.01549999999997</v>
      </c>
      <c r="C59" s="124"/>
      <c r="D59" s="124">
        <f>+SUM('8'!D59:G59)*0.48</f>
        <v>93.6</v>
      </c>
      <c r="E59" s="124">
        <f>+'8'!H59*0.4705</f>
        <v>46.579499999999996</v>
      </c>
      <c r="F59" s="124">
        <f>+'8'!I59*0.48</f>
        <v>49.92</v>
      </c>
      <c r="G59" s="124">
        <f>+'8'!J59*0.509</f>
        <v>234.14000000000001</v>
      </c>
      <c r="H59" s="124">
        <f>+'8'!K59*0.126</f>
        <v>39.816000000000003</v>
      </c>
      <c r="I59" s="124">
        <f>+'8'!K59*0.4</f>
        <v>126.4</v>
      </c>
      <c r="J59" s="124">
        <f>+'8'!L59*0.53</f>
        <v>80.56</v>
      </c>
      <c r="K59" s="125">
        <f>+'8'!D59*1.9</f>
        <v>36.1</v>
      </c>
    </row>
    <row r="60" spans="1:13">
      <c r="A60" s="44"/>
      <c r="B60" s="124"/>
      <c r="C60" s="124"/>
      <c r="D60" s="124"/>
      <c r="E60" s="124"/>
      <c r="F60" s="124"/>
      <c r="G60" s="124"/>
      <c r="H60" s="124"/>
      <c r="I60" s="124"/>
      <c r="J60" s="124"/>
      <c r="K60" s="125"/>
    </row>
    <row r="61" spans="1:13">
      <c r="A61" s="126" t="s">
        <v>601</v>
      </c>
      <c r="B61" s="124">
        <f>SUM(B62:B65)</f>
        <v>3971.2950000000001</v>
      </c>
      <c r="C61" s="127" t="s">
        <v>565</v>
      </c>
      <c r="D61" s="124">
        <f t="shared" ref="D61:K61" si="11">SUM(D62:D65)</f>
        <v>576.43599999999992</v>
      </c>
      <c r="E61" s="124">
        <f t="shared" si="11"/>
        <v>273.35500000000002</v>
      </c>
      <c r="F61" s="124">
        <f t="shared" si="11"/>
        <v>290.55399999999997</v>
      </c>
      <c r="G61" s="124">
        <f t="shared" si="11"/>
        <v>1458.124</v>
      </c>
      <c r="H61" s="124">
        <f t="shared" si="11"/>
        <v>239.47800000000001</v>
      </c>
      <c r="I61" s="124">
        <f t="shared" si="11"/>
        <v>701.74800000000005</v>
      </c>
      <c r="J61" s="124">
        <f t="shared" si="11"/>
        <v>431.6</v>
      </c>
      <c r="K61" s="125">
        <f t="shared" si="11"/>
        <v>145.91</v>
      </c>
    </row>
    <row r="62" spans="1:13">
      <c r="A62" s="44" t="s">
        <v>602</v>
      </c>
      <c r="B62" s="124">
        <f>SUM(D62:J62)</f>
        <v>2725.2220000000002</v>
      </c>
      <c r="C62" s="124"/>
      <c r="D62" s="124">
        <f>+SUM('8'!D62:G62)*0.489</f>
        <v>383.37599999999998</v>
      </c>
      <c r="E62" s="124">
        <f>+'8'!H62*0.494</f>
        <v>187.72</v>
      </c>
      <c r="F62" s="124">
        <f>+'8'!I62*0.517</f>
        <v>198.011</v>
      </c>
      <c r="G62" s="124">
        <f>+'8'!J62*0.523</f>
        <v>975.39499999999998</v>
      </c>
      <c r="H62" s="124">
        <f>+'8'!K62*0.132</f>
        <v>174.24</v>
      </c>
      <c r="I62" s="124">
        <f>+'8'!K62*0.386</f>
        <v>509.52000000000004</v>
      </c>
      <c r="J62" s="124">
        <f>+'8'!L62*0.512</f>
        <v>296.95999999999998</v>
      </c>
      <c r="K62" s="125">
        <f>+'8'!D62*1.24</f>
        <v>95.48</v>
      </c>
    </row>
    <row r="63" spans="1:13">
      <c r="A63" s="44" t="s">
        <v>603</v>
      </c>
      <c r="B63" s="124">
        <f>SUM(D63:J63)</f>
        <v>303.73099999999999</v>
      </c>
      <c r="C63" s="124"/>
      <c r="D63" s="124">
        <f>+SUM('8'!D63:G63)*0.49</f>
        <v>45.57</v>
      </c>
      <c r="E63" s="124">
        <f>+'8'!H63*0.495</f>
        <v>17.82</v>
      </c>
      <c r="F63" s="124">
        <f>+'8'!I63*0.517</f>
        <v>19.646000000000001</v>
      </c>
      <c r="G63" s="124">
        <f>+'8'!J63*0.523</f>
        <v>122.38200000000001</v>
      </c>
      <c r="H63" s="124">
        <f>+'8'!K63*0.131</f>
        <v>16.899000000000001</v>
      </c>
      <c r="I63" s="124">
        <f>+'8'!K63*0.386</f>
        <v>49.794000000000004</v>
      </c>
      <c r="J63" s="124">
        <f>+'8'!L63*0.51</f>
        <v>31.62</v>
      </c>
      <c r="K63" s="125">
        <f>+'8'!D63*1.23</f>
        <v>13.53</v>
      </c>
    </row>
    <row r="64" spans="1:13">
      <c r="A64" s="44" t="s">
        <v>604</v>
      </c>
      <c r="B64" s="124">
        <f>SUM(D64:J64)</f>
        <v>404.46600000000007</v>
      </c>
      <c r="C64" s="124"/>
      <c r="D64" s="124">
        <f>+SUM('8'!D64:G64)*0.49</f>
        <v>61.25</v>
      </c>
      <c r="E64" s="124">
        <f>+'8'!H64*0.495</f>
        <v>28.71</v>
      </c>
      <c r="F64" s="124">
        <f>+'8'!I64*0.517</f>
        <v>31.02</v>
      </c>
      <c r="G64" s="124">
        <f>+'8'!J64*0.523</f>
        <v>157.423</v>
      </c>
      <c r="H64" s="124">
        <f>+'8'!K64*0.131</f>
        <v>20.829000000000001</v>
      </c>
      <c r="I64" s="124">
        <f>+'8'!K64*0.386</f>
        <v>61.374000000000002</v>
      </c>
      <c r="J64" s="124">
        <f>+'8'!L64*0.51</f>
        <v>43.86</v>
      </c>
      <c r="K64" s="125">
        <f>+'8'!D64*1.23</f>
        <v>15.99</v>
      </c>
    </row>
    <row r="65" spans="1:11">
      <c r="A65" s="44" t="s">
        <v>605</v>
      </c>
      <c r="B65" s="124">
        <f>SUM(D65:J65)</f>
        <v>537.87599999999998</v>
      </c>
      <c r="C65" s="124"/>
      <c r="D65" s="124">
        <f>+SUM('8'!D65:G65)*0.49</f>
        <v>86.24</v>
      </c>
      <c r="E65" s="124">
        <f>+'8'!H65*0.495</f>
        <v>39.104999999999997</v>
      </c>
      <c r="F65" s="124">
        <f>+'8'!I65*0.517</f>
        <v>41.877000000000002</v>
      </c>
      <c r="G65" s="124">
        <f>+'8'!J65*0.523</f>
        <v>202.92400000000001</v>
      </c>
      <c r="H65" s="124">
        <f>+'8'!K65*0.131</f>
        <v>27.51</v>
      </c>
      <c r="I65" s="124">
        <f>+'8'!K65*0.386</f>
        <v>81.06</v>
      </c>
      <c r="J65" s="124">
        <f>+'8'!L65*0.51</f>
        <v>59.160000000000004</v>
      </c>
      <c r="K65" s="125">
        <f>+'8'!D65*1.23</f>
        <v>20.91</v>
      </c>
    </row>
    <row r="66" spans="1:11">
      <c r="A66" s="44"/>
      <c r="B66" s="124"/>
      <c r="C66" s="124"/>
      <c r="D66" s="124"/>
      <c r="E66" s="124"/>
      <c r="F66" s="124"/>
      <c r="G66" s="124"/>
      <c r="H66" s="124"/>
      <c r="I66" s="124"/>
      <c r="J66" s="124"/>
      <c r="K66" s="125"/>
    </row>
    <row r="67" spans="1:11">
      <c r="A67" s="126" t="s">
        <v>606</v>
      </c>
      <c r="B67" s="124">
        <f>SUM(B68:B71)</f>
        <v>12113.560399999998</v>
      </c>
      <c r="C67" s="127" t="s">
        <v>565</v>
      </c>
      <c r="D67" s="124">
        <f t="shared" ref="D67:K67" si="12">SUM(D68:D71)</f>
        <v>1677.5431000000001</v>
      </c>
      <c r="E67" s="124">
        <f t="shared" si="12"/>
        <v>810.51419999999996</v>
      </c>
      <c r="F67" s="124">
        <f t="shared" si="12"/>
        <v>834.42200000000003</v>
      </c>
      <c r="G67" s="124">
        <f t="shared" si="12"/>
        <v>4376.8715000000002</v>
      </c>
      <c r="H67" s="124">
        <f t="shared" si="12"/>
        <v>829.70499999999993</v>
      </c>
      <c r="I67" s="124">
        <f t="shared" si="12"/>
        <v>2133.1056000000003</v>
      </c>
      <c r="J67" s="124">
        <f t="shared" si="12"/>
        <v>1451.3990000000001</v>
      </c>
      <c r="K67" s="125">
        <f t="shared" si="12"/>
        <v>602</v>
      </c>
    </row>
    <row r="68" spans="1:11">
      <c r="A68" s="44" t="s">
        <v>607</v>
      </c>
      <c r="B68" s="124">
        <f>SUM(D68:J68)</f>
        <v>9908.2851999999984</v>
      </c>
      <c r="C68" s="124"/>
      <c r="D68" s="124">
        <f>+SUM('8'!D68:G68)*0.4864</f>
        <v>1431.9616000000001</v>
      </c>
      <c r="E68" s="124">
        <f>+'8'!H68*0.4859</f>
        <v>697.75239999999997</v>
      </c>
      <c r="F68" s="124">
        <f>+'8'!I68*0.492</f>
        <v>711.43200000000002</v>
      </c>
      <c r="G68" s="124">
        <f>+'8'!J68*0.5108</f>
        <v>3489.7856000000002</v>
      </c>
      <c r="H68" s="124">
        <f>+'8'!K68*0.141</f>
        <v>673.5569999999999</v>
      </c>
      <c r="I68" s="124">
        <f>+'8'!K68*0.3628</f>
        <v>1733.0956000000001</v>
      </c>
      <c r="J68" s="124">
        <f>+'8'!L68*0.553</f>
        <v>1170.701</v>
      </c>
      <c r="K68" s="125">
        <f>+'8'!D68*1.75</f>
        <v>502.25</v>
      </c>
    </row>
    <row r="69" spans="1:11">
      <c r="A69" s="44" t="s">
        <v>608</v>
      </c>
      <c r="B69" s="124">
        <f>SUM(D69:J69)</f>
        <v>245.30399999999997</v>
      </c>
      <c r="C69" s="124"/>
      <c r="D69" s="124">
        <f>+SUM('8'!D69:G69)*0.4863</f>
        <v>30.636900000000001</v>
      </c>
      <c r="E69" s="124">
        <f>+'8'!H69*0.487</f>
        <v>11.687999999999999</v>
      </c>
      <c r="F69" s="124">
        <f>+'8'!I69*0.49</f>
        <v>12.74</v>
      </c>
      <c r="G69" s="124">
        <f>+'8'!J69*0.5107</f>
        <v>88.351100000000002</v>
      </c>
      <c r="H69" s="124">
        <f>+'8'!K69*0.141</f>
        <v>18.329999999999998</v>
      </c>
      <c r="I69" s="124">
        <f>+'8'!K69*0.362</f>
        <v>47.059999999999995</v>
      </c>
      <c r="J69" s="124">
        <f>+'8'!L69*0.553</f>
        <v>36.498000000000005</v>
      </c>
      <c r="K69" s="125">
        <f>+'8'!D69*1.75</f>
        <v>17.5</v>
      </c>
    </row>
    <row r="70" spans="1:11">
      <c r="A70" s="44" t="s">
        <v>609</v>
      </c>
      <c r="B70" s="124">
        <f>SUM(D70:J70)</f>
        <v>1254.0795000000001</v>
      </c>
      <c r="C70" s="124"/>
      <c r="D70" s="124">
        <f>+SUM('8'!D70:G70)*0.4863</f>
        <v>137.62290000000002</v>
      </c>
      <c r="E70" s="124">
        <f>+'8'!H70*0.486</f>
        <v>66.581999999999994</v>
      </c>
      <c r="F70" s="124">
        <f>+'8'!I70*0.49</f>
        <v>71.05</v>
      </c>
      <c r="G70" s="124">
        <f>+'8'!J70*0.5107</f>
        <v>509.67860000000002</v>
      </c>
      <c r="H70" s="124">
        <f>+'8'!K70*0.141</f>
        <v>89.111999999999995</v>
      </c>
      <c r="I70" s="124">
        <f>+'8'!K70*0.362</f>
        <v>228.78399999999999</v>
      </c>
      <c r="J70" s="124">
        <f>+'8'!L70*0.55</f>
        <v>151.25</v>
      </c>
      <c r="K70" s="125">
        <f>+'8'!D70*1.75</f>
        <v>52.5</v>
      </c>
    </row>
    <row r="71" spans="1:11">
      <c r="A71" s="44" t="s">
        <v>610</v>
      </c>
      <c r="B71" s="124">
        <f>SUM(D71:J71)</f>
        <v>705.89170000000013</v>
      </c>
      <c r="C71" s="124"/>
      <c r="D71" s="124">
        <f>+SUM('8'!D71:G71)*0.4863</f>
        <v>77.321700000000007</v>
      </c>
      <c r="E71" s="124">
        <f>+'8'!H71*0.4858</f>
        <v>34.491799999999998</v>
      </c>
      <c r="F71" s="124">
        <f>+'8'!I71*0.49</f>
        <v>39.200000000000003</v>
      </c>
      <c r="G71" s="124">
        <f>+'8'!J71*0.5107</f>
        <v>289.05620000000005</v>
      </c>
      <c r="H71" s="124">
        <f>+'8'!K71*0.142</f>
        <v>48.705999999999996</v>
      </c>
      <c r="I71" s="124">
        <f>+'8'!K71*0.362</f>
        <v>124.166</v>
      </c>
      <c r="J71" s="124">
        <f>+'8'!L71*0.55</f>
        <v>92.95</v>
      </c>
      <c r="K71" s="125">
        <f>+'8'!D71*1.75</f>
        <v>29.75</v>
      </c>
    </row>
    <row r="72" spans="1:11">
      <c r="A72" s="44"/>
      <c r="B72" s="124"/>
      <c r="C72" s="124"/>
      <c r="D72" s="124"/>
      <c r="E72" s="124"/>
      <c r="F72" s="124"/>
      <c r="G72" s="124"/>
      <c r="H72" s="124"/>
      <c r="I72" s="124"/>
      <c r="J72" s="124"/>
      <c r="K72" s="125"/>
    </row>
    <row r="73" spans="1:11">
      <c r="A73" s="126" t="s">
        <v>611</v>
      </c>
      <c r="B73" s="124">
        <f>SUM(B74:B83)</f>
        <v>6603.5698000000011</v>
      </c>
      <c r="C73" s="127" t="s">
        <v>565</v>
      </c>
      <c r="D73" s="124">
        <f t="shared" ref="D73:K73" si="13">SUM(D74:D83)</f>
        <v>934.50300000000016</v>
      </c>
      <c r="E73" s="124">
        <f t="shared" si="13"/>
        <v>462.428</v>
      </c>
      <c r="F73" s="124">
        <f t="shared" si="13"/>
        <v>478.90799999999996</v>
      </c>
      <c r="G73" s="124">
        <f t="shared" si="13"/>
        <v>2358.5839999999998</v>
      </c>
      <c r="H73" s="124">
        <f t="shared" si="13"/>
        <v>436.99100000000004</v>
      </c>
      <c r="I73" s="124">
        <f t="shared" si="13"/>
        <v>1151.6959999999999</v>
      </c>
      <c r="J73" s="124">
        <f t="shared" si="13"/>
        <v>780.45979999999997</v>
      </c>
      <c r="K73" s="125">
        <f t="shared" si="13"/>
        <v>283.88000000000005</v>
      </c>
    </row>
    <row r="74" spans="1:11">
      <c r="A74" s="44" t="s">
        <v>612</v>
      </c>
      <c r="B74" s="124">
        <f t="shared" ref="B74:B87" si="14">SUM(D74:J74)</f>
        <v>3567.3780000000002</v>
      </c>
      <c r="C74" s="124"/>
      <c r="D74" s="124">
        <f>+SUM('8'!D74:G74)*0.485</f>
        <v>467.05500000000001</v>
      </c>
      <c r="E74" s="124">
        <f>+'8'!H74*0.4792</f>
        <v>259.24720000000002</v>
      </c>
      <c r="F74" s="124">
        <f>+'8'!I74*0.477</f>
        <v>262.34999999999997</v>
      </c>
      <c r="G74" s="124">
        <f>+'8'!J74*0.499</f>
        <v>1234.027</v>
      </c>
      <c r="H74" s="124">
        <f>+'8'!K74*0.1382</f>
        <v>248.06899999999999</v>
      </c>
      <c r="I74" s="124">
        <f>+'8'!K74*0.364</f>
        <v>653.38</v>
      </c>
      <c r="J74" s="124">
        <f>+'8'!L74*0.4622</f>
        <v>443.24979999999999</v>
      </c>
      <c r="K74" s="125">
        <f>+'8'!D74*1.51</f>
        <v>137.41</v>
      </c>
    </row>
    <row r="75" spans="1:11">
      <c r="A75" s="44" t="s">
        <v>316</v>
      </c>
      <c r="B75" s="124">
        <f t="shared" si="14"/>
        <v>513.92880000000002</v>
      </c>
      <c r="C75" s="124"/>
      <c r="D75" s="124">
        <f>+SUM('8'!D75:G75)*0.485</f>
        <v>106.215</v>
      </c>
      <c r="E75" s="124">
        <f>+'8'!H75*0.4792</f>
        <v>45.044800000000002</v>
      </c>
      <c r="F75" s="124">
        <f>+'8'!I75*0.477</f>
        <v>46.268999999999998</v>
      </c>
      <c r="G75" s="124">
        <f>+'8'!J75*0.499</f>
        <v>155.68799999999999</v>
      </c>
      <c r="H75" s="124">
        <f>+'8'!K75*0.138</f>
        <v>29.256000000000004</v>
      </c>
      <c r="I75" s="124">
        <f>+'8'!K75*0.364</f>
        <v>77.167999999999992</v>
      </c>
      <c r="J75" s="124">
        <f>+'8'!L75*0.464</f>
        <v>54.288000000000004</v>
      </c>
      <c r="K75" s="125">
        <f>+'8'!D75*1.51</f>
        <v>25.67</v>
      </c>
    </row>
    <row r="76" spans="1:11">
      <c r="A76" s="44" t="s">
        <v>613</v>
      </c>
      <c r="B76" s="124">
        <f>SUM(D76:J76)</f>
        <v>580.52639999999997</v>
      </c>
      <c r="C76" s="124"/>
      <c r="D76" s="124">
        <f>+SUM('8'!D76:G76)*0.485</f>
        <v>81.965000000000003</v>
      </c>
      <c r="E76" s="124">
        <f>+'8'!H76*0.4792</f>
        <v>34.502400000000002</v>
      </c>
      <c r="F76" s="124">
        <f>+'8'!I76*0.477</f>
        <v>35.298000000000002</v>
      </c>
      <c r="G76" s="124">
        <f>+'8'!J76*0.499</f>
        <v>219.56</v>
      </c>
      <c r="H76" s="124">
        <f>+'8'!K76*0.138</f>
        <v>39.054000000000002</v>
      </c>
      <c r="I76" s="124">
        <f>+'8'!K76*0.364</f>
        <v>103.012</v>
      </c>
      <c r="J76" s="124">
        <f>+'8'!L76*0.463</f>
        <v>67.135000000000005</v>
      </c>
      <c r="K76" s="125">
        <f>+'8'!D76*1.51</f>
        <v>25.67</v>
      </c>
    </row>
    <row r="77" spans="1:11">
      <c r="A77" s="44" t="s">
        <v>614</v>
      </c>
      <c r="B77" s="124">
        <f t="shared" si="14"/>
        <v>152.97260000000003</v>
      </c>
      <c r="C77" s="124"/>
      <c r="D77" s="124">
        <f>+SUM('8'!D77:G77)*0.484</f>
        <v>22.263999999999999</v>
      </c>
      <c r="E77" s="124">
        <f>+'8'!H77*0.4792</f>
        <v>8.6256000000000004</v>
      </c>
      <c r="F77" s="124">
        <f>+'8'!I77*0.477</f>
        <v>9.0629999999999988</v>
      </c>
      <c r="G77" s="124">
        <f>+'8'!J77*0.499</f>
        <v>56.387</v>
      </c>
      <c r="H77" s="124">
        <f>+'8'!K77*0.138</f>
        <v>10.350000000000001</v>
      </c>
      <c r="I77" s="124">
        <f>+'8'!K77*0.364</f>
        <v>27.3</v>
      </c>
      <c r="J77" s="124">
        <f>+'8'!L77*0.463</f>
        <v>18.983000000000001</v>
      </c>
      <c r="K77" s="125">
        <f>+'8'!D77*1.51</f>
        <v>9.06</v>
      </c>
    </row>
    <row r="78" spans="1:11">
      <c r="A78" s="44" t="s">
        <v>615</v>
      </c>
      <c r="B78" s="124">
        <f t="shared" si="14"/>
        <v>337.03279999999995</v>
      </c>
      <c r="C78" s="124"/>
      <c r="D78" s="124">
        <f>+SUM('8'!D78:G78)*0.484</f>
        <v>49.367999999999995</v>
      </c>
      <c r="E78" s="124">
        <f>+'8'!H78*0.4792</f>
        <v>21.084800000000001</v>
      </c>
      <c r="F78" s="124">
        <f>+'8'!I78*0.477</f>
        <v>21.942</v>
      </c>
      <c r="G78" s="124">
        <f>+'8'!J78*0.499</f>
        <v>134.72999999999999</v>
      </c>
      <c r="H78" s="124">
        <f>+'8'!K78*0.138</f>
        <v>20.286000000000001</v>
      </c>
      <c r="I78" s="124">
        <f>+'8'!K78*0.364</f>
        <v>53.507999999999996</v>
      </c>
      <c r="J78" s="124">
        <f>+'8'!L78*0.463</f>
        <v>36.114000000000004</v>
      </c>
      <c r="K78" s="125">
        <f>+'8'!D78*1.51</f>
        <v>16.61</v>
      </c>
    </row>
    <row r="79" spans="1:11">
      <c r="A79" s="44" t="s">
        <v>616</v>
      </c>
      <c r="B79" s="124">
        <f t="shared" si="14"/>
        <v>289.33760000000001</v>
      </c>
      <c r="C79" s="124"/>
      <c r="D79" s="124">
        <f>+SUM('8'!D79:G79)*0.484</f>
        <v>41.623999999999995</v>
      </c>
      <c r="E79" s="124">
        <f>+'8'!H79*0.4792</f>
        <v>18.209600000000002</v>
      </c>
      <c r="F79" s="124">
        <f>+'8'!I79*0.477</f>
        <v>21.465</v>
      </c>
      <c r="G79" s="124">
        <f>+'8'!J79*0.499</f>
        <v>114.77</v>
      </c>
      <c r="H79" s="124">
        <f>+'8'!K79*0.138</f>
        <v>17.112000000000002</v>
      </c>
      <c r="I79" s="124">
        <f>+'8'!K79*0.364</f>
        <v>45.135999999999996</v>
      </c>
      <c r="J79" s="124">
        <f>+'8'!L79*0.463</f>
        <v>31.021000000000001</v>
      </c>
      <c r="K79" s="125">
        <f>+'8'!D79*1.51</f>
        <v>15.1</v>
      </c>
    </row>
    <row r="80" spans="1:11">
      <c r="A80" s="44" t="s">
        <v>617</v>
      </c>
      <c r="B80" s="124">
        <f t="shared" si="14"/>
        <v>147.5874</v>
      </c>
      <c r="C80" s="124"/>
      <c r="D80" s="124">
        <f>+SUM('8'!D80:G80)*0.484</f>
        <v>21.295999999999999</v>
      </c>
      <c r="E80" s="124">
        <f>+'8'!H80*0.4792</f>
        <v>8.1463999999999999</v>
      </c>
      <c r="F80" s="124">
        <f>+'8'!I80*0.477</f>
        <v>10.494</v>
      </c>
      <c r="G80" s="124">
        <f>+'8'!J80*0.499</f>
        <v>56.886000000000003</v>
      </c>
      <c r="H80" s="124">
        <f>+'8'!K80*0.138</f>
        <v>9.2460000000000004</v>
      </c>
      <c r="I80" s="124">
        <f>+'8'!K80*0.364</f>
        <v>24.387999999999998</v>
      </c>
      <c r="J80" s="124">
        <f>+'8'!L80*0.463</f>
        <v>17.131</v>
      </c>
      <c r="K80" s="125">
        <f>+'8'!D80*1.51</f>
        <v>9.06</v>
      </c>
    </row>
    <row r="81" spans="1:11">
      <c r="A81" s="44" t="s">
        <v>618</v>
      </c>
      <c r="B81" s="124">
        <f t="shared" si="14"/>
        <v>120.069</v>
      </c>
      <c r="C81" s="124"/>
      <c r="D81" s="124">
        <f>+SUM('8'!D81:G81)*0.484</f>
        <v>18.391999999999999</v>
      </c>
      <c r="E81" s="124">
        <f>+'8'!H81*0.4792</f>
        <v>7.1880000000000006</v>
      </c>
      <c r="F81" s="124">
        <f>+'8'!I81*0.477</f>
        <v>9.5399999999999991</v>
      </c>
      <c r="G81" s="124">
        <f>+'8'!J81*0.499</f>
        <v>43.911999999999999</v>
      </c>
      <c r="H81" s="124">
        <f>+'8'!K81*0.138</f>
        <v>7.5900000000000007</v>
      </c>
      <c r="I81" s="124">
        <f>+'8'!K81*0.364</f>
        <v>20.02</v>
      </c>
      <c r="J81" s="124">
        <f>+'8'!L81*0.463</f>
        <v>13.427000000000001</v>
      </c>
      <c r="K81" s="125">
        <f>+'8'!D81*1.51</f>
        <v>7.55</v>
      </c>
    </row>
    <row r="82" spans="1:11">
      <c r="A82" s="44" t="s">
        <v>619</v>
      </c>
      <c r="B82" s="124">
        <f t="shared" si="14"/>
        <v>777.721</v>
      </c>
      <c r="C82" s="124"/>
      <c r="D82" s="124">
        <f>+SUM('8'!D82:G82)*0.484</f>
        <v>107.932</v>
      </c>
      <c r="E82" s="124">
        <f>+'8'!H82*0.4792</f>
        <v>52.712000000000003</v>
      </c>
      <c r="F82" s="124">
        <f>+'8'!I82*0.477</f>
        <v>53.423999999999999</v>
      </c>
      <c r="G82" s="124">
        <f>+'8'!J82*0.498</f>
        <v>300.79199999999997</v>
      </c>
      <c r="H82" s="124">
        <f>+'8'!K82*0.138</f>
        <v>48.714000000000006</v>
      </c>
      <c r="I82" s="124">
        <f>+'8'!K82*0.364</f>
        <v>128.49199999999999</v>
      </c>
      <c r="J82" s="124">
        <f>+'8'!L82*0.463</f>
        <v>85.655000000000001</v>
      </c>
      <c r="K82" s="125">
        <f>+'8'!D82*1.51</f>
        <v>30.2</v>
      </c>
    </row>
    <row r="83" spans="1:11">
      <c r="A83" s="44" t="s">
        <v>620</v>
      </c>
      <c r="B83" s="124">
        <f t="shared" si="14"/>
        <v>117.01620000000001</v>
      </c>
      <c r="C83" s="124"/>
      <c r="D83" s="124">
        <f>+SUM('8'!D83:G83)*0.484</f>
        <v>18.391999999999999</v>
      </c>
      <c r="E83" s="124">
        <f>+'8'!H83*0.4792</f>
        <v>7.6672000000000002</v>
      </c>
      <c r="F83" s="124">
        <f>+'8'!I83*0.477</f>
        <v>9.0629999999999988</v>
      </c>
      <c r="G83" s="124">
        <f>+'8'!J83*0.498</f>
        <v>41.832000000000001</v>
      </c>
      <c r="H83" s="124">
        <f>+'8'!K83*0.138</f>
        <v>7.3140000000000009</v>
      </c>
      <c r="I83" s="124">
        <f>+'8'!K83*0.364</f>
        <v>19.291999999999998</v>
      </c>
      <c r="J83" s="124">
        <f>+'8'!L83*0.464</f>
        <v>13.456000000000001</v>
      </c>
      <c r="K83" s="125">
        <f>+'8'!D83*1.51</f>
        <v>7.55</v>
      </c>
    </row>
    <row r="84" spans="1:11">
      <c r="A84" s="44"/>
      <c r="B84" s="124"/>
      <c r="C84" s="124"/>
      <c r="D84" s="1143"/>
      <c r="E84" s="1143"/>
      <c r="F84" s="1143"/>
      <c r="G84" s="1143"/>
      <c r="H84" s="1143"/>
      <c r="I84" s="1143"/>
      <c r="J84" s="1143"/>
      <c r="K84" s="125"/>
    </row>
    <row r="85" spans="1:11">
      <c r="A85" s="126" t="s">
        <v>621</v>
      </c>
      <c r="B85" s="124">
        <f t="shared" si="14"/>
        <v>81589.688400000014</v>
      </c>
      <c r="C85" s="127" t="s">
        <v>565</v>
      </c>
      <c r="D85" s="124">
        <f t="shared" ref="D85:K85" si="15">+D73+D67+D61+D56+D43+D37</f>
        <v>11494.8174</v>
      </c>
      <c r="E85" s="124">
        <f t="shared" si="15"/>
        <v>5694.9277000000002</v>
      </c>
      <c r="F85" s="124">
        <f t="shared" si="15"/>
        <v>6010.6270000000004</v>
      </c>
      <c r="G85" s="124">
        <f t="shared" si="15"/>
        <v>28689.905000000002</v>
      </c>
      <c r="H85" s="124">
        <f t="shared" si="15"/>
        <v>5240.3856000000005</v>
      </c>
      <c r="I85" s="124">
        <f t="shared" si="15"/>
        <v>14584.697400000001</v>
      </c>
      <c r="J85" s="124">
        <f t="shared" si="15"/>
        <v>9874.328300000001</v>
      </c>
      <c r="K85" s="125">
        <f t="shared" si="15"/>
        <v>3496.9840000000004</v>
      </c>
    </row>
    <row r="86" spans="1:11">
      <c r="A86" s="44"/>
      <c r="B86" s="124"/>
      <c r="C86" s="124"/>
      <c r="D86" s="124"/>
      <c r="E86" s="124"/>
      <c r="F86" s="124"/>
      <c r="G86" s="124"/>
      <c r="H86" s="124"/>
      <c r="I86" s="124"/>
      <c r="J86" s="124"/>
      <c r="K86" s="125"/>
    </row>
    <row r="87" spans="1:11" ht="18.75" customHeight="1">
      <c r="A87" s="133" t="s">
        <v>622</v>
      </c>
      <c r="B87" s="134">
        <f t="shared" si="14"/>
        <v>138987.3112</v>
      </c>
      <c r="C87" s="135" t="s">
        <v>565</v>
      </c>
      <c r="D87" s="134">
        <f t="shared" ref="D87:K87" si="16">+D34+D85</f>
        <v>19305.256399999998</v>
      </c>
      <c r="E87" s="144">
        <f t="shared" si="16"/>
        <v>9597.8491000000013</v>
      </c>
      <c r="F87" s="144">
        <f t="shared" si="16"/>
        <v>10082.048699999999</v>
      </c>
      <c r="G87" s="144">
        <f t="shared" si="16"/>
        <v>49216.737399999998</v>
      </c>
      <c r="H87" s="144">
        <f t="shared" si="16"/>
        <v>9270.9747000000007</v>
      </c>
      <c r="I87" s="144">
        <f t="shared" si="16"/>
        <v>24817.484</v>
      </c>
      <c r="J87" s="144">
        <f t="shared" si="16"/>
        <v>16696.960900000002</v>
      </c>
      <c r="K87" s="145">
        <f t="shared" si="16"/>
        <v>5803.3160000000007</v>
      </c>
    </row>
    <row r="88" spans="1:11">
      <c r="A88" t="str">
        <f>+'8'!A88</f>
        <v>Nota: *  Proyección  Censo  2002</v>
      </c>
    </row>
    <row r="89" spans="1:11">
      <c r="B89" s="118"/>
      <c r="D89" s="118"/>
      <c r="E89" s="118"/>
      <c r="F89" s="118"/>
      <c r="G89" s="118"/>
      <c r="H89" s="118"/>
      <c r="I89" s="118"/>
      <c r="J89" s="118"/>
      <c r="K89" s="118"/>
    </row>
    <row r="90" spans="1:11">
      <c r="D90" s="118"/>
      <c r="E90" s="118"/>
      <c r="F90" s="118"/>
      <c r="G90" s="118"/>
      <c r="H90" s="118"/>
      <c r="I90" s="118"/>
      <c r="J90" s="118"/>
      <c r="K90" s="118"/>
    </row>
  </sheetData>
  <phoneticPr fontId="19" type="noConversion"/>
  <pageMargins left="1.5748031496062993" right="0.74" top="0.62" bottom="0.59055118110236227" header="0.51181102362204722" footer="0.51181102362204722"/>
  <pageSetup paperSize="5" scale="75" orientation="portrait" horizontalDpi="300" verticalDpi="300" r:id="rId1"/>
  <headerFooter alignWithMargins="0"/>
  <ignoredErrors>
    <ignoredError sqref="D1:D1048576"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1"/>
  <sheetViews>
    <sheetView topLeftCell="A64" workbookViewId="0">
      <selection activeCell="F29" sqref="F29"/>
    </sheetView>
  </sheetViews>
  <sheetFormatPr baseColWidth="10" defaultRowHeight="12.75"/>
  <sheetData>
    <row r="1" spans="1:3" ht="36">
      <c r="A1" s="75" t="s">
        <v>505</v>
      </c>
      <c r="B1" s="1371">
        <v>1990</v>
      </c>
      <c r="C1" s="1372"/>
    </row>
    <row r="2" spans="1:3">
      <c r="A2" s="76" t="s">
        <v>506</v>
      </c>
      <c r="B2" t="s">
        <v>507</v>
      </c>
      <c r="C2" t="s">
        <v>508</v>
      </c>
    </row>
    <row r="3" spans="1:3">
      <c r="A3" s="77" t="s">
        <v>509</v>
      </c>
      <c r="B3">
        <f>SUM(B4:B20)</f>
        <v>-95851</v>
      </c>
      <c r="C3">
        <v>95510</v>
      </c>
    </row>
    <row r="4" spans="1:3">
      <c r="A4" s="78" t="s">
        <v>510</v>
      </c>
      <c r="B4">
        <v>-10691</v>
      </c>
      <c r="C4">
        <v>10398</v>
      </c>
    </row>
    <row r="5" spans="1:3">
      <c r="A5" s="78" t="s">
        <v>511</v>
      </c>
      <c r="B5">
        <v>-9882</v>
      </c>
      <c r="C5">
        <v>9628</v>
      </c>
    </row>
    <row r="6" spans="1:3">
      <c r="A6" s="78" t="s">
        <v>512</v>
      </c>
      <c r="B6">
        <v>-9065</v>
      </c>
      <c r="C6">
        <v>8566</v>
      </c>
    </row>
    <row r="7" spans="1:3">
      <c r="A7" s="78" t="s">
        <v>513</v>
      </c>
      <c r="B7">
        <v>-8589</v>
      </c>
      <c r="C7">
        <v>8468</v>
      </c>
    </row>
    <row r="8" spans="1:3">
      <c r="A8" s="78" t="s">
        <v>514</v>
      </c>
      <c r="B8">
        <v>-8182</v>
      </c>
      <c r="C8">
        <v>8273</v>
      </c>
    </row>
    <row r="9" spans="1:3">
      <c r="A9" s="78" t="s">
        <v>515</v>
      </c>
      <c r="B9">
        <v>-9329</v>
      </c>
      <c r="C9">
        <v>9153</v>
      </c>
    </row>
    <row r="10" spans="1:3">
      <c r="A10" s="78" t="s">
        <v>516</v>
      </c>
      <c r="B10">
        <v>-8085</v>
      </c>
      <c r="C10">
        <v>7794</v>
      </c>
    </row>
    <row r="11" spans="1:3">
      <c r="A11" s="78" t="s">
        <v>517</v>
      </c>
      <c r="B11">
        <v>-6485</v>
      </c>
      <c r="C11">
        <v>6425</v>
      </c>
    </row>
    <row r="12" spans="1:3">
      <c r="A12" s="78" t="s">
        <v>518</v>
      </c>
      <c r="B12">
        <v>-5697</v>
      </c>
      <c r="C12">
        <v>5440</v>
      </c>
    </row>
    <row r="13" spans="1:3">
      <c r="A13" s="78" t="s">
        <v>519</v>
      </c>
      <c r="B13">
        <v>-4926</v>
      </c>
      <c r="C13">
        <v>4615</v>
      </c>
    </row>
    <row r="14" spans="1:3">
      <c r="A14" s="78" t="s">
        <v>520</v>
      </c>
      <c r="B14">
        <v>-3596</v>
      </c>
      <c r="C14">
        <v>3579</v>
      </c>
    </row>
    <row r="15" spans="1:3">
      <c r="A15" s="78" t="s">
        <v>521</v>
      </c>
      <c r="B15">
        <v>-3190</v>
      </c>
      <c r="C15">
        <v>3395</v>
      </c>
    </row>
    <row r="16" spans="1:3">
      <c r="A16" s="78" t="s">
        <v>522</v>
      </c>
      <c r="B16">
        <v>-2747</v>
      </c>
      <c r="C16">
        <v>3067</v>
      </c>
    </row>
    <row r="17" spans="1:3">
      <c r="A17" s="78" t="s">
        <v>523</v>
      </c>
      <c r="B17">
        <v>-1966</v>
      </c>
      <c r="C17">
        <v>2348</v>
      </c>
    </row>
    <row r="18" spans="1:3">
      <c r="A18" s="78" t="s">
        <v>524</v>
      </c>
      <c r="B18">
        <v>-1668</v>
      </c>
      <c r="C18">
        <v>1893</v>
      </c>
    </row>
    <row r="19" spans="1:3">
      <c r="A19" s="78" t="s">
        <v>525</v>
      </c>
      <c r="B19">
        <v>-969</v>
      </c>
      <c r="C19">
        <v>1312</v>
      </c>
    </row>
    <row r="20" spans="1:3">
      <c r="A20" s="79" t="s">
        <v>526</v>
      </c>
      <c r="B20">
        <v>-784</v>
      </c>
      <c r="C20">
        <v>1156</v>
      </c>
    </row>
    <row r="21" spans="1:3">
      <c r="A21" s="78"/>
    </row>
    <row r="22" spans="1:3">
      <c r="A22" s="78"/>
    </row>
    <row r="23" spans="1:3">
      <c r="A23" s="78"/>
    </row>
    <row r="24" spans="1:3">
      <c r="A24" s="78"/>
    </row>
    <row r="25" spans="1:3">
      <c r="A25" s="78" t="s">
        <v>510</v>
      </c>
      <c r="B25">
        <v>-10040</v>
      </c>
      <c r="C25">
        <v>9626</v>
      </c>
    </row>
    <row r="26" spans="1:3">
      <c r="A26" s="78" t="s">
        <v>511</v>
      </c>
      <c r="B26">
        <v>-10161</v>
      </c>
      <c r="C26">
        <v>9678</v>
      </c>
    </row>
    <row r="27" spans="1:3">
      <c r="A27" s="78" t="s">
        <v>512</v>
      </c>
      <c r="B27">
        <v>-10300</v>
      </c>
      <c r="C27">
        <v>9601</v>
      </c>
    </row>
    <row r="28" spans="1:3">
      <c r="A28" s="78" t="s">
        <v>513</v>
      </c>
      <c r="B28">
        <v>-11200</v>
      </c>
      <c r="C28">
        <v>10084</v>
      </c>
    </row>
    <row r="29" spans="1:3">
      <c r="A29" s="78" t="s">
        <v>514</v>
      </c>
      <c r="B29">
        <v>-11694</v>
      </c>
      <c r="C29">
        <v>11017</v>
      </c>
    </row>
    <row r="30" spans="1:3">
      <c r="A30" s="78" t="s">
        <v>515</v>
      </c>
      <c r="B30">
        <v>-11294</v>
      </c>
      <c r="C30">
        <v>10781</v>
      </c>
    </row>
    <row r="31" spans="1:3">
      <c r="A31" s="78" t="s">
        <v>516</v>
      </c>
      <c r="B31">
        <v>-10675</v>
      </c>
      <c r="C31">
        <v>9897</v>
      </c>
    </row>
    <row r="32" spans="1:3">
      <c r="A32" s="78" t="s">
        <v>517</v>
      </c>
      <c r="B32">
        <v>-8001</v>
      </c>
      <c r="C32">
        <v>8357</v>
      </c>
    </row>
    <row r="33" spans="1:3">
      <c r="A33" s="78" t="s">
        <v>518</v>
      </c>
      <c r="B33">
        <v>-8564</v>
      </c>
      <c r="C33">
        <v>9156</v>
      </c>
    </row>
    <row r="34" spans="1:3">
      <c r="A34" s="78" t="s">
        <v>519</v>
      </c>
      <c r="B34">
        <v>-8607</v>
      </c>
      <c r="C34">
        <v>9271</v>
      </c>
    </row>
    <row r="35" spans="1:3">
      <c r="A35" s="78" t="s">
        <v>520</v>
      </c>
      <c r="B35">
        <v>-9194</v>
      </c>
      <c r="C35">
        <v>9817</v>
      </c>
    </row>
    <row r="36" spans="1:3">
      <c r="A36" s="78" t="s">
        <v>521</v>
      </c>
      <c r="B36">
        <v>-7779</v>
      </c>
      <c r="C36">
        <v>8295</v>
      </c>
    </row>
    <row r="37" spans="1:3">
      <c r="A37" s="78" t="s">
        <v>522</v>
      </c>
      <c r="B37">
        <v>-6211</v>
      </c>
      <c r="C37">
        <v>6708</v>
      </c>
    </row>
    <row r="38" spans="1:3">
      <c r="A38" s="78" t="s">
        <v>523</v>
      </c>
      <c r="B38">
        <v>-5172</v>
      </c>
      <c r="C38">
        <v>5467</v>
      </c>
    </row>
    <row r="39" spans="1:3">
      <c r="A39" s="78" t="s">
        <v>524</v>
      </c>
      <c r="B39">
        <v>-4002</v>
      </c>
      <c r="C39">
        <v>4380</v>
      </c>
    </row>
    <row r="40" spans="1:3">
      <c r="A40" s="78" t="s">
        <v>525</v>
      </c>
      <c r="B40">
        <v>-2509</v>
      </c>
      <c r="C40">
        <v>3021</v>
      </c>
    </row>
    <row r="41" spans="1:3">
      <c r="A41" s="79" t="s">
        <v>526</v>
      </c>
      <c r="B41">
        <v>-2594</v>
      </c>
      <c r="C41">
        <v>3832</v>
      </c>
    </row>
    <row r="42" spans="1:3">
      <c r="A42" s="80"/>
    </row>
    <row r="43" spans="1:3">
      <c r="A43" s="81"/>
    </row>
    <row r="44" spans="1:3">
      <c r="A44" s="81"/>
    </row>
    <row r="45" spans="1:3">
      <c r="A45" s="81"/>
    </row>
    <row r="46" spans="1:3">
      <c r="A46" s="81"/>
    </row>
    <row r="47" spans="1:3">
      <c r="A47" s="81"/>
    </row>
    <row r="48" spans="1:3">
      <c r="A48" s="81"/>
    </row>
    <row r="49" spans="1:1">
      <c r="A49" s="81"/>
    </row>
    <row r="50" spans="1:1">
      <c r="A50" s="81"/>
    </row>
    <row r="51" spans="1:1">
      <c r="A51" s="81"/>
    </row>
    <row r="52" spans="1:1">
      <c r="A52" s="81"/>
    </row>
    <row r="53" spans="1:1">
      <c r="A53" s="81"/>
    </row>
    <row r="54" spans="1:1">
      <c r="A54" s="81"/>
    </row>
    <row r="55" spans="1:1">
      <c r="A55" s="81"/>
    </row>
    <row r="56" spans="1:1">
      <c r="A56" s="81"/>
    </row>
    <row r="57" spans="1:1">
      <c r="A57" s="81"/>
    </row>
    <row r="58" spans="1:1">
      <c r="A58" s="81"/>
    </row>
    <row r="59" spans="1:1">
      <c r="A59" s="81"/>
    </row>
    <row r="60" spans="1:1">
      <c r="A60" s="81"/>
    </row>
    <row r="61" spans="1:1">
      <c r="A61" s="81"/>
    </row>
    <row r="62" spans="1:1">
      <c r="A62" s="81"/>
    </row>
    <row r="63" spans="1:1">
      <c r="A63" s="81"/>
    </row>
    <row r="64" spans="1:1">
      <c r="A64" s="81"/>
    </row>
    <row r="65" spans="1:1">
      <c r="A65" s="81"/>
    </row>
    <row r="66" spans="1:1">
      <c r="A66" s="81"/>
    </row>
    <row r="67" spans="1:1">
      <c r="A67" s="81"/>
    </row>
    <row r="68" spans="1:1">
      <c r="A68" s="81"/>
    </row>
    <row r="69" spans="1:1">
      <c r="A69" s="81"/>
    </row>
    <row r="70" spans="1:1">
      <c r="A70" s="81"/>
    </row>
    <row r="71" spans="1:1">
      <c r="A71" s="81"/>
    </row>
    <row r="72" spans="1:1">
      <c r="A72" s="81"/>
    </row>
    <row r="73" spans="1:1">
      <c r="A73" s="81"/>
    </row>
    <row r="74" spans="1:1">
      <c r="A74" s="81"/>
    </row>
    <row r="75" spans="1:1">
      <c r="A75" s="81"/>
    </row>
    <row r="76" spans="1:1">
      <c r="A76" s="81"/>
    </row>
    <row r="77" spans="1:1">
      <c r="A77" s="81"/>
    </row>
    <row r="78" spans="1:1">
      <c r="A78" s="81"/>
    </row>
    <row r="79" spans="1:1">
      <c r="A79" s="81"/>
    </row>
    <row r="80" spans="1:1">
      <c r="A80" s="81"/>
    </row>
    <row r="81" spans="1:1">
      <c r="A81" s="81"/>
    </row>
  </sheetData>
  <mergeCells count="1">
    <mergeCell ref="B1:C1"/>
  </mergeCells>
  <phoneticPr fontId="19" type="noConversion"/>
  <pageMargins left="1.9685039370078741" right="0.78740157480314965" top="1.3779527559055118" bottom="0.98425196850393704" header="0.51181102362204722" footer="0"/>
  <pageSetup paperSize="5" orientation="portrait"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
  <sheetViews>
    <sheetView topLeftCell="A37" zoomScale="75" workbookViewId="0">
      <selection activeCell="M43" sqref="M43"/>
    </sheetView>
  </sheetViews>
  <sheetFormatPr baseColWidth="10" defaultRowHeight="12.75"/>
  <cols>
    <col min="1" max="1" width="21.140625" customWidth="1"/>
    <col min="2" max="11" width="7.42578125" customWidth="1"/>
  </cols>
  <sheetData>
    <row r="1" spans="1:11">
      <c r="A1" s="1373" t="s">
        <v>645</v>
      </c>
      <c r="B1" s="1373"/>
      <c r="C1" s="1373"/>
      <c r="D1" s="1373"/>
      <c r="E1" s="1373"/>
      <c r="F1" s="1373"/>
      <c r="G1" s="1373"/>
      <c r="H1" s="1373"/>
      <c r="I1" s="1373"/>
      <c r="J1" s="1373"/>
      <c r="K1" s="1373"/>
    </row>
    <row r="2" spans="1:11">
      <c r="A2" s="180"/>
      <c r="B2" s="181"/>
      <c r="C2" s="181"/>
    </row>
    <row r="3" spans="1:11">
      <c r="A3" s="1373" t="s">
        <v>646</v>
      </c>
      <c r="B3" s="1373"/>
      <c r="C3" s="1373"/>
      <c r="D3" s="1373"/>
      <c r="E3" s="1373"/>
      <c r="F3" s="1373"/>
      <c r="G3" s="1373"/>
      <c r="H3" s="1373"/>
      <c r="I3" s="1373"/>
      <c r="J3" s="1373"/>
      <c r="K3" s="1373"/>
    </row>
    <row r="4" spans="1:11">
      <c r="A4" s="116"/>
    </row>
    <row r="5" spans="1:11">
      <c r="A5" s="116"/>
    </row>
    <row r="7" spans="1:11" s="6" customFormat="1" ht="30" customHeight="1">
      <c r="A7" s="67" t="s">
        <v>554</v>
      </c>
      <c r="B7" s="224">
        <v>2006</v>
      </c>
      <c r="C7" s="224">
        <v>2007</v>
      </c>
      <c r="D7" s="224">
        <v>2008</v>
      </c>
      <c r="E7" s="224">
        <v>2009</v>
      </c>
      <c r="F7" s="224">
        <v>2010</v>
      </c>
      <c r="G7" s="224">
        <v>2011</v>
      </c>
      <c r="H7" s="224">
        <v>2012</v>
      </c>
      <c r="I7" s="224">
        <v>2013</v>
      </c>
      <c r="J7" s="224">
        <v>2014</v>
      </c>
      <c r="K7" s="224">
        <v>2015</v>
      </c>
    </row>
    <row r="8" spans="1:11" s="6" customFormat="1" ht="29.25" customHeight="1">
      <c r="A8" s="53" t="s">
        <v>649</v>
      </c>
      <c r="B8" s="221">
        <f>(+'18'!$J11-'26'!$J11)/'7'!$F11*100</f>
        <v>0.81562753976547087</v>
      </c>
      <c r="C8" s="221">
        <f>(+'18'!$J12-'26'!$J12)/'7'!$F12*100</f>
        <v>0.85701655567755641</v>
      </c>
      <c r="D8" s="221">
        <f>(+'18'!$J13-'26'!$J13)/'7'!$F13*100</f>
        <v>0.83533055824188152</v>
      </c>
      <c r="E8" s="221">
        <f>(+'18'!$J14-'26'!$J14)/'7'!$F14*100</f>
        <v>0.79241486708101927</v>
      </c>
      <c r="F8" s="221">
        <f>(+'18'!$J15-'26'!$J15)/'7'!$F15*100</f>
        <v>0.91738146537122101</v>
      </c>
      <c r="G8" s="221">
        <f>(+'18'!$J16-'26'!$J16)/'7'!$F16*100</f>
        <v>0.74173881722008028</v>
      </c>
      <c r="H8" s="221">
        <f>(+'18'!$J17-'26'!$J17)/'7'!$F17*100</f>
        <v>0.75134638119006969</v>
      </c>
      <c r="I8" s="221">
        <f>(+'18'!$J18-'26'!$J18)/'7'!$F18*100</f>
        <v>0.78132074251342076</v>
      </c>
      <c r="J8" s="221">
        <f>(+'18'!$J19-'26'!$J19)/'7'!$F19*100</f>
        <v>0.7862576937290533</v>
      </c>
      <c r="K8" s="221">
        <f>(+'18'!$J20-'26'!$J20)/'7'!$F20*100</f>
        <v>0.67933247108755979</v>
      </c>
    </row>
    <row r="9" spans="1:11" s="6" customFormat="1" ht="29.25" customHeight="1">
      <c r="A9" s="53" t="s">
        <v>650</v>
      </c>
      <c r="B9" s="221">
        <f>(+'18'!$L11-'26'!$L11)/'7'!$G11*100</f>
        <v>0.92524056254626208</v>
      </c>
      <c r="C9" s="221">
        <f>(+'18'!$L12-'26'!$L12)/'7'!$G12*100</f>
        <v>0.81374870954029277</v>
      </c>
      <c r="D9" s="221">
        <f>(+'18'!$L13-'26'!$L13)/'7'!$G13*100</f>
        <v>1.0046044370029301</v>
      </c>
      <c r="E9" s="221">
        <f>(+'18'!$L14-'26'!$L14)/'7'!$G14*100</f>
        <v>1.1375692561593775</v>
      </c>
      <c r="F9" s="221">
        <f>(+'18'!$L15-'26'!$L15)/'7'!$G15*100</f>
        <v>0.87698919735160874</v>
      </c>
      <c r="G9" s="221">
        <f>(+'18'!$L16-'26'!$L16)/'7'!$G16*100</f>
        <v>0.80243021722932306</v>
      </c>
      <c r="H9" s="221">
        <f>(+'18'!$L17-'26'!$L17)/'7'!$G17*100</f>
        <v>0.92775923516433789</v>
      </c>
      <c r="I9" s="221">
        <f>(+'18'!$L18-'26'!$L18)/'7'!$G18*100</f>
        <v>0.98296565205249942</v>
      </c>
      <c r="J9" s="221">
        <f>(+'18'!$L19-'26'!$L19)/'7'!$G19*100</f>
        <v>0.80480679124634802</v>
      </c>
      <c r="K9" s="221">
        <f>(+'18'!$L20-'26'!$L20)/'7'!$G20*100</f>
        <v>0.55546479333442256</v>
      </c>
    </row>
    <row r="10" spans="1:11" s="6" customFormat="1" ht="29.25" customHeight="1">
      <c r="A10" s="53" t="s">
        <v>440</v>
      </c>
      <c r="B10" s="221">
        <f>(+'18'!$N11-'26'!$N11)/'7'!$H11*100</f>
        <v>0.91541559868180156</v>
      </c>
      <c r="C10" s="221">
        <f>(+'18'!$N12-'26'!$N12)/'7'!$H12*100</f>
        <v>0.81152548554755177</v>
      </c>
      <c r="D10" s="221">
        <f>(+'18'!$N13-'26'!$N13)/'7'!$H13*100</f>
        <v>0.91868291795524826</v>
      </c>
      <c r="E10" s="221">
        <f>(+'18'!$N14-'26'!$N14)/'7'!$H14*100</f>
        <v>0.89747076420995364</v>
      </c>
      <c r="F10" s="221">
        <f>(+'18'!$N15-'26'!$N15)/'7'!$H15*100</f>
        <v>1.1295861196457619</v>
      </c>
      <c r="G10" s="221">
        <f>(+'18'!$N16-'26'!$N16)/'7'!$H16*100</f>
        <v>0.93879761689835717</v>
      </c>
      <c r="H10" s="221">
        <f>(+'18'!$N17-'26'!$N17)/'7'!$H17*100</f>
        <v>1.2352357767559283</v>
      </c>
      <c r="I10" s="221">
        <f>(+'18'!$N18-'26'!$N18)/'7'!$H18*100</f>
        <v>1.0263797605113893</v>
      </c>
      <c r="J10" s="221">
        <f>(+'18'!$N19-'26'!$N19)/'7'!$H19*100</f>
        <v>0.7289416846652268</v>
      </c>
      <c r="K10" s="221">
        <f>(+'18'!$N20-'26'!$N20)/'7'!$H20*100</f>
        <v>1.311769991015274</v>
      </c>
    </row>
    <row r="11" spans="1:11" s="6" customFormat="1" ht="29.25" customHeight="1">
      <c r="A11" s="53" t="s">
        <v>447</v>
      </c>
      <c r="B11" s="221">
        <f>(+'18'!$P11-'26'!$P11)/'7'!$I11*100</f>
        <v>0.86956521739130432</v>
      </c>
      <c r="C11" s="221">
        <f>(+'18'!$P12-'26'!$P12)/'7'!$I12*100</f>
        <v>0.84410445792666855</v>
      </c>
      <c r="D11" s="221">
        <f>(+'18'!$P13-'26'!$P13)/'7'!$I13*100</f>
        <v>0.96128864640166278</v>
      </c>
      <c r="E11" s="221">
        <f>(+'18'!$P14-'26'!$P14)/'7'!$I14*100</f>
        <v>1.2820512820512819</v>
      </c>
      <c r="F11" s="221">
        <f>(+'18'!$P15-'26'!$P15)/'7'!$I15*100</f>
        <v>1.441213653603034</v>
      </c>
      <c r="G11" s="221">
        <f>(+'18'!$P16-'26'!$P16)/'7'!$I16*100</f>
        <v>1.2873390826146731</v>
      </c>
      <c r="H11" s="221">
        <f>(+'18'!$P17-'26'!$P17)/'7'!$I17*100</f>
        <v>1.2493814943097477</v>
      </c>
      <c r="I11" s="221">
        <f>(+'18'!$P18-'26'!$P18)/'7'!$I18*100</f>
        <v>1.1859640542853651</v>
      </c>
      <c r="J11" s="221">
        <f>(+'18'!$P19-'26'!$P19)/'7'!$I19*100</f>
        <v>0.93085106382978722</v>
      </c>
      <c r="K11" s="221">
        <f>(+'18'!$P20-'26'!$P20)/'7'!$I20*100</f>
        <v>1.0877360745876166</v>
      </c>
    </row>
    <row r="12" spans="1:11" s="6" customFormat="1" ht="29.25" customHeight="1">
      <c r="A12" s="53" t="s">
        <v>651</v>
      </c>
      <c r="B12" s="221">
        <f>(+'18'!$H11-'26'!$H11)/'7'!$E11*100</f>
        <v>0.84722020963145428</v>
      </c>
      <c r="C12" s="221">
        <f>(+'18'!$H12-'26'!$H12)/'7'!$E12*100</f>
        <v>0.8445640698857747</v>
      </c>
      <c r="D12" s="221">
        <f>(+'18'!$H13-'26'!$H13)/'7'!$E13*100</f>
        <v>0.87950994717320452</v>
      </c>
      <c r="E12" s="221">
        <f>(+'18'!$H14-'26'!$H14)/'7'!$E14*100</f>
        <v>0.89239571797711337</v>
      </c>
      <c r="F12" s="221">
        <f>(+'18'!$H15-'26'!$H15)/'7'!$E15*100</f>
        <v>0.97007937013028345</v>
      </c>
      <c r="G12" s="221">
        <f>(+'18'!$H16-'26'!$H16)/'7'!$E16*100</f>
        <v>0.8099744360227833</v>
      </c>
      <c r="H12" s="221">
        <f>(+'18'!$H17-'26'!$H17)/'7'!$E17*100</f>
        <v>0.86208422580588051</v>
      </c>
      <c r="I12" s="221">
        <f>(+'18'!$H18-'26'!$H18)/'7'!$E18*100</f>
        <v>0.8655324203465623</v>
      </c>
      <c r="J12" s="221">
        <f>(+'18'!$H19-'26'!$H19)/'7'!$E19*100</f>
        <v>0.79397920653804377</v>
      </c>
      <c r="K12" s="221">
        <f>(+'18'!$H20-'26'!$H20)/'7'!$E20*100</f>
        <v>0.74896166678014564</v>
      </c>
    </row>
    <row r="13" spans="1:11" s="6" customFormat="1" ht="15" customHeight="1">
      <c r="A13" s="53"/>
      <c r="B13" s="44"/>
      <c r="C13" s="44"/>
      <c r="D13" s="44"/>
      <c r="E13" s="44"/>
      <c r="F13" s="44"/>
      <c r="G13" s="44"/>
      <c r="H13" s="44"/>
      <c r="I13" s="44"/>
      <c r="J13" s="44"/>
      <c r="K13" s="44"/>
    </row>
    <row r="14" spans="1:11" s="6" customFormat="1" ht="29.25" customHeight="1">
      <c r="A14" s="53" t="s">
        <v>652</v>
      </c>
      <c r="B14" s="221">
        <f>(+'18'!$T11-'26'!$T11)/'7'!$K11*100</f>
        <v>1.0100309391345368</v>
      </c>
      <c r="C14" s="221">
        <f>(+'18'!$T12-'26'!$T12)/'7'!$K12*100</f>
        <v>1.0319987971404749</v>
      </c>
      <c r="D14" s="221">
        <f>(+'18'!$T13-'26'!$T13)/'7'!$K13*100</f>
        <v>1.0749356789740965</v>
      </c>
      <c r="E14" s="221">
        <f>(+'18'!$T14-'26'!$T14)/'7'!$K14*100</f>
        <v>0.95349393110408742</v>
      </c>
      <c r="F14" s="221">
        <f>(+'18'!$T15-'26'!$T15)/'7'!$K15*100</f>
        <v>0.98586017282010996</v>
      </c>
      <c r="G14" s="221">
        <f>(+'18'!$T16-'26'!$T16)/'7'!$K16*100</f>
        <v>0.93547303408532956</v>
      </c>
      <c r="H14" s="221">
        <f>(+'18'!$T17-'26'!$T17)/'7'!$K17*100</f>
        <v>0.94991584638139448</v>
      </c>
      <c r="I14" s="221">
        <f>(+'18'!$T18-'26'!$T18)/'7'!$K18*100</f>
        <v>0.80549752057794444</v>
      </c>
      <c r="J14" s="221">
        <f>(+'18'!$T19-'26'!$T19)/'7'!$K19*100</f>
        <v>0.69459113557574026</v>
      </c>
      <c r="K14" s="221">
        <f>(+'18'!$T20-'26'!$T20)/'7'!$K20*100</f>
        <v>0.76196319018404912</v>
      </c>
    </row>
    <row r="15" spans="1:11" s="6" customFormat="1" ht="29.25" customHeight="1">
      <c r="A15" s="53" t="s">
        <v>411</v>
      </c>
      <c r="B15" s="221">
        <f>(+'18'!$V11-'26'!$V11)/'7'!$L11*100</f>
        <v>0.51421844991016663</v>
      </c>
      <c r="C15" s="221">
        <f>(+'18'!$V12-'26'!$V12)/'7'!$L12*100</f>
        <v>0.34271725826193389</v>
      </c>
      <c r="D15" s="221">
        <f>(+'18'!$V13-'26'!$V13)/'7'!$L13*100</f>
        <v>0.56828486790399613</v>
      </c>
      <c r="E15" s="221">
        <f>(+'18'!$V14-'26'!$V14)/'7'!$L14*100</f>
        <v>0.56136160047775452</v>
      </c>
      <c r="F15" s="221">
        <f>(+'18'!$V15-'26'!$V15)/'7'!$L15*100</f>
        <v>0.47180938900684127</v>
      </c>
      <c r="G15" s="221">
        <f>(+'18'!$V16-'26'!$V16)/'7'!$L16*100</f>
        <v>0.50737738379891517</v>
      </c>
      <c r="H15" s="221">
        <f>(+'18'!$V17-'26'!$V17)/'7'!$L17*100</f>
        <v>0.48454083987078911</v>
      </c>
      <c r="I15" s="221">
        <f>(+'18'!$V18-'26'!$V18)/'7'!$L18*100</f>
        <v>0.47360912981455061</v>
      </c>
      <c r="J15" s="221">
        <f>(+'18'!$V19-'26'!$V19)/'7'!$L19*100</f>
        <v>0.40641228268232105</v>
      </c>
      <c r="K15" s="221">
        <f>(+'18'!$V20-'26'!$V20)/'7'!$L20*100</f>
        <v>0.41885401541382777</v>
      </c>
    </row>
    <row r="16" spans="1:11" s="6" customFormat="1" ht="29.25" customHeight="1">
      <c r="A16" s="53" t="s">
        <v>653</v>
      </c>
      <c r="B16" s="221">
        <f>(+'18'!$X11-'26'!$X11)/'7'!$M11*100</f>
        <v>0.75344431687715274</v>
      </c>
      <c r="C16" s="221">
        <f>(+'18'!$X12-'26'!$X12)/'7'!$M12*100</f>
        <v>0.90378593794477657</v>
      </c>
      <c r="D16" s="221">
        <f>(+'18'!$X13-'26'!$X13)/'7'!$M13*100</f>
        <v>0.67720090293453727</v>
      </c>
      <c r="E16" s="221">
        <f>(+'18'!$X14-'26'!$X14)/'7'!$M14*100</f>
        <v>0.75408462505236695</v>
      </c>
      <c r="F16" s="221">
        <f>(+'18'!$X15-'26'!$X15)/'7'!$M15*100</f>
        <v>0.67885840953172627</v>
      </c>
      <c r="G16" s="221">
        <f>(+'18'!$X16-'26'!$X16)/'7'!$M16*100</f>
        <v>1.1826182618261827</v>
      </c>
      <c r="H16" s="221">
        <f>(+'18'!$X17-'26'!$X17)/'7'!$M17*100</f>
        <v>0.75075075075075071</v>
      </c>
      <c r="I16" s="221">
        <f>(+'18'!$X18-'26'!$X18)/'7'!$M18*100</f>
        <v>0.90828983935470764</v>
      </c>
      <c r="J16" s="221">
        <f>(+'18'!$X19-'26'!$X19)/'7'!$M19*100</f>
        <v>0.59876210979547906</v>
      </c>
      <c r="K16" s="221">
        <f>(+'18'!$X20-'26'!$X20)/'7'!$M20*100</f>
        <v>0.82153352925460854</v>
      </c>
    </row>
    <row r="17" spans="1:11" s="6" customFormat="1" ht="29.25" customHeight="1">
      <c r="A17" s="53" t="s">
        <v>434</v>
      </c>
      <c r="B17" s="221">
        <f>(+'18'!$Z11-'26'!$Z11)/'7'!$N11*100</f>
        <v>1.0772243984331282</v>
      </c>
      <c r="C17" s="221">
        <f>(+'18'!$Z12-'26'!$Z12)/'7'!$N12*100</f>
        <v>0.65096952908587258</v>
      </c>
      <c r="D17" s="221">
        <f>(+'18'!$Z13-'26'!$Z13)/'7'!$N13*100</f>
        <v>1.2342292923752056</v>
      </c>
      <c r="E17" s="221">
        <f>(+'18'!$Z14-'26'!$Z14)/'7'!$N14*100</f>
        <v>0.87015635622025833</v>
      </c>
      <c r="F17" s="221">
        <f>(+'18'!$Z15-'26'!$Z15)/'7'!$N15*100</f>
        <v>1.0631139819674336</v>
      </c>
      <c r="G17" s="221">
        <f>(+'18'!$Z16-'26'!$Z16)/'7'!$N16*100</f>
        <v>0.86747631122380886</v>
      </c>
      <c r="H17" s="221">
        <f>(+'18'!$Z17-'26'!$Z17)/'7'!$N17*100</f>
        <v>0.7146638433033351</v>
      </c>
      <c r="I17" s="221">
        <f>(+'18'!$Z18-'26'!$Z18)/'7'!$N18*100</f>
        <v>0.70894052776683736</v>
      </c>
      <c r="J17" s="221">
        <f>(+'18'!$Z19-'26'!$Z19)/'7'!$N19*100</f>
        <v>0.83311637594376475</v>
      </c>
      <c r="K17" s="221">
        <f>(+'18'!$Z20-'26'!$Z20)/'7'!$N20*100</f>
        <v>0.78780834301950142</v>
      </c>
    </row>
    <row r="18" spans="1:11" s="6" customFormat="1" ht="29.25" customHeight="1">
      <c r="A18" s="53" t="s">
        <v>654</v>
      </c>
      <c r="B18" s="221">
        <f>(+'18'!$AB11-'26'!$AB11)/'7'!$O11*100</f>
        <v>0.83989729753252973</v>
      </c>
      <c r="C18" s="221">
        <f>(+'18'!$AB12-'26'!$AB12)/'7'!$O12*100</f>
        <v>0.77925451318238881</v>
      </c>
      <c r="D18" s="221">
        <f>(+'18'!$AB13-'26'!$AB13)/'7'!$O13*100</f>
        <v>0.74928946688485065</v>
      </c>
      <c r="E18" s="221">
        <f>(+'18'!$AB14-'26'!$AB14)/'7'!$O14*100</f>
        <v>0.90807847168679867</v>
      </c>
      <c r="F18" s="221">
        <f>(+'18'!$AB15-'26'!$AB15)/'7'!$O15*100</f>
        <v>0.92020619435095652</v>
      </c>
      <c r="G18" s="221">
        <f>(+'18'!$AB16-'26'!$AB16)/'7'!$O16*100</f>
        <v>0.73432658432021725</v>
      </c>
      <c r="H18" s="221">
        <f>(+'18'!$AB17-'26'!$AB17)/'7'!$O17*100</f>
        <v>1.0364667061511126</v>
      </c>
      <c r="I18" s="221">
        <f>(+'18'!$AB18-'26'!$AB18)/'7'!$O18*100</f>
        <v>0.93138907619689815</v>
      </c>
      <c r="J18" s="221">
        <f>(+'18'!$AB19-'26'!$AB19)/'7'!$O19*100</f>
        <v>0.9323813523729525</v>
      </c>
      <c r="K18" s="221">
        <f>(+'18'!$AB20-'26'!$AB20)/'7'!$O20*100</f>
        <v>0.79105976896032149</v>
      </c>
    </row>
    <row r="19" spans="1:11" s="6" customFormat="1" ht="29.25" customHeight="1">
      <c r="A19" s="53" t="s">
        <v>436</v>
      </c>
      <c r="B19" s="221">
        <f>(+'18'!$AD11-'26'!$AD11)/'7'!$P11*100</f>
        <v>0.99086545904938839</v>
      </c>
      <c r="C19" s="221">
        <f>(+'18'!$AD12-'26'!$AD12)/'7'!$P12*100</f>
        <v>0.76964519356576611</v>
      </c>
      <c r="D19" s="221">
        <f>(+'18'!$AD13-'26'!$AD13)/'7'!$P13*100</f>
        <v>0.9866911427260211</v>
      </c>
      <c r="E19" s="221">
        <f>(+'18'!$AD14-'26'!$AD14)/'7'!$P14*100</f>
        <v>0.88259910218367199</v>
      </c>
      <c r="F19" s="221">
        <f>(+'18'!$AD15-'26'!$AD15)/'7'!$P15*100</f>
        <v>1.2406384749224599</v>
      </c>
      <c r="G19" s="221">
        <f>(+'18'!$AD16-'26'!$AD16)/'7'!$P16*100</f>
        <v>0.79066265060240959</v>
      </c>
      <c r="H19" s="221">
        <f>(+'18'!$AD17-'26'!$AD17)/'7'!$P17*100</f>
        <v>0.79579579579579574</v>
      </c>
      <c r="I19" s="221">
        <f>(+'18'!$AD18-'26'!$AD18)/'7'!$P18*100</f>
        <v>0.82996859578286231</v>
      </c>
      <c r="J19" s="221">
        <f>(+'18'!$AD19-'26'!$AD19)/'7'!$P19*100</f>
        <v>0.89425441538117589</v>
      </c>
      <c r="K19" s="221">
        <f>(+'18'!$AD20-'26'!$AD20)/'7'!$P20*100</f>
        <v>0.68269516176907097</v>
      </c>
    </row>
    <row r="20" spans="1:11" s="6" customFormat="1" ht="29.25" customHeight="1">
      <c r="A20" s="53" t="s">
        <v>655</v>
      </c>
      <c r="B20" s="221">
        <f>(+'18'!$R11-'26'!$R11)/'7'!$J11*100</f>
        <v>0.90496491022665437</v>
      </c>
      <c r="C20" s="221">
        <f>(+'18'!$R12-'26'!$R12)/'7'!$J12*100</f>
        <v>0.86134696962475232</v>
      </c>
      <c r="D20" s="221">
        <f>(+'18'!$R13-'26'!$R13)/'7'!$J13*100</f>
        <v>0.92970338355481941</v>
      </c>
      <c r="E20" s="221">
        <f>(+'18'!$R14-'26'!$R14)/'7'!$J14*100</f>
        <v>0.87342640117699533</v>
      </c>
      <c r="F20" s="221">
        <f>(+'18'!$R15-'26'!$R15)/'7'!$J15*100</f>
        <v>0.91510582968497989</v>
      </c>
      <c r="G20" s="221">
        <f>(+'18'!$R16-'26'!$R16)/'7'!$J16*100</f>
        <v>0.86431099552200863</v>
      </c>
      <c r="H20" s="221">
        <f>(+'18'!$R17-'26'!$R17)/'7'!$J17*100</f>
        <v>0.8674885432130639</v>
      </c>
      <c r="I20" s="221">
        <f>(+'18'!$R18-'26'!$R18)/'7'!$J18*100</f>
        <v>0.79449795782705124</v>
      </c>
      <c r="J20" s="221">
        <f>(+'18'!$R19-'26'!$R19)/'7'!$J19*100</f>
        <v>0.71279356839906305</v>
      </c>
      <c r="K20" s="221">
        <f>(+'18'!$R20-'26'!$R20)/'7'!$J20*100</f>
        <v>0.72794988996106313</v>
      </c>
    </row>
    <row r="21" spans="1:11" s="6" customFormat="1" ht="29.25" customHeight="1">
      <c r="A21" s="222" t="s">
        <v>656</v>
      </c>
      <c r="B21" s="223">
        <f>(+'18'!$F11-'26'!$F11)/'7'!$D11*100</f>
        <v>0.88093151169616501</v>
      </c>
      <c r="C21" s="223">
        <f>(+'18'!$F12-'26'!$F12)/'7'!$D12*100</f>
        <v>0.85434473782370257</v>
      </c>
      <c r="D21" s="223">
        <f>(+'18'!$F13-'26'!$F13)/'7'!$D13*100</f>
        <v>0.90871346541013531</v>
      </c>
      <c r="E21" s="223">
        <f>(+'18'!$F14-'26'!$F14)/'7'!$D14*100</f>
        <v>0.88137585904174054</v>
      </c>
      <c r="F21" s="223">
        <f>(+'18'!$F15-'26'!$F15)/'7'!$D15*100</f>
        <v>0.93819448156831597</v>
      </c>
      <c r="G21" s="223">
        <f>(+'18'!$F16-'26'!$F16)/'7'!$D16*100</f>
        <v>0.84144325071158388</v>
      </c>
      <c r="H21" s="223">
        <f>(+'18'!$F17-'26'!$F17)/'7'!$D17*100</f>
        <v>0.86520947176684881</v>
      </c>
      <c r="I21" s="223">
        <f>(+'18'!$F18-'26'!$F18)/'7'!$D18*100</f>
        <v>0.8245154956504408</v>
      </c>
      <c r="J21" s="223">
        <f>(+'18'!$F19-'26'!$F19)/'7'!$D19*100</f>
        <v>0.74716755241488053</v>
      </c>
      <c r="K21" s="223">
        <f>(+'18'!$F20-'26'!$F20)/'7'!$D20*100</f>
        <v>0.73686300702204088</v>
      </c>
    </row>
    <row r="23" spans="1:11">
      <c r="K23" s="227"/>
    </row>
  </sheetData>
  <mergeCells count="2">
    <mergeCell ref="A1:K1"/>
    <mergeCell ref="A3:K3"/>
  </mergeCells>
  <phoneticPr fontId="19" type="noConversion"/>
  <pageMargins left="0.78740157480314965" right="0.78740157480314965" top="1.1811023622047245" bottom="0.78740157480314965" header="0.51181102362204722" footer="0.51181102362204722"/>
  <pageSetup paperSize="5" scale="90" orientation="portrait" horizontalDpi="300"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
  <sheetViews>
    <sheetView topLeftCell="A43" workbookViewId="0">
      <selection activeCell="L20" sqref="L20"/>
    </sheetView>
  </sheetViews>
  <sheetFormatPr baseColWidth="10" defaultRowHeight="12.75"/>
  <cols>
    <col min="1" max="1" width="18.7109375" customWidth="1"/>
    <col min="2" max="2" width="10" customWidth="1"/>
    <col min="3" max="4" width="9.5703125" customWidth="1"/>
    <col min="5" max="5" width="10" customWidth="1"/>
    <col min="6" max="9" width="8.7109375" customWidth="1"/>
    <col min="10" max="10" width="7.140625" customWidth="1"/>
    <col min="11" max="11" width="6" customWidth="1"/>
  </cols>
  <sheetData>
    <row r="1" spans="1:11">
      <c r="A1" s="146" t="s">
        <v>628</v>
      </c>
      <c r="B1" s="147"/>
      <c r="C1" s="147"/>
      <c r="D1" s="147"/>
      <c r="E1" s="147"/>
      <c r="F1" s="147"/>
      <c r="G1" s="147"/>
      <c r="H1" s="147"/>
      <c r="I1" s="147"/>
    </row>
    <row r="2" spans="1:11">
      <c r="A2" s="148" t="s">
        <v>629</v>
      </c>
      <c r="B2" s="116"/>
      <c r="C2" s="116"/>
      <c r="D2" s="116"/>
      <c r="E2" s="116"/>
      <c r="F2" s="116"/>
      <c r="G2" s="116"/>
      <c r="H2" s="116"/>
      <c r="I2" s="116"/>
    </row>
    <row r="3" spans="1:11">
      <c r="A3" s="148"/>
      <c r="B3" s="116"/>
      <c r="C3" s="116"/>
      <c r="D3" s="116"/>
      <c r="E3" s="116"/>
      <c r="F3" s="116"/>
      <c r="G3" s="116"/>
      <c r="H3" s="116"/>
      <c r="I3" s="116"/>
    </row>
    <row r="4" spans="1:11">
      <c r="A4" s="148" t="s">
        <v>1362</v>
      </c>
      <c r="B4" s="13"/>
      <c r="C4" s="13"/>
      <c r="D4" s="13"/>
      <c r="E4" s="13"/>
      <c r="F4" s="13"/>
      <c r="G4" s="13"/>
      <c r="H4" s="13"/>
      <c r="I4" s="13"/>
    </row>
    <row r="6" spans="1:11" ht="24" customHeight="1">
      <c r="A6" s="12" t="s">
        <v>532</v>
      </c>
      <c r="B6" s="149">
        <v>2009</v>
      </c>
      <c r="C6" s="149">
        <v>2010</v>
      </c>
      <c r="D6" s="149">
        <v>2011</v>
      </c>
      <c r="E6" s="149">
        <v>2012</v>
      </c>
      <c r="F6" s="149">
        <v>2013</v>
      </c>
      <c r="G6" s="149">
        <v>2014</v>
      </c>
      <c r="H6" s="149">
        <v>2015</v>
      </c>
      <c r="I6" s="1129"/>
    </row>
    <row r="7" spans="1:11" ht="23.25" customHeight="1">
      <c r="A7" s="94" t="s">
        <v>539</v>
      </c>
      <c r="B7" s="150">
        <f>+SUM('[2]2009'!$Q$250:$T$250)/SUM('[2]2009'!$D$250:$F$250)*100</f>
        <v>36.955754295128266</v>
      </c>
      <c r="C7" s="150">
        <f>+SUM('[2]2010'!$Q$250:$T$250)/SUM('[2]2010'!$D$250:$F$250)*100</f>
        <v>38.918439716312058</v>
      </c>
      <c r="D7" s="150">
        <f>+SUM('[2]2011'!$Q$250:$T$250)/SUM('[2]2011'!$D$250:$F$250)*100</f>
        <v>41.115580267360698</v>
      </c>
      <c r="E7" s="150">
        <f>+SUM('[2]2012'!$Q$250:$T$250)/SUM('[2]2012'!$D$250:$F$250)*100</f>
        <v>43.331557449831294</v>
      </c>
      <c r="F7" s="150">
        <f>+SUM('[2]2013'!$Q$250:$T$250)/SUM('[2]2013'!$D$250:$F$250)*100</f>
        <v>45.539628006160413</v>
      </c>
      <c r="G7" s="150">
        <f>+SUM('[2]2014'!$Q$250:$T$250)/SUM('[2]2014'!$D$250:$F$250)*100</f>
        <v>47.755973202110631</v>
      </c>
      <c r="H7" s="150">
        <f>+SUM('[2]2015'!$Q$250:$T$250)/SUM('[2]2015'!$D$250:$F$250)*100</f>
        <v>49.988131972466178</v>
      </c>
      <c r="I7" s="1130"/>
      <c r="J7" t="s">
        <v>1587</v>
      </c>
      <c r="K7" s="128">
        <f>+H7</f>
        <v>49.988131972466178</v>
      </c>
    </row>
    <row r="8" spans="1:11" ht="23.25" customHeight="1">
      <c r="A8" s="94" t="s">
        <v>540</v>
      </c>
      <c r="B8" s="150">
        <f>+SUM('[2]2009'!$Q$259:$T$259)/SUM('[2]2009'!$D$259:$F$259)*100</f>
        <v>41.068090787716955</v>
      </c>
      <c r="C8" s="150">
        <f>+SUM('[2]2010'!$Q$259:$T$259)/SUM('[2]2010'!$D$259:$F$259)*100</f>
        <v>43.189189189189186</v>
      </c>
      <c r="D8" s="150">
        <f>+SUM('[2]2011'!$Q$259:$T$259)/SUM('[2]2011'!$D$259:$F$259)*100</f>
        <v>45.461934435112433</v>
      </c>
      <c r="E8" s="150">
        <f>+SUM('[2]2012'!$Q$259:$T$259)/SUM('[2]2012'!$D$259:$F$259)*100</f>
        <v>47.622928552023907</v>
      </c>
      <c r="F8" s="150">
        <f>+SUM('[2]2013'!$Q$259:$T$259)/SUM('[2]2012'!$D$259:$F$259)*100</f>
        <v>49.741917957076879</v>
      </c>
      <c r="G8" s="150">
        <f>+SUM('[2]2014'!$Q$259:$T$259)/SUM('[2]2012'!$D$259:$F$259)*100</f>
        <v>51.806574300461826</v>
      </c>
      <c r="H8" s="150">
        <f>+SUM('[2]2015'!$Q$259:$T$259)/SUM('[2]2012'!$D$259:$F$259)*100</f>
        <v>53.816897582178754</v>
      </c>
      <c r="I8" s="1130"/>
      <c r="J8" t="s">
        <v>1588</v>
      </c>
      <c r="K8" s="128">
        <f>+H8</f>
        <v>53.816897582178754</v>
      </c>
    </row>
    <row r="9" spans="1:11" ht="23.25" customHeight="1">
      <c r="A9" s="94" t="s">
        <v>541</v>
      </c>
      <c r="B9" s="150">
        <f>+SUM('[2]2009'!$Q$253:$T$253)/SUM('[2]2009'!$D$253:$F$253)*100</f>
        <v>44.336569579288025</v>
      </c>
      <c r="C9" s="150">
        <f>+SUM('[2]2010'!$Q$253:$T$253)/SUM('[2]2010'!$D$253:$F$253)*100</f>
        <v>46.754857379082267</v>
      </c>
      <c r="D9" s="150">
        <f>+SUM('[2]2011'!$Q$253:$T$253)/SUM('[2]2011'!$D$253:$F$253)*100</f>
        <v>48.994974874371863</v>
      </c>
      <c r="E9" s="150">
        <f>+SUM('[2]2012'!$Q$253:$T$253)/SUM('[2]2012'!$D$253:$F$253)*100</f>
        <v>51.381215469613259</v>
      </c>
      <c r="F9" s="150">
        <f>+SUM('[2]2013'!$Q$253:$T$253)/SUM('[2]2013'!$D$253:$F$253)*100</f>
        <v>53.726841878500643</v>
      </c>
      <c r="G9" s="150">
        <f>+SUM('[2]2014'!$Q$253:$T$253)/SUM('[2]2014'!$D$253:$F$253)*100</f>
        <v>56.192560175054709</v>
      </c>
      <c r="H9" s="150">
        <f>+SUM('[2]2015'!$Q$253:$T$253)/SUM('[2]2015'!$D$253:$F$253)*100</f>
        <v>58.651286601597164</v>
      </c>
      <c r="I9" s="1130"/>
      <c r="J9" t="s">
        <v>1589</v>
      </c>
      <c r="K9" s="128">
        <f>+H9</f>
        <v>58.651286601597164</v>
      </c>
    </row>
    <row r="10" spans="1:11" ht="23.25" customHeight="1">
      <c r="A10" s="94" t="s">
        <v>542</v>
      </c>
      <c r="B10" s="150">
        <f>+SUM('[2]2009'!$Q$256:$T$256)/SUM('[2]2009'!$D$256:$F$256)*100</f>
        <v>47.365304914150386</v>
      </c>
      <c r="C10" s="150">
        <f>+SUM('[2]2010'!$Q$256:$T$256)/SUM('[2]2010'!$D$256:$F$256)*100</f>
        <v>49.820788530465947</v>
      </c>
      <c r="D10" s="150">
        <f>+SUM('[2]2011'!$Q$256:$T$256)/SUM('[2]2011'!$D$256:$F$256)*100</f>
        <v>51.794258373205736</v>
      </c>
      <c r="E10" s="150">
        <f>+SUM('[2]2012'!$Q$256:$T$256)/SUM('[2]2012'!$D$256:$F$256)*100</f>
        <v>53.94736842105263</v>
      </c>
      <c r="F10" s="150">
        <f>+SUM('[2]2013'!$Q$256:$T$256)/SUM('[2]2013'!$D$256:$F$256)*100</f>
        <v>56.34730538922156</v>
      </c>
      <c r="G10" s="150">
        <f>+SUM('[2]2014'!$Q$256:$T$256)/SUM('[2]2014'!$D$256:$F$256)*100</f>
        <v>58.513189448441253</v>
      </c>
      <c r="H10" s="150">
        <f>+SUM('[2]2015'!$Q$256:$T$256)/SUM('[2]2015'!$D$256:$F$256)*100</f>
        <v>60.791366906474821</v>
      </c>
      <c r="I10" s="1130"/>
      <c r="J10" t="s">
        <v>1590</v>
      </c>
      <c r="K10" s="128">
        <f>+H10</f>
        <v>60.791366906474821</v>
      </c>
    </row>
    <row r="11" spans="1:11" ht="23.25" customHeight="1">
      <c r="A11" s="101" t="s">
        <v>543</v>
      </c>
      <c r="B11" s="150">
        <f>(SUM('[2]2009'!$Q$250:$T$250)+SUM('[2]2009'!$Q$253:$T$253)+SUM('[2]2009'!$Q$256:$T$256)+SUM('[2]2009'!$Q$259:$T$259))/(SUM('[2]2009'!$D$250:$F$250)+SUM('[2]2009'!$D$253:$F$253)+SUM('[2]2009'!$D$256:$F$256)+SUM('[2]2009'!$D$259:$F$259))*100</f>
        <v>39.012930688298134</v>
      </c>
      <c r="C11" s="150">
        <f>(SUM('[2]2010'!$Q$250:$T$250)+SUM('[2]2010'!$Q$253:$T$253)+SUM('[2]2010'!$Q$256:$T$256)+SUM('[2]2010'!$Q$259:$T$259))/(SUM('[2]2010'!$D$250:$F$250)+SUM('[2]2010'!$D$253:$F$253)+SUM('[2]2010'!$D$256:$F$256)+SUM('[2]2010'!$D$259:$F$259))*100</f>
        <v>41.063407922955534</v>
      </c>
      <c r="D11" s="150">
        <f>(SUM('[2]2011'!$Q$250:$T$250)+SUM('[2]2011'!$Q$253:$T$253)+SUM('[2]2011'!$Q$256:$T$256)+SUM('[2]2011'!$Q$259:$T$259))/(SUM('[2]2011'!$D$250:$F$250)+SUM('[2]2011'!$D$253:$F$253)+SUM('[2]2011'!$D$256:$F$256)+SUM('[2]2011'!$D$259:$F$259))*100</f>
        <v>43.253437157805088</v>
      </c>
      <c r="E11" s="150">
        <f>(SUM('[2]2012'!$Q$250:$T$250)+SUM('[2]2012'!$Q$253:$T$253)+SUM('[2]2012'!$Q$256:$T$256)+SUM('[2]2012'!$Q$259:$T$259))/(SUM('[2]2012'!$D$250:$F$250)+SUM('[2]2012'!$D$253:$F$253)+SUM('[2]2012'!$D$256:$F$256)+SUM('[2]2012'!$D$259:$F$259))*100</f>
        <v>45.465262815561609</v>
      </c>
      <c r="F11" s="150">
        <f>(SUM('[2]2013'!$Q$250:$T$250)+SUM('[2]2013'!$Q$253:$T$253)+SUM('[2]2013'!$Q$256:$T$256)+SUM('[2]2013'!$Q$259:$T$259))/(SUM('[2]2013'!$D$250:$F$250)+SUM('[2]2013'!$D$253:$F$253)+SUM('[2]2013'!$D$256:$F$256)+SUM('[2]2013'!$D$259:$F$259))*100</f>
        <v>47.698011734028682</v>
      </c>
      <c r="G11" s="150">
        <f>(SUM('[2]2014'!$Q$250:$T$250)+SUM('[2]2014'!$Q$253:$T$253)+SUM('[2]2014'!$Q$256:$T$256)+SUM('[2]2014'!$Q$259:$T$259))/(SUM('[2]2014'!$D$250:$F$250)+SUM('[2]2014'!$D$253:$F$253)+SUM('[2]2014'!$D$256:$F$256)+SUM('[2]2014'!$D$259:$F$259))*100</f>
        <v>49.922391961441058</v>
      </c>
      <c r="H11" s="150">
        <f>(SUM('[2]2015'!$Q$250:$T$250)+SUM('[2]2015'!$Q$253:$T$253)+SUM('[2]2015'!$Q$256:$T$256)+SUM('[2]2015'!$Q$259:$T$259))/(SUM('[2]2015'!$D$250:$F$250)+SUM('[2]2015'!$D$253:$F$253)+SUM('[2]2015'!$D$256:$F$256)+SUM('[2]2015'!$D$259:$F$259))*100</f>
        <v>52.155225346923743</v>
      </c>
      <c r="I11" s="1130"/>
      <c r="J11" t="s">
        <v>1591</v>
      </c>
      <c r="K11" s="128">
        <f t="shared" ref="K11:K16" si="0">+H12</f>
        <v>50.329439122972154</v>
      </c>
    </row>
    <row r="12" spans="1:11" ht="23.25" customHeight="1">
      <c r="A12" s="94" t="s">
        <v>544</v>
      </c>
      <c r="B12" s="150">
        <f>+SUM('[2]2009'!$Q$247:$T$247)/SUM('[2]2009'!$D$247:$F$247)*100</f>
        <v>38.913977310276458</v>
      </c>
      <c r="C12" s="150">
        <f>+SUM('[2]2010'!$Q$247:$T$247)/SUM('[2]2010'!$D$247:$F$247)*100</f>
        <v>40.615316511730853</v>
      </c>
      <c r="D12" s="150">
        <f>+SUM('[2]2011'!$Q$247:$T$247)/SUM('[2]2011'!$D$247:$F$247)*100</f>
        <v>42.560611092660245</v>
      </c>
      <c r="E12" s="150">
        <f>+SUM('[2]2012'!$Q$247:$T$247)/SUM('[2]2012'!$D$247:$F$247)*100</f>
        <v>44.49548901311784</v>
      </c>
      <c r="F12" s="150">
        <f>+SUM('[2]2013'!$Q$247:$T$247)/SUM('[2]2013'!$D$247:$F$247)*100</f>
        <v>46.449327503182595</v>
      </c>
      <c r="G12" s="150">
        <f>+SUM('[2]2014'!$Q$247:$T$247)/SUM('[2]2014'!$D$247:$F$247)*100</f>
        <v>48.375131484249572</v>
      </c>
      <c r="H12" s="150">
        <f>+SUM('[2]2015'!$Q$247:$T$247)/SUM('[2]2015'!$D$247:$F$247)*100</f>
        <v>50.329439122972154</v>
      </c>
      <c r="I12" s="1130"/>
      <c r="J12" t="s">
        <v>1592</v>
      </c>
      <c r="K12" s="128">
        <f t="shared" si="0"/>
        <v>59.184203689269943</v>
      </c>
    </row>
    <row r="13" spans="1:11" ht="23.25" customHeight="1">
      <c r="A13" s="94" t="s">
        <v>545</v>
      </c>
      <c r="B13" s="150">
        <f>+SUM('[2]2009'!$Q$271:$T$271)/SUM('[2]2009'!$D$271:$F$271)*100</f>
        <v>50.297850297850303</v>
      </c>
      <c r="C13" s="150">
        <f>+SUM('[2]2010'!$Q$271:$T$271)/SUM('[2]2010'!$D$271:$F$271)*100</f>
        <v>52.140992167101828</v>
      </c>
      <c r="D13" s="150">
        <f>+SUM('[2]2011'!$Q$271:$T$271)/SUM('[2]2011'!$D$271:$F$271)*100</f>
        <v>53.507170795306394</v>
      </c>
      <c r="E13" s="150">
        <f>+SUM('[2]2012'!$Q$271:$T$271)/SUM('[2]2012'!$D$271:$F$271)*100</f>
        <v>54.936181297212819</v>
      </c>
      <c r="F13" s="150">
        <f>+SUM('[2]2013'!$Q$271:$T$271)/SUM('[2]2013'!$D$271:$F$271)*100</f>
        <v>56.324830817282667</v>
      </c>
      <c r="G13" s="150">
        <f>+SUM('[2]2014'!$Q$271:$T$271)/SUM('[2]2014'!$D$271:$F$271)*100</f>
        <v>57.770270270270274</v>
      </c>
      <c r="H13" s="150">
        <f>+SUM('[2]2015'!$Q$271:$T$271)/SUM('[2]2015'!$D$271:$F$271)*100</f>
        <v>59.184203689269943</v>
      </c>
      <c r="I13" s="1130"/>
      <c r="J13" t="s">
        <v>1593</v>
      </c>
      <c r="K13" s="128">
        <f t="shared" si="0"/>
        <v>51.413108839446785</v>
      </c>
    </row>
    <row r="14" spans="1:11" ht="23.25" customHeight="1">
      <c r="A14" s="94" t="s">
        <v>546</v>
      </c>
      <c r="B14" s="150">
        <f>+SUM('[2]2009'!$Q$274:$T$274)/SUM('[2]2009'!$D$274:$F$274)*100</f>
        <v>41.379310344827587</v>
      </c>
      <c r="C14" s="150">
        <f>+SUM('[2]2010'!$Q$274:$T$274)/SUM('[2]2010'!$D$274:$F$274)*100</f>
        <v>43.232972814966388</v>
      </c>
      <c r="D14" s="150">
        <f>+SUM('[2]2011'!$Q$274:$T$274)/SUM('[2]2011'!$D$274:$F$274)*100</f>
        <v>44.885361552028222</v>
      </c>
      <c r="E14" s="150">
        <f>+SUM('[2]2012'!$Q$274:$T$274)/SUM('[2]2012'!$D$274:$F$274)*100</f>
        <v>46.451803666469544</v>
      </c>
      <c r="F14" s="150">
        <f>+SUM('[2]2013'!$Q$274:$T$274)/SUM('[2]2013'!$D$274:$F$274)*100</f>
        <v>48.080928295150258</v>
      </c>
      <c r="G14" s="150">
        <f>+SUM('[2]2014'!$Q$274:$T$274)/SUM('[2]2014'!$D$274:$F$274)*100</f>
        <v>49.880311190903647</v>
      </c>
      <c r="H14" s="150">
        <f>+SUM('[2]2015'!$Q$274:$T$274)/SUM('[2]2015'!$D$274:$F$274)*100</f>
        <v>51.413108839446785</v>
      </c>
      <c r="I14" s="1130"/>
      <c r="J14" t="s">
        <v>1594</v>
      </c>
      <c r="K14" s="128">
        <f t="shared" si="0"/>
        <v>48.757943385326399</v>
      </c>
    </row>
    <row r="15" spans="1:11" ht="23.25" customHeight="1">
      <c r="A15" s="94" t="s">
        <v>547</v>
      </c>
      <c r="B15" s="150">
        <f>+SUM('[2]2009'!$Q$268:$T$268)/SUM('[2]2009'!$D$268:$F$268)*100</f>
        <v>36.800452232899943</v>
      </c>
      <c r="C15" s="150">
        <f>+SUM('[2]2010'!$Q$268:$T$268)/SUM('[2]2010'!$D$268:$F$268)*100</f>
        <v>38.739255014326645</v>
      </c>
      <c r="D15" s="150">
        <f>+SUM('[2]2011'!$Q$268:$T$268)/SUM('[2]2011'!$D$268:$F$268)*100</f>
        <v>40.815154994259473</v>
      </c>
      <c r="E15" s="150">
        <f>+SUM('[2]2012'!$Q$268:$T$268)/SUM('[2]2012'!$D$268:$F$268)*100</f>
        <v>42.816091954022987</v>
      </c>
      <c r="F15" s="150">
        <f>+SUM('[2]2013'!$Q$268:$T$268)/SUM('[2]2013'!$D$268:$F$268)*100</f>
        <v>44.764096662830838</v>
      </c>
      <c r="G15" s="150">
        <f>+SUM('[2]2014'!$Q$268:$T$268)/SUM('[2]2014'!$D$268:$F$268)*100</f>
        <v>46.65898617511521</v>
      </c>
      <c r="H15" s="150">
        <f>+SUM('[2]2015'!$Q$268:$T$268)/SUM('[2]2015'!$D$268:$F$268)*100</f>
        <v>48.757943385326399</v>
      </c>
      <c r="I15" s="1130"/>
      <c r="J15" t="s">
        <v>1595</v>
      </c>
      <c r="K15" s="128">
        <f t="shared" si="0"/>
        <v>51.338675004885673</v>
      </c>
    </row>
    <row r="16" spans="1:11" ht="23.25" customHeight="1">
      <c r="A16" s="94" t="s">
        <v>548</v>
      </c>
      <c r="B16" s="150">
        <f>+SUM('[2]2009'!$Q$265:$T$265)/SUM('[2]2009'!$D$265:$F$265)*100</f>
        <v>40.585076837622665</v>
      </c>
      <c r="C16" s="150">
        <f>+SUM('[2]2010'!$Q$265:$T$265)/SUM('[2]2010'!$D$265:$F$265)*100</f>
        <v>42.553191489361701</v>
      </c>
      <c r="D16" s="150">
        <f>+SUM('[2]2011'!$Q$265:$T$265)/SUM('[2]2011'!$D$265:$F$265)*100</f>
        <v>44.254835039817976</v>
      </c>
      <c r="E16" s="150">
        <f>+SUM('[2]2012'!$Q$265:$T$265)/SUM('[2]2012'!$D$265:$F$265)*100</f>
        <v>46.005351681957187</v>
      </c>
      <c r="F16" s="150">
        <f>+SUM('[2]2013'!$Q$265:$T$265)/SUM('[2]2013'!$D$265:$F$265)*100</f>
        <v>47.748267898383375</v>
      </c>
      <c r="G16" s="150">
        <f>+SUM('[2]2014'!$Q$265:$T$265)/SUM('[2]2014'!$D$265:$F$265)*100</f>
        <v>49.582929194956357</v>
      </c>
      <c r="H16" s="150">
        <f>+SUM('[2]2015'!$Q$265:$T$265)/SUM('[2]2015'!$D$265:$F$265)*100</f>
        <v>51.338675004885673</v>
      </c>
      <c r="I16" s="1130"/>
      <c r="J16" t="s">
        <v>1596</v>
      </c>
      <c r="K16" s="128">
        <f t="shared" si="0"/>
        <v>58.313169720013825</v>
      </c>
    </row>
    <row r="17" spans="1:11" ht="23.25" customHeight="1">
      <c r="A17" s="94" t="s">
        <v>549</v>
      </c>
      <c r="B17" s="150">
        <f>+SUM('[2]2009'!$Q$262:$T$262)/SUM('[2]2009'!$D$262:$F$262)*100</f>
        <v>43.75608173856633</v>
      </c>
      <c r="C17" s="150">
        <f>+SUM('[2]2010'!$Q$262:$T$262)/SUM('[2]2010'!$D$262:$F$262)*100</f>
        <v>46.040092014459418</v>
      </c>
      <c r="D17" s="150">
        <f>+SUM('[2]2011'!$Q$262:$T$262)/SUM('[2]2011'!$D$262:$F$262)*100</f>
        <v>48.325041459369814</v>
      </c>
      <c r="E17" s="150">
        <f>+SUM('[2]2012'!$Q$262:$T$262)/SUM('[2]2012'!$D$262:$F$262)*100</f>
        <v>50.721234485072117</v>
      </c>
      <c r="F17" s="150">
        <f>+SUM('[2]2013'!$Q$262:$T$262)/SUM('[2]2013'!$D$262:$F$262)*100</f>
        <v>53.148273527420443</v>
      </c>
      <c r="G17" s="150">
        <f>+SUM('[2]2014'!$Q$262:$T$262)/SUM('[2]2014'!$D$262:$F$262)*100</f>
        <v>55.658119658119652</v>
      </c>
      <c r="H17" s="150">
        <f>+SUM('[2]2015'!$Q$262:$T$262)/SUM('[2]2015'!$D$262:$F$262)*100</f>
        <v>58.313169720013825</v>
      </c>
      <c r="I17" s="1130"/>
    </row>
    <row r="18" spans="1:11" ht="23.25" customHeight="1">
      <c r="A18" s="101" t="s">
        <v>551</v>
      </c>
      <c r="B18" s="150">
        <f>(SUM('[2]2009'!$Q$247:$T$247)+SUM('[2]2009'!$Q$262:$T$262)+SUM('[2]2009'!$Q$265:$T$265)+SUM('[2]2009'!$Q$268:$T$268)+SUM('[2]2009'!$Q$271:$T$271)+SUM('[2]2009'!$Q$274:$T$274))/(SUM('[2]2009'!$D$247:$F$247)+SUM('[2]2009'!$D$262:$F$262)+SUM('[2]2009'!$D$265:$F$265)+SUM('[2]2009'!$D$268:$F$268)+SUM('[2]2009'!$D$271:$F$271)+SUM('[2]2009'!$D$274:$F$274))*100</f>
        <v>40.948408588304453</v>
      </c>
      <c r="C18" s="150">
        <f>(SUM('[2]2010'!$Q$247:$T$247)+SUM('[2]2010'!$Q$262:$T$262)+SUM('[2]2010'!$Q$265:$T$265)+SUM('[2]2010'!$Q$268:$T$268)+SUM('[2]2010'!$Q$271:$T$271)+SUM('[2]2010'!$Q$274:$T$274))/(SUM('[2]2010'!$D$247:$F$247)+SUM('[2]2010'!$D$262:$F$262)+SUM('[2]2010'!$D$265:$F$265)+SUM('[2]2010'!$D$268:$F$268)+SUM('[2]2010'!$D$271:$F$271)+SUM('[2]2010'!$D$274:$F$274))*100</f>
        <v>42.778499237761842</v>
      </c>
      <c r="D18" s="150">
        <f>(SUM('[2]2011'!$Q$247:$T$247)+SUM('[2]2011'!$Q$262:$T$262)+SUM('[2]2011'!$Q$265:$T$265)+SUM('[2]2011'!$Q$268:$T$268)+SUM('[2]2011'!$Q$271:$T$271)+SUM('[2]2011'!$Q$274:$T$274))/(SUM('[2]2011'!$D$247:$F$247)+SUM('[2]2011'!$D$262:$F$262)+SUM('[2]2011'!$D$265:$F$265)+SUM('[2]2011'!$D$268:$F$268)+SUM('[2]2011'!$D$271:$F$271)+SUM('[2]2011'!$D$274:$F$274))*100</f>
        <v>44.631233372955222</v>
      </c>
      <c r="E18" s="150">
        <f>(SUM('[2]2012'!$Q$247:$T$247)+SUM('[2]2012'!$Q$262:$T$262)+SUM('[2]2012'!$Q$265:$T$265)+SUM('[2]2012'!$Q$268:$T$268)+SUM('[2]2012'!$Q$271:$T$271)+SUM('[2]2012'!$Q$274:$T$274))/(SUM('[2]2012'!$D$247:$F$247)+SUM('[2]2012'!$D$262:$F$262)+SUM('[2]2012'!$D$265:$F$265)+SUM('[2]2012'!$D$268:$F$268)+SUM('[2]2012'!$D$271:$F$271)+SUM('[2]2012'!$D$274:$F$274))*100</f>
        <v>46.488465140035757</v>
      </c>
      <c r="F18" s="150">
        <f>(SUM('[2]2013'!$Q$247:$T$247)+SUM('[2]2013'!$Q$262:$T$262)+SUM('[2]2013'!$Q$265:$T$265)+SUM('[2]2013'!$Q$268:$T$268)+SUM('[2]2013'!$Q$271:$T$271)+SUM('[2]2013'!$Q$274:$T$274))/(SUM('[2]2013'!$D$247:$F$247)+SUM('[2]2013'!$D$262:$F$262)+SUM('[2]2013'!$D$265:$F$265)+SUM('[2]2013'!$D$268:$F$268)+SUM('[2]2013'!$D$271:$F$271)+SUM('[2]2013'!$D$274:$F$274))*100</f>
        <v>48.355992946128907</v>
      </c>
      <c r="G18" s="150">
        <f>(SUM('[2]2014'!$Q$247:$T$247)+SUM('[2]2014'!$Q$262:$T$262)+SUM('[2]2014'!$Q$265:$T$265)+SUM('[2]2014'!$Q$268:$T$268)+SUM('[2]2014'!$Q$271:$T$271)+SUM('[2]2014'!$Q$274:$T$274))/(SUM('[2]2014'!$D$247:$F$247)+SUM('[2]2014'!$D$262:$F$262)+SUM('[2]2014'!$D$265:$F$265)+SUM('[2]2014'!$D$268:$F$268)+SUM('[2]2014'!$D$271:$F$271)+SUM('[2]2014'!$D$274:$F$274))*100</f>
        <v>50.249508112578056</v>
      </c>
      <c r="H18" s="150">
        <f>(SUM('[2]2015'!$Q$247:$T$247)+SUM('[2]2015'!$Q$262:$T$262)+SUM('[2]2015'!$Q$265:$T$265)+SUM('[2]2015'!$Q$268:$T$268)+SUM('[2]2015'!$Q$271:$T$271)+SUM('[2]2015'!$Q$274:$T$274))/(SUM('[2]2015'!$D$247:$F$247)+SUM('[2]2015'!$D$262:$F$262)+SUM('[2]2015'!$D$265:$F$265)+SUM('[2]2015'!$D$268:$F$268)+SUM('[2]2015'!$D$271:$F$271)+SUM('[2]2015'!$D$274:$F$274))*100</f>
        <v>52.13711867798839</v>
      </c>
      <c r="I18" s="1130"/>
      <c r="K18" s="128"/>
    </row>
    <row r="19" spans="1:11">
      <c r="A19" s="101" t="s">
        <v>552</v>
      </c>
      <c r="B19" s="150">
        <f>+SUM('[2]2009'!$Q$244:$T$244)/SUM('[2]2009'!$D$244:$F$244)*100</f>
        <v>40.153402061855672</v>
      </c>
      <c r="C19" s="150">
        <f>+SUM('[2]2010'!$Q$244:$T$244)/SUM('[2]2010'!$D$244:$F$244)*100</f>
        <v>42.073667581275465</v>
      </c>
      <c r="D19" s="150">
        <f>+SUM('[2]2011'!$Q$244:$T$244)/SUM('[2]2011'!$D$244:$F$244)*100</f>
        <v>44.064943074794556</v>
      </c>
      <c r="E19" s="150">
        <f>+SUM('[2]2012'!$Q$244:$T$244)/SUM('[2]2012'!$D$244:$F$244)*100</f>
        <v>46.06784759358289</v>
      </c>
      <c r="F19" s="150">
        <f>+SUM('[2]2013'!$Q$244:$T$244)/SUM('[2]2013'!$D$244:$F$244)*100</f>
        <v>48.08549127332418</v>
      </c>
      <c r="G19" s="150">
        <f>+SUM('[2]2014'!$Q$244:$T$244)/SUM('[2]2014'!$D$244:$F$244)*100</f>
        <v>50.115027455458346</v>
      </c>
      <c r="H19" s="150">
        <f>+SUM('[2]2015'!$Q$244:$T$244)/SUM('[2]2015'!$D$244:$F$244)*100</f>
        <v>52.144564522102144</v>
      </c>
      <c r="I19" s="1130"/>
      <c r="K19" s="128"/>
    </row>
    <row r="20" spans="1:11">
      <c r="A20" s="151"/>
      <c r="B20" s="152"/>
      <c r="C20" s="152"/>
      <c r="D20" s="152"/>
      <c r="E20" s="152"/>
      <c r="F20" s="152"/>
      <c r="G20" s="152"/>
      <c r="H20" s="152"/>
      <c r="I20" s="1123"/>
      <c r="K20" s="128"/>
    </row>
    <row r="21" spans="1:11">
      <c r="A21" s="153"/>
      <c r="B21" s="153"/>
      <c r="K21" s="128"/>
    </row>
    <row r="22" spans="1:11">
      <c r="A22" s="153"/>
      <c r="B22" s="153"/>
      <c r="K22" s="128"/>
    </row>
    <row r="23" spans="1:11">
      <c r="A23" s="153"/>
      <c r="B23" s="153"/>
      <c r="K23" s="128"/>
    </row>
    <row r="24" spans="1:11">
      <c r="A24" s="153"/>
      <c r="B24" s="153"/>
      <c r="K24" s="128"/>
    </row>
    <row r="25" spans="1:11">
      <c r="A25" s="153"/>
      <c r="B25" s="153"/>
      <c r="K25" s="128"/>
    </row>
    <row r="26" spans="1:11">
      <c r="A26" s="153"/>
      <c r="B26" s="153"/>
      <c r="K26" s="128"/>
    </row>
    <row r="27" spans="1:11">
      <c r="A27" s="153"/>
      <c r="B27" s="153"/>
      <c r="K27" s="128"/>
    </row>
    <row r="28" spans="1:11">
      <c r="A28" s="153"/>
      <c r="B28" s="153"/>
      <c r="K28" s="128"/>
    </row>
    <row r="29" spans="1:11">
      <c r="A29" s="153"/>
      <c r="B29" s="153"/>
      <c r="K29" s="128"/>
    </row>
    <row r="30" spans="1:11">
      <c r="A30" s="153"/>
      <c r="B30" s="153"/>
      <c r="K30" s="128"/>
    </row>
    <row r="31" spans="1:11">
      <c r="A31" s="153"/>
      <c r="B31" s="153"/>
      <c r="K31" s="128"/>
    </row>
    <row r="32" spans="1:11">
      <c r="A32" s="153"/>
      <c r="B32" s="153"/>
      <c r="K32" s="128"/>
    </row>
    <row r="33" spans="1:11">
      <c r="A33" s="153"/>
      <c r="B33" s="153"/>
      <c r="K33" s="128"/>
    </row>
    <row r="34" spans="1:11">
      <c r="A34" s="153"/>
      <c r="B34" s="153"/>
      <c r="K34" s="128"/>
    </row>
    <row r="35" spans="1:11">
      <c r="A35" s="153"/>
      <c r="B35" s="153"/>
      <c r="K35" s="128"/>
    </row>
    <row r="53" spans="6:9" ht="15.75" customHeight="1">
      <c r="F53" s="154"/>
      <c r="G53" s="154"/>
      <c r="H53" s="154"/>
      <c r="I53" s="154"/>
    </row>
  </sheetData>
  <phoneticPr fontId="19" type="noConversion"/>
  <pageMargins left="1.1811023622047245" right="0.78740157480314965" top="0.78740157480314965" bottom="0.98425196850393704" header="0.51181102362204722" footer="0.51181102362204722"/>
  <pageSetup paperSize="5" scale="95" orientation="portrait" horizontalDpi="300"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topLeftCell="A16" workbookViewId="0">
      <selection activeCell="B17" sqref="B17"/>
    </sheetView>
  </sheetViews>
  <sheetFormatPr baseColWidth="10" defaultRowHeight="12.75"/>
  <cols>
    <col min="1" max="1" width="18.85546875" customWidth="1"/>
    <col min="4" max="4" width="13.42578125" customWidth="1"/>
    <col min="6" max="7" width="12.5703125" customWidth="1"/>
    <col min="8" max="8" width="9.5703125" customWidth="1"/>
    <col min="9" max="9" width="6.7109375" customWidth="1"/>
  </cols>
  <sheetData>
    <row r="1" spans="1:9">
      <c r="A1" s="82" t="s">
        <v>630</v>
      </c>
      <c r="B1" s="82"/>
      <c r="C1" s="83"/>
      <c r="D1" s="1"/>
      <c r="E1" s="1"/>
      <c r="F1" s="1"/>
      <c r="G1" s="1"/>
    </row>
    <row r="2" spans="1:9">
      <c r="A2" s="82"/>
      <c r="B2" s="82"/>
      <c r="C2" s="83"/>
      <c r="D2" s="1"/>
      <c r="E2" s="1"/>
      <c r="F2" s="1"/>
      <c r="G2" s="1"/>
    </row>
    <row r="3" spans="1:9">
      <c r="A3" s="82" t="str">
        <f>+'6'!A3</f>
        <v>SERVICIO DE SALUD   ACONCAGUA  2015</v>
      </c>
      <c r="B3" s="82"/>
      <c r="C3" s="83"/>
      <c r="D3" s="1"/>
      <c r="E3" s="1"/>
      <c r="F3" s="1"/>
      <c r="G3" s="1"/>
    </row>
    <row r="4" spans="1:9">
      <c r="A4" s="1"/>
      <c r="B4" s="1"/>
      <c r="C4" s="1"/>
      <c r="D4" s="1"/>
      <c r="E4" s="1"/>
      <c r="F4" s="1"/>
      <c r="G4" s="1"/>
    </row>
    <row r="5" spans="1:9">
      <c r="A5" s="1"/>
      <c r="B5" s="1"/>
      <c r="C5" s="1"/>
      <c r="D5" s="1"/>
      <c r="E5" s="1"/>
      <c r="F5" s="1"/>
      <c r="G5" s="1"/>
    </row>
    <row r="6" spans="1:9">
      <c r="A6" s="1"/>
      <c r="B6" s="1059"/>
      <c r="C6" s="1"/>
      <c r="D6" s="1"/>
      <c r="E6" s="1"/>
      <c r="F6" s="1"/>
      <c r="G6" s="1"/>
    </row>
    <row r="8" spans="1:9" ht="42" customHeight="1">
      <c r="A8" s="12" t="s">
        <v>532</v>
      </c>
      <c r="B8" s="91" t="s">
        <v>686</v>
      </c>
      <c r="C8" s="92" t="s">
        <v>631</v>
      </c>
      <c r="D8" s="91" t="s">
        <v>632</v>
      </c>
      <c r="E8" s="92" t="s">
        <v>633</v>
      </c>
      <c r="F8" s="229" t="s">
        <v>634</v>
      </c>
      <c r="G8" s="664"/>
    </row>
    <row r="9" spans="1:9" ht="17.25" customHeight="1">
      <c r="A9" s="94" t="s">
        <v>539</v>
      </c>
      <c r="B9" s="95">
        <f>+[3]Consolidado!$B15</f>
        <v>924</v>
      </c>
      <c r="C9" s="96">
        <f>+'9'!B9</f>
        <v>38782.905200000001</v>
      </c>
      <c r="D9" s="109">
        <f t="shared" ref="D9:D21" si="0">+E9/C9*100</f>
        <v>49.835331830685028</v>
      </c>
      <c r="E9" s="96">
        <f>+SUM('9'!F9:H9)</f>
        <v>19327.589499999998</v>
      </c>
      <c r="F9" s="230">
        <f t="shared" ref="F9:F21" si="1">+B9/E9*1000</f>
        <v>47.80730675183267</v>
      </c>
      <c r="G9" s="1131"/>
      <c r="H9">
        <v>2007</v>
      </c>
      <c r="I9" s="156">
        <v>52</v>
      </c>
    </row>
    <row r="10" spans="1:9" ht="17.25" customHeight="1">
      <c r="A10" s="94" t="s">
        <v>540</v>
      </c>
      <c r="B10" s="95">
        <f>+[3]Consolidado!$B16</f>
        <v>207</v>
      </c>
      <c r="C10" s="96">
        <f>+'9'!B17</f>
        <v>9189.5507999999991</v>
      </c>
      <c r="D10" s="109">
        <f t="shared" si="0"/>
        <v>50.14201455853533</v>
      </c>
      <c r="E10" s="96">
        <f>+SUM('9'!F17:H17)</f>
        <v>4607.8258999999998</v>
      </c>
      <c r="F10" s="230">
        <f t="shared" si="1"/>
        <v>44.923572307712405</v>
      </c>
      <c r="G10" s="1131"/>
      <c r="H10">
        <v>2008</v>
      </c>
      <c r="I10" s="156">
        <v>52.6</v>
      </c>
    </row>
    <row r="11" spans="1:9" ht="17.25" customHeight="1">
      <c r="A11" s="94" t="s">
        <v>541</v>
      </c>
      <c r="B11" s="95">
        <f>+[3]Consolidado!$B17</f>
        <v>189</v>
      </c>
      <c r="C11" s="96">
        <f>+'9'!B25</f>
        <v>5316.1876000000002</v>
      </c>
      <c r="D11" s="109">
        <f t="shared" si="0"/>
        <v>49.0718122889418</v>
      </c>
      <c r="E11" s="96">
        <f>+SUM('9'!F25:H25)</f>
        <v>2608.7496000000001</v>
      </c>
      <c r="F11" s="230">
        <f t="shared" si="1"/>
        <v>72.44850176498349</v>
      </c>
      <c r="G11" s="1131"/>
      <c r="H11">
        <v>2009</v>
      </c>
      <c r="I11" s="156">
        <v>51.2</v>
      </c>
    </row>
    <row r="12" spans="1:9" ht="17.25" customHeight="1">
      <c r="A12" s="94" t="s">
        <v>542</v>
      </c>
      <c r="B12" s="95">
        <f>+[3]Consolidado!$B18</f>
        <v>140</v>
      </c>
      <c r="C12" s="96">
        <f>+'9'!B29</f>
        <v>4108.9791999999998</v>
      </c>
      <c r="D12" s="109">
        <f t="shared" si="0"/>
        <v>50.734698291974802</v>
      </c>
      <c r="E12" s="96">
        <f>+SUM('9'!F29:H29)</f>
        <v>2084.6781999999998</v>
      </c>
      <c r="F12" s="230">
        <f t="shared" si="1"/>
        <v>67.156647966098561</v>
      </c>
      <c r="G12" s="1131"/>
      <c r="H12">
        <v>2010</v>
      </c>
      <c r="I12" s="156">
        <v>50.639326189893289</v>
      </c>
    </row>
    <row r="13" spans="1:9" ht="22.5" customHeight="1">
      <c r="A13" s="101" t="s">
        <v>543</v>
      </c>
      <c r="B13" s="102">
        <f>SUM(B9:B12)</f>
        <v>1460</v>
      </c>
      <c r="C13" s="103">
        <f>SUM(C9:C12)</f>
        <v>57397.622799999997</v>
      </c>
      <c r="D13" s="155">
        <f t="shared" si="0"/>
        <v>49.878099132704847</v>
      </c>
      <c r="E13" s="103">
        <f>SUM(E9:E12)</f>
        <v>28628.843199999996</v>
      </c>
      <c r="F13" s="231">
        <f t="shared" si="1"/>
        <v>50.997519871847295</v>
      </c>
      <c r="G13" s="1132"/>
      <c r="H13">
        <v>2011</v>
      </c>
      <c r="I13" s="156">
        <v>54.4</v>
      </c>
    </row>
    <row r="14" spans="1:9" ht="17.25" customHeight="1">
      <c r="A14" s="94" t="s">
        <v>544</v>
      </c>
      <c r="B14" s="95">
        <f>+[3]Consolidado!$B20</f>
        <v>1116</v>
      </c>
      <c r="C14" s="96">
        <f>+'9'!B37</f>
        <v>42345.771800000002</v>
      </c>
      <c r="D14" s="109">
        <f t="shared" si="0"/>
        <v>48.746690218549759</v>
      </c>
      <c r="E14" s="96">
        <f>+SUM('9'!F37:H37)</f>
        <v>20642.162200000002</v>
      </c>
      <c r="F14" s="230">
        <f t="shared" si="1"/>
        <v>54.064103807885004</v>
      </c>
      <c r="G14" s="1131"/>
      <c r="H14">
        <v>2012</v>
      </c>
      <c r="I14" s="156">
        <v>53.3</v>
      </c>
    </row>
    <row r="15" spans="1:9" ht="17.25" customHeight="1">
      <c r="A15" s="94" t="s">
        <v>545</v>
      </c>
      <c r="B15" s="95">
        <f>+[3]Consolidado!$B21</f>
        <v>218</v>
      </c>
      <c r="C15" s="96">
        <f>+'9'!B43</f>
        <v>8966.2335000000021</v>
      </c>
      <c r="D15" s="109">
        <f t="shared" si="0"/>
        <v>48.311629403807068</v>
      </c>
      <c r="E15" s="96">
        <f>+SUM('9'!F43:H43)</f>
        <v>4331.7335000000003</v>
      </c>
      <c r="F15" s="230">
        <f t="shared" si="1"/>
        <v>50.326272380329954</v>
      </c>
      <c r="G15" s="1131"/>
      <c r="H15">
        <v>2013</v>
      </c>
      <c r="I15" s="156">
        <v>51.7</v>
      </c>
    </row>
    <row r="16" spans="1:9" ht="17.25" customHeight="1">
      <c r="A16" s="94" t="s">
        <v>546</v>
      </c>
      <c r="B16" s="95">
        <f>+[3]Consolidado!$B22</f>
        <v>206</v>
      </c>
      <c r="C16" s="96">
        <f>+'9'!B56</f>
        <v>7589.2579000000005</v>
      </c>
      <c r="D16" s="109">
        <f t="shared" si="0"/>
        <v>48.270653709106384</v>
      </c>
      <c r="E16" s="96">
        <f>+SUM('9'!F56:H56)</f>
        <v>3663.3843999999995</v>
      </c>
      <c r="F16" s="230">
        <f t="shared" si="1"/>
        <v>56.232155162313852</v>
      </c>
      <c r="G16" s="1131"/>
      <c r="H16">
        <v>2014</v>
      </c>
      <c r="I16" s="156">
        <v>54.8</v>
      </c>
    </row>
    <row r="17" spans="1:9" ht="17.25" customHeight="1">
      <c r="A17" s="94" t="s">
        <v>547</v>
      </c>
      <c r="B17" s="95">
        <f>+[3]Consolidado!$B23</f>
        <v>106</v>
      </c>
      <c r="C17" s="96">
        <f>+'9'!B61</f>
        <v>3971.2950000000001</v>
      </c>
      <c r="D17" s="109">
        <f t="shared" si="0"/>
        <v>50.063165793525791</v>
      </c>
      <c r="E17" s="96">
        <f>+SUM('9'!F61:H61)</f>
        <v>1988.1559999999999</v>
      </c>
      <c r="F17" s="230">
        <f t="shared" si="1"/>
        <v>53.315735787332585</v>
      </c>
      <c r="G17" s="1131"/>
      <c r="H17">
        <v>2015</v>
      </c>
      <c r="I17" s="156">
        <f>+F21</f>
        <v>52.690864862984917</v>
      </c>
    </row>
    <row r="18" spans="1:9" ht="17.25" customHeight="1">
      <c r="A18" s="94" t="s">
        <v>548</v>
      </c>
      <c r="B18" s="95">
        <f>+[3]Consolidado!$B24</f>
        <v>333</v>
      </c>
      <c r="C18" s="96">
        <f>+'9'!B67</f>
        <v>12113.560399999998</v>
      </c>
      <c r="D18" s="109">
        <f t="shared" si="0"/>
        <v>49.869718732735265</v>
      </c>
      <c r="E18" s="96">
        <f>+SUM('9'!F67:H67)</f>
        <v>6040.9984999999997</v>
      </c>
      <c r="F18" s="230">
        <f t="shared" si="1"/>
        <v>55.123337640292419</v>
      </c>
      <c r="G18" s="1131"/>
    </row>
    <row r="19" spans="1:9" ht="17.25" customHeight="1">
      <c r="A19" s="94" t="s">
        <v>549</v>
      </c>
      <c r="B19" s="95">
        <f>+[3]Consolidado!$B25</f>
        <v>174</v>
      </c>
      <c r="C19" s="96">
        <f>+'9'!B73</f>
        <v>6603.5698000000011</v>
      </c>
      <c r="D19" s="109">
        <f t="shared" si="0"/>
        <v>49.586558470238309</v>
      </c>
      <c r="E19" s="96">
        <f>+SUM('9'!F73:H73)</f>
        <v>3274.4829999999997</v>
      </c>
      <c r="F19" s="230">
        <f t="shared" si="1"/>
        <v>53.1381595201441</v>
      </c>
      <c r="G19" s="1131"/>
      <c r="H19" s="228" t="s">
        <v>1500</v>
      </c>
      <c r="I19" s="156">
        <f>+F9</f>
        <v>47.80730675183267</v>
      </c>
    </row>
    <row r="20" spans="1:9" ht="21" customHeight="1">
      <c r="A20" s="101" t="s">
        <v>551</v>
      </c>
      <c r="B20" s="102">
        <f>SUM(B14:B19)</f>
        <v>2153</v>
      </c>
      <c r="C20" s="103">
        <f>SUM(C14:C19)</f>
        <v>81589.688399999999</v>
      </c>
      <c r="D20" s="155">
        <f t="shared" si="0"/>
        <v>48.953389065768263</v>
      </c>
      <c r="E20" s="103">
        <f>SUM(E14:E19)</f>
        <v>39940.917600000001</v>
      </c>
      <c r="F20" s="231">
        <f t="shared" si="1"/>
        <v>53.904620358546794</v>
      </c>
      <c r="G20" s="1132"/>
      <c r="H20" s="228" t="s">
        <v>1501</v>
      </c>
      <c r="I20" s="156">
        <f>+F10</f>
        <v>44.923572307712405</v>
      </c>
    </row>
    <row r="21" spans="1:9" ht="16.5" customHeight="1">
      <c r="A21" s="110" t="s">
        <v>552</v>
      </c>
      <c r="B21" s="111">
        <f>+B13+B20</f>
        <v>3613</v>
      </c>
      <c r="C21" s="112">
        <f>+C13+C20</f>
        <v>138987.3112</v>
      </c>
      <c r="D21" s="157">
        <f t="shared" si="0"/>
        <v>49.335266800959594</v>
      </c>
      <c r="E21" s="112">
        <f>+E13+E20</f>
        <v>68569.760799999989</v>
      </c>
      <c r="F21" s="232">
        <f t="shared" si="1"/>
        <v>52.690864862984917</v>
      </c>
      <c r="G21" s="1132"/>
      <c r="H21" s="228" t="s">
        <v>1499</v>
      </c>
      <c r="I21" s="156">
        <f>+F11</f>
        <v>72.44850176498349</v>
      </c>
    </row>
    <row r="22" spans="1:9">
      <c r="A22" s="8"/>
      <c r="B22" s="8"/>
      <c r="C22" s="8"/>
      <c r="D22" s="8"/>
      <c r="E22" s="8"/>
      <c r="F22" s="8"/>
      <c r="G22" s="8"/>
      <c r="H22" s="228" t="s">
        <v>1502</v>
      </c>
      <c r="I22" s="156">
        <f>+F12</f>
        <v>67.156647966098561</v>
      </c>
    </row>
    <row r="23" spans="1:9">
      <c r="A23" s="8"/>
      <c r="B23" s="8"/>
      <c r="C23" s="8"/>
      <c r="D23" s="8"/>
      <c r="E23" s="8"/>
      <c r="F23" s="8"/>
      <c r="G23" s="8"/>
      <c r="H23" s="228" t="s">
        <v>1503</v>
      </c>
      <c r="I23" s="156">
        <f t="shared" ref="I23:I28" si="2">+F14</f>
        <v>54.064103807885004</v>
      </c>
    </row>
    <row r="24" spans="1:9">
      <c r="A24" s="8"/>
      <c r="B24" s="8"/>
      <c r="C24" s="8"/>
      <c r="D24" s="8"/>
      <c r="E24" s="8"/>
      <c r="F24" s="8"/>
      <c r="G24" s="8"/>
      <c r="H24" s="228" t="s">
        <v>587</v>
      </c>
      <c r="I24" s="156">
        <f t="shared" si="2"/>
        <v>50.326272380329954</v>
      </c>
    </row>
    <row r="25" spans="1:9">
      <c r="A25" s="8"/>
      <c r="B25" s="8"/>
      <c r="C25" s="8"/>
      <c r="D25" s="8"/>
      <c r="E25" s="8"/>
      <c r="F25" s="8"/>
      <c r="G25" s="8"/>
      <c r="H25" s="228" t="s">
        <v>1506</v>
      </c>
      <c r="I25" s="156">
        <f t="shared" si="2"/>
        <v>56.232155162313852</v>
      </c>
    </row>
    <row r="26" spans="1:9">
      <c r="A26" s="8"/>
      <c r="B26" s="8"/>
      <c r="C26" s="8"/>
      <c r="D26" s="8"/>
      <c r="E26" s="8"/>
      <c r="F26" s="8"/>
      <c r="G26" s="8"/>
      <c r="H26" s="228" t="s">
        <v>1505</v>
      </c>
      <c r="I26" s="156">
        <f t="shared" si="2"/>
        <v>53.315735787332585</v>
      </c>
    </row>
    <row r="27" spans="1:9">
      <c r="A27" s="8"/>
      <c r="B27" s="8"/>
      <c r="C27" s="8"/>
      <c r="D27" s="8"/>
      <c r="E27" s="8"/>
      <c r="F27" s="8"/>
      <c r="G27" s="8"/>
      <c r="H27" s="228" t="s">
        <v>1504</v>
      </c>
      <c r="I27" s="156">
        <f t="shared" si="2"/>
        <v>55.123337640292419</v>
      </c>
    </row>
    <row r="28" spans="1:9">
      <c r="A28" s="8"/>
      <c r="B28" s="8"/>
      <c r="C28" s="8"/>
      <c r="D28" s="8"/>
      <c r="E28" s="8"/>
      <c r="F28" s="8"/>
      <c r="G28" s="8"/>
      <c r="H28" s="228" t="s">
        <v>612</v>
      </c>
      <c r="I28" s="156">
        <f t="shared" si="2"/>
        <v>53.1381595201441</v>
      </c>
    </row>
    <row r="29" spans="1:9">
      <c r="A29" s="8"/>
      <c r="B29" s="8"/>
      <c r="C29" s="8"/>
      <c r="D29" s="8"/>
      <c r="E29" s="8"/>
      <c r="F29" s="8"/>
      <c r="G29" s="8"/>
    </row>
    <row r="30" spans="1:9">
      <c r="A30" s="8"/>
      <c r="B30" s="8"/>
      <c r="C30" s="8"/>
      <c r="D30" s="8"/>
      <c r="E30" s="8"/>
      <c r="F30" s="8"/>
      <c r="G30" s="8"/>
    </row>
    <row r="31" spans="1:9">
      <c r="A31" s="8"/>
      <c r="B31" s="8"/>
      <c r="C31" s="8"/>
      <c r="D31" s="8"/>
      <c r="E31" s="8"/>
      <c r="F31" s="8"/>
      <c r="G31" s="8"/>
    </row>
    <row r="32" spans="1:9">
      <c r="A32" s="8"/>
      <c r="B32" s="8"/>
      <c r="C32" s="8"/>
      <c r="D32" s="8"/>
      <c r="E32" s="8"/>
      <c r="F32" s="8"/>
      <c r="G32" s="8"/>
    </row>
    <row r="33" spans="1:7">
      <c r="A33" s="8"/>
      <c r="B33" s="8"/>
      <c r="C33" s="8"/>
      <c r="D33" s="8"/>
      <c r="E33" s="8"/>
      <c r="F33" s="8"/>
      <c r="G33" s="8"/>
    </row>
    <row r="34" spans="1:7">
      <c r="A34" s="8"/>
      <c r="B34" s="8"/>
      <c r="C34" s="8"/>
      <c r="D34" s="8"/>
      <c r="E34" s="8"/>
      <c r="F34" s="8"/>
      <c r="G34" s="8"/>
    </row>
  </sheetData>
  <phoneticPr fontId="19" type="noConversion"/>
  <pageMargins left="1.3779527559055118" right="0.78740157480314965" top="0.59055118110236227" bottom="0.98425196850393704" header="0.51181102362204722" footer="0.51181102362204722"/>
  <pageSetup paperSize="5" orientation="portrait" horizontalDpi="300" verticalDpi="3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showGridLines="0" zoomScale="75" workbookViewId="0">
      <selection activeCell="A2" sqref="A2:L24"/>
    </sheetView>
  </sheetViews>
  <sheetFormatPr baseColWidth="10" defaultRowHeight="12.75"/>
  <cols>
    <col min="2" max="2" width="25.28515625" customWidth="1"/>
    <col min="3" max="3" width="12.42578125" customWidth="1"/>
    <col min="4" max="5" width="13.140625" customWidth="1"/>
    <col min="6" max="6" width="12.85546875" customWidth="1"/>
    <col min="7" max="7" width="13.28515625" customWidth="1"/>
    <col min="8" max="8" width="15" customWidth="1"/>
    <col min="9" max="10" width="13.42578125" customWidth="1"/>
    <col min="11" max="11" width="15.5703125" customWidth="1"/>
    <col min="12" max="12" width="13.7109375" customWidth="1"/>
  </cols>
  <sheetData>
    <row r="1" spans="1:12" ht="15.75">
      <c r="A1" s="1374" t="s">
        <v>479</v>
      </c>
      <c r="B1" s="1374"/>
      <c r="C1" s="1374"/>
      <c r="D1" s="1374"/>
      <c r="E1" s="1374"/>
      <c r="F1" s="1374"/>
      <c r="G1" s="1374"/>
      <c r="H1" s="1374"/>
      <c r="I1" s="1374"/>
      <c r="J1" s="1374"/>
      <c r="K1" s="1374"/>
      <c r="L1" s="1374"/>
    </row>
    <row r="2" spans="1:12" ht="15.75">
      <c r="B2" s="4"/>
      <c r="C2" s="4"/>
      <c r="D2" s="4"/>
      <c r="E2" s="4"/>
      <c r="F2" s="4"/>
      <c r="G2" s="4"/>
      <c r="H2" s="4"/>
      <c r="I2" s="3"/>
      <c r="J2" s="3"/>
      <c r="K2" s="3"/>
      <c r="L2" s="3"/>
    </row>
    <row r="3" spans="1:12" ht="15.75">
      <c r="A3" s="1374">
        <v>2015</v>
      </c>
      <c r="B3" s="1374"/>
      <c r="C3" s="1374"/>
      <c r="D3" s="1374"/>
      <c r="E3" s="1374"/>
      <c r="F3" s="1374"/>
      <c r="G3" s="1374"/>
      <c r="H3" s="1374"/>
      <c r="I3" s="1374"/>
      <c r="J3" s="1374"/>
      <c r="K3" s="1374"/>
      <c r="L3" s="1374"/>
    </row>
    <row r="4" spans="1:12" ht="15.75">
      <c r="B4" s="4"/>
      <c r="C4" s="4"/>
      <c r="D4" s="4"/>
      <c r="E4" s="4"/>
      <c r="F4" s="4"/>
      <c r="G4" s="4"/>
      <c r="H4" s="4"/>
      <c r="I4" s="3"/>
      <c r="J4" s="3"/>
      <c r="K4" s="3"/>
      <c r="L4" s="3"/>
    </row>
    <row r="7" spans="1:12" ht="37.5" customHeight="1">
      <c r="A7" s="49" t="s">
        <v>459</v>
      </c>
      <c r="B7" s="49" t="s">
        <v>460</v>
      </c>
      <c r="C7" s="50" t="s">
        <v>410</v>
      </c>
      <c r="D7" s="49" t="s">
        <v>465</v>
      </c>
      <c r="E7" s="48" t="s">
        <v>466</v>
      </c>
      <c r="F7" s="49" t="s">
        <v>467</v>
      </c>
      <c r="G7" s="48" t="s">
        <v>468</v>
      </c>
      <c r="H7" s="49" t="s">
        <v>469</v>
      </c>
      <c r="I7" s="49" t="s">
        <v>318</v>
      </c>
      <c r="J7" s="49" t="s">
        <v>470</v>
      </c>
      <c r="K7" s="49" t="s">
        <v>317</v>
      </c>
      <c r="L7" s="49" t="s">
        <v>471</v>
      </c>
    </row>
    <row r="8" spans="1:12" s="6" customFormat="1" ht="23.25" customHeight="1">
      <c r="A8" s="44"/>
      <c r="B8" s="52" t="s">
        <v>473</v>
      </c>
      <c r="C8" s="1224">
        <v>7</v>
      </c>
      <c r="D8" s="1225">
        <v>3</v>
      </c>
      <c r="E8" s="1226">
        <v>3</v>
      </c>
      <c r="F8" s="1225">
        <v>1</v>
      </c>
      <c r="G8" s="1226"/>
      <c r="H8" s="1225"/>
      <c r="I8" s="1226"/>
      <c r="J8" s="1225"/>
      <c r="K8" s="1225"/>
      <c r="L8" s="68">
        <f>SUM(C8:K8)</f>
        <v>14</v>
      </c>
    </row>
    <row r="9" spans="1:12" s="6" customFormat="1" ht="23.25" customHeight="1">
      <c r="A9" s="46" t="s">
        <v>461</v>
      </c>
      <c r="B9" s="52" t="s">
        <v>474</v>
      </c>
      <c r="C9" s="1224">
        <v>68</v>
      </c>
      <c r="D9" s="1225">
        <v>180</v>
      </c>
      <c r="E9" s="1226">
        <v>141</v>
      </c>
      <c r="F9" s="1225">
        <v>23</v>
      </c>
      <c r="G9" s="1226">
        <v>9</v>
      </c>
      <c r="H9" s="1225">
        <v>90</v>
      </c>
      <c r="I9" s="1226">
        <v>25</v>
      </c>
      <c r="J9" s="1225">
        <v>33</v>
      </c>
      <c r="K9" s="1225">
        <v>19</v>
      </c>
      <c r="L9" s="68">
        <f>SUM(C9:K9)</f>
        <v>588</v>
      </c>
    </row>
    <row r="10" spans="1:12" s="6" customFormat="1" ht="23.25" customHeight="1">
      <c r="A10" s="46">
        <v>18.834</v>
      </c>
      <c r="B10" s="52" t="s">
        <v>475</v>
      </c>
      <c r="C10" s="1224">
        <v>8</v>
      </c>
      <c r="D10" s="1225">
        <v>273</v>
      </c>
      <c r="E10" s="1226">
        <v>244</v>
      </c>
      <c r="F10" s="1225">
        <v>53</v>
      </c>
      <c r="G10" s="1226">
        <v>26</v>
      </c>
      <c r="H10" s="1225">
        <v>137</v>
      </c>
      <c r="I10" s="1231">
        <v>28</v>
      </c>
      <c r="J10" s="1230">
        <v>35</v>
      </c>
      <c r="K10" s="1230">
        <v>21</v>
      </c>
      <c r="L10" s="68">
        <f>SUM(C10:K10)</f>
        <v>825</v>
      </c>
    </row>
    <row r="11" spans="1:12" s="6" customFormat="1" ht="23.25" customHeight="1">
      <c r="A11" s="46"/>
      <c r="B11" s="52" t="s">
        <v>413</v>
      </c>
      <c r="C11" s="1224">
        <v>37</v>
      </c>
      <c r="D11" s="1225">
        <v>77</v>
      </c>
      <c r="E11" s="1226">
        <v>73</v>
      </c>
      <c r="F11" s="1225">
        <v>11</v>
      </c>
      <c r="G11" s="1226">
        <v>7</v>
      </c>
      <c r="H11" s="1225">
        <v>35</v>
      </c>
      <c r="I11" s="1231">
        <v>14</v>
      </c>
      <c r="J11" s="1230">
        <v>26</v>
      </c>
      <c r="K11" s="1230">
        <v>11</v>
      </c>
      <c r="L11" s="68">
        <f>SUM(C11:K11)</f>
        <v>291</v>
      </c>
    </row>
    <row r="12" spans="1:12" s="6" customFormat="1" ht="23.25" customHeight="1">
      <c r="A12" s="46"/>
      <c r="B12" s="52" t="s">
        <v>414</v>
      </c>
      <c r="C12" s="1224">
        <v>7</v>
      </c>
      <c r="D12" s="1225">
        <v>78</v>
      </c>
      <c r="E12" s="1226">
        <v>63</v>
      </c>
      <c r="F12" s="1225">
        <v>22</v>
      </c>
      <c r="G12" s="1226">
        <v>12</v>
      </c>
      <c r="H12" s="1225">
        <v>125</v>
      </c>
      <c r="I12" s="1226">
        <v>2</v>
      </c>
      <c r="J12" s="1225">
        <v>2</v>
      </c>
      <c r="K12" s="1225">
        <v>1</v>
      </c>
      <c r="L12" s="68">
        <f>SUM(C12:K12)</f>
        <v>312</v>
      </c>
    </row>
    <row r="13" spans="1:12" s="6" customFormat="1" ht="23.25" customHeight="1">
      <c r="A13" s="56"/>
      <c r="B13" s="55" t="s">
        <v>462</v>
      </c>
      <c r="C13" s="1223">
        <v>127</v>
      </c>
      <c r="D13" s="1223">
        <v>611</v>
      </c>
      <c r="E13" s="1223">
        <v>524</v>
      </c>
      <c r="F13" s="1223">
        <v>110</v>
      </c>
      <c r="G13" s="1223">
        <v>54</v>
      </c>
      <c r="H13" s="1223">
        <v>387</v>
      </c>
      <c r="I13" s="1223">
        <v>69</v>
      </c>
      <c r="J13" s="1223">
        <v>96</v>
      </c>
      <c r="K13" s="1223">
        <v>52</v>
      </c>
      <c r="L13" s="69">
        <f>SUM(L8:L12)</f>
        <v>2030</v>
      </c>
    </row>
    <row r="14" spans="1:12" s="6" customFormat="1" ht="23.25" customHeight="1">
      <c r="A14" s="59" t="s">
        <v>463</v>
      </c>
      <c r="B14" s="58" t="s">
        <v>415</v>
      </c>
      <c r="C14" s="1229"/>
      <c r="D14" s="1227">
        <v>39</v>
      </c>
      <c r="E14" s="1228">
        <v>43</v>
      </c>
      <c r="F14" s="1227"/>
      <c r="G14" s="1228"/>
      <c r="H14" s="1227">
        <v>6</v>
      </c>
      <c r="I14" s="1228"/>
      <c r="J14" s="1227"/>
      <c r="K14" s="1227"/>
      <c r="L14" s="70">
        <f>SUM(C14:K14)</f>
        <v>88</v>
      </c>
    </row>
    <row r="15" spans="1:12" s="6" customFormat="1" ht="23.25" customHeight="1">
      <c r="A15" s="46">
        <v>15.076000000000001</v>
      </c>
      <c r="B15" s="52" t="s">
        <v>416</v>
      </c>
      <c r="C15" s="1224"/>
      <c r="D15" s="1225"/>
      <c r="E15" s="1226"/>
      <c r="F15" s="1225"/>
      <c r="G15" s="1226"/>
      <c r="H15" s="1225"/>
      <c r="I15" s="1226"/>
      <c r="J15" s="1225"/>
      <c r="K15" s="1225"/>
      <c r="L15" s="68">
        <f>SUM(C15:K15)</f>
        <v>0</v>
      </c>
    </row>
    <row r="16" spans="1:12" s="6" customFormat="1" ht="23.25" customHeight="1">
      <c r="A16" s="56"/>
      <c r="B16" s="55" t="s">
        <v>462</v>
      </c>
      <c r="C16" s="1223">
        <v>0</v>
      </c>
      <c r="D16" s="1223">
        <v>39</v>
      </c>
      <c r="E16" s="1223">
        <v>43</v>
      </c>
      <c r="F16" s="1223">
        <v>0</v>
      </c>
      <c r="G16" s="1223">
        <v>0</v>
      </c>
      <c r="H16" s="1223">
        <v>6</v>
      </c>
      <c r="I16" s="1223">
        <v>0</v>
      </c>
      <c r="J16" s="1223">
        <v>0</v>
      </c>
      <c r="K16" s="1223">
        <v>0</v>
      </c>
      <c r="L16" s="69">
        <f>SUM(L14:L15)</f>
        <v>88</v>
      </c>
    </row>
    <row r="17" spans="1:12" s="6" customFormat="1" ht="23.25" customHeight="1">
      <c r="A17" s="64"/>
      <c r="B17" s="61" t="s">
        <v>464</v>
      </c>
      <c r="C17" s="1229"/>
      <c r="D17" s="1227"/>
      <c r="E17" s="1228"/>
      <c r="F17" s="1227"/>
      <c r="G17" s="1228"/>
      <c r="H17" s="1227"/>
      <c r="I17" s="1228"/>
      <c r="J17" s="1227"/>
      <c r="K17" s="1227"/>
      <c r="L17" s="70">
        <f>SUM(C17:K17)</f>
        <v>0</v>
      </c>
    </row>
    <row r="18" spans="1:12" s="6" customFormat="1" ht="23.25" customHeight="1">
      <c r="A18" s="46" t="s">
        <v>461</v>
      </c>
      <c r="B18" s="62" t="s">
        <v>476</v>
      </c>
      <c r="C18" s="1224">
        <v>23</v>
      </c>
      <c r="D18" s="1225">
        <v>78</v>
      </c>
      <c r="E18" s="1226">
        <v>68</v>
      </c>
      <c r="F18" s="1225">
        <v>6</v>
      </c>
      <c r="G18" s="1226">
        <v>3</v>
      </c>
      <c r="H18" s="1225">
        <v>17</v>
      </c>
      <c r="I18" s="1226">
        <v>7</v>
      </c>
      <c r="J18" s="1225">
        <v>7</v>
      </c>
      <c r="K18" s="1225">
        <v>5</v>
      </c>
      <c r="L18" s="71">
        <f>SUM(C18:K18)</f>
        <v>214</v>
      </c>
    </row>
    <row r="19" spans="1:12" s="6" customFormat="1" ht="23.25" customHeight="1">
      <c r="A19" s="46">
        <v>19.664000000000001</v>
      </c>
      <c r="B19" s="62" t="s">
        <v>472</v>
      </c>
      <c r="C19" s="1224">
        <v>6</v>
      </c>
      <c r="D19" s="1225">
        <v>13</v>
      </c>
      <c r="E19" s="1226">
        <v>14</v>
      </c>
      <c r="F19" s="1225"/>
      <c r="G19" s="1226"/>
      <c r="H19" s="1225"/>
      <c r="I19" s="1226">
        <v>7</v>
      </c>
      <c r="J19" s="1225">
        <v>8</v>
      </c>
      <c r="K19" s="1225">
        <v>5</v>
      </c>
      <c r="L19" s="71">
        <f>SUM(C19:K19)</f>
        <v>53</v>
      </c>
    </row>
    <row r="20" spans="1:12" ht="23.25" customHeight="1">
      <c r="A20" s="44"/>
      <c r="B20" s="62" t="s">
        <v>477</v>
      </c>
      <c r="C20" s="1224">
        <v>2</v>
      </c>
      <c r="D20" s="1225">
        <v>4</v>
      </c>
      <c r="E20" s="1226">
        <v>4</v>
      </c>
      <c r="F20" s="1225">
        <v>1</v>
      </c>
      <c r="G20" s="1226"/>
      <c r="H20" s="1225">
        <v>3</v>
      </c>
      <c r="I20" s="1226">
        <v>1</v>
      </c>
      <c r="J20" s="1225">
        <v>1</v>
      </c>
      <c r="K20" s="1225"/>
      <c r="L20" s="71">
        <f>SUM(C20:K20)</f>
        <v>16</v>
      </c>
    </row>
    <row r="21" spans="1:12" ht="23.25" customHeight="1">
      <c r="A21" s="44"/>
      <c r="B21" s="62" t="s">
        <v>478</v>
      </c>
      <c r="C21" s="1224"/>
      <c r="D21" s="1224"/>
      <c r="E21" s="1224">
        <v>3</v>
      </c>
      <c r="F21" s="1224"/>
      <c r="G21" s="1224"/>
      <c r="H21" s="1224"/>
      <c r="I21" s="1224"/>
      <c r="J21" s="1224"/>
      <c r="K21" s="1224"/>
      <c r="L21" s="71">
        <f>SUM(C21:K21)</f>
        <v>3</v>
      </c>
    </row>
    <row r="22" spans="1:12" ht="23.25" customHeight="1">
      <c r="A22" s="65"/>
      <c r="B22" s="63" t="s">
        <v>462</v>
      </c>
      <c r="C22" s="54">
        <f>SUM(C17:C21)</f>
        <v>31</v>
      </c>
      <c r="D22" s="54">
        <f t="shared" ref="D22:K22" si="0">SUM(D17:D21)</f>
        <v>95</v>
      </c>
      <c r="E22" s="54">
        <f t="shared" si="0"/>
        <v>89</v>
      </c>
      <c r="F22" s="54">
        <f t="shared" si="0"/>
        <v>7</v>
      </c>
      <c r="G22" s="54">
        <f t="shared" si="0"/>
        <v>3</v>
      </c>
      <c r="H22" s="54">
        <f t="shared" si="0"/>
        <v>20</v>
      </c>
      <c r="I22" s="54">
        <f t="shared" si="0"/>
        <v>15</v>
      </c>
      <c r="J22" s="54">
        <f t="shared" si="0"/>
        <v>16</v>
      </c>
      <c r="K22" s="54">
        <f t="shared" si="0"/>
        <v>10</v>
      </c>
      <c r="L22" s="69">
        <f>SUM(L17:L21)</f>
        <v>286</v>
      </c>
    </row>
    <row r="23" spans="1:12" ht="23.25" customHeight="1">
      <c r="A23" s="67"/>
      <c r="B23" s="66" t="s">
        <v>417</v>
      </c>
      <c r="C23" s="1222">
        <f t="shared" ref="C23:L23" si="1">+C13+C16+C22</f>
        <v>158</v>
      </c>
      <c r="D23" s="1222">
        <f t="shared" si="1"/>
        <v>745</v>
      </c>
      <c r="E23" s="1222">
        <f t="shared" si="1"/>
        <v>656</v>
      </c>
      <c r="F23" s="1222">
        <f t="shared" si="1"/>
        <v>117</v>
      </c>
      <c r="G23" s="1222">
        <f t="shared" si="1"/>
        <v>57</v>
      </c>
      <c r="H23" s="1222">
        <f t="shared" si="1"/>
        <v>413</v>
      </c>
      <c r="I23" s="1222">
        <f t="shared" si="1"/>
        <v>84</v>
      </c>
      <c r="J23" s="1222">
        <f t="shared" si="1"/>
        <v>112</v>
      </c>
      <c r="K23" s="1222">
        <f t="shared" si="1"/>
        <v>62</v>
      </c>
      <c r="L23" s="72">
        <f t="shared" si="1"/>
        <v>2404</v>
      </c>
    </row>
  </sheetData>
  <mergeCells count="2">
    <mergeCell ref="A1:L1"/>
    <mergeCell ref="A3:L3"/>
  </mergeCells>
  <printOptions gridLinesSet="0"/>
  <pageMargins left="0.98425196850393704" right="0.39370078740157483" top="0.98425196850393704" bottom="0.98425196850393704" header="0.51181102362204722" footer="0.51181102362204722"/>
  <pageSetup paperSize="5" scale="85" orientation="landscape" horizontalDpi="300" verticalDpi="300" r:id="rId1"/>
  <headerFooter alignWithMargins="0"/>
  <ignoredErrors>
    <ignoredError sqref="C22 D22:K22" formulaRange="1"/>
    <ignoredError sqref="L13:L21"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
  <sheetViews>
    <sheetView showGridLines="0" tabSelected="1" zoomScale="75" workbookViewId="0">
      <selection activeCell="A3" sqref="A3:N3"/>
    </sheetView>
  </sheetViews>
  <sheetFormatPr baseColWidth="10" defaultRowHeight="12.75"/>
  <cols>
    <col min="1" max="1" width="15.85546875" customWidth="1"/>
    <col min="2" max="2" width="27.140625" customWidth="1"/>
    <col min="3" max="3" width="12.42578125" customWidth="1"/>
    <col min="4" max="5" width="13.140625" customWidth="1"/>
    <col min="6" max="6" width="12.85546875" customWidth="1"/>
    <col min="7" max="8" width="13.28515625" customWidth="1"/>
    <col min="9" max="9" width="15" customWidth="1"/>
    <col min="10" max="11" width="13.42578125" customWidth="1"/>
    <col min="12" max="12" width="15.5703125" customWidth="1"/>
    <col min="13" max="13" width="0.140625" customWidth="1"/>
    <col min="14" max="14" width="13.7109375" customWidth="1"/>
  </cols>
  <sheetData>
    <row r="1" spans="1:14" ht="15.75">
      <c r="A1" s="1374" t="s">
        <v>480</v>
      </c>
      <c r="B1" s="1374"/>
      <c r="C1" s="1374"/>
      <c r="D1" s="1374"/>
      <c r="E1" s="1374"/>
      <c r="F1" s="1374"/>
      <c r="G1" s="1374"/>
      <c r="H1" s="1374"/>
      <c r="I1" s="1374"/>
      <c r="J1" s="1374"/>
      <c r="K1" s="1374"/>
      <c r="L1" s="1374"/>
      <c r="M1" s="1374"/>
      <c r="N1" s="1374"/>
    </row>
    <row r="2" spans="1:14" ht="15.75" customHeight="1">
      <c r="A2" s="1375" t="s">
        <v>1597</v>
      </c>
      <c r="B2" s="1375"/>
      <c r="C2" s="1375"/>
      <c r="D2" s="1375"/>
      <c r="E2" s="1375"/>
      <c r="F2" s="1375"/>
      <c r="G2" s="1375"/>
      <c r="H2" s="1375"/>
      <c r="I2" s="1375"/>
      <c r="J2" s="1375"/>
      <c r="K2" s="1375"/>
      <c r="L2" s="1375"/>
      <c r="M2" s="1375"/>
      <c r="N2" s="1375"/>
    </row>
    <row r="3" spans="1:14" ht="15.75">
      <c r="A3" s="1374">
        <f>+'14'!A3:L3</f>
        <v>2015</v>
      </c>
      <c r="B3" s="1374"/>
      <c r="C3" s="1374"/>
      <c r="D3" s="1374"/>
      <c r="E3" s="1374"/>
      <c r="F3" s="1374"/>
      <c r="G3" s="1374"/>
      <c r="H3" s="1374"/>
      <c r="I3" s="1374"/>
      <c r="J3" s="1374"/>
      <c r="K3" s="1374"/>
      <c r="L3" s="1374"/>
      <c r="M3" s="1374"/>
      <c r="N3" s="1374"/>
    </row>
    <row r="4" spans="1:14" ht="15.75">
      <c r="B4" s="4"/>
      <c r="C4" s="4"/>
      <c r="D4" s="4"/>
      <c r="E4" s="4"/>
      <c r="F4" s="4"/>
      <c r="G4" s="4"/>
      <c r="H4" s="4"/>
      <c r="I4" s="4"/>
      <c r="J4" s="3"/>
      <c r="K4" s="3"/>
      <c r="L4" s="3"/>
      <c r="M4" s="3"/>
      <c r="N4" s="3"/>
    </row>
    <row r="7" spans="1:14" ht="37.5" customHeight="1">
      <c r="A7" s="49" t="s">
        <v>498</v>
      </c>
      <c r="B7" s="74" t="s">
        <v>504</v>
      </c>
      <c r="C7" s="50" t="s">
        <v>442</v>
      </c>
      <c r="D7" s="49" t="s">
        <v>494</v>
      </c>
      <c r="E7" s="48" t="s">
        <v>495</v>
      </c>
      <c r="F7" s="49" t="s">
        <v>447</v>
      </c>
      <c r="G7" s="48" t="s">
        <v>496</v>
      </c>
      <c r="H7" s="49" t="s">
        <v>431</v>
      </c>
      <c r="I7" s="49" t="s">
        <v>411</v>
      </c>
      <c r="J7" s="49" t="s">
        <v>497</v>
      </c>
      <c r="K7" s="49" t="s">
        <v>434</v>
      </c>
      <c r="L7" s="48" t="s">
        <v>436</v>
      </c>
      <c r="M7" s="49" t="s">
        <v>1308</v>
      </c>
      <c r="N7" s="49" t="s">
        <v>471</v>
      </c>
    </row>
    <row r="8" spans="1:14" s="6" customFormat="1" ht="23.25" customHeight="1">
      <c r="A8" s="46"/>
      <c r="B8" s="52" t="s">
        <v>415</v>
      </c>
      <c r="C8" s="1233">
        <v>12</v>
      </c>
      <c r="D8" s="1233">
        <v>9</v>
      </c>
      <c r="E8" s="1233">
        <v>4</v>
      </c>
      <c r="F8" s="1233">
        <v>4</v>
      </c>
      <c r="G8" s="1233">
        <v>11</v>
      </c>
      <c r="H8" s="1233">
        <v>2</v>
      </c>
      <c r="I8" s="1233">
        <v>6</v>
      </c>
      <c r="J8" s="1233">
        <v>8</v>
      </c>
      <c r="K8" s="1233">
        <v>5</v>
      </c>
      <c r="L8" s="1233">
        <v>6</v>
      </c>
      <c r="M8" s="1232"/>
      <c r="N8" s="68">
        <f>SUM(C8:L8)</f>
        <v>67</v>
      </c>
    </row>
    <row r="9" spans="1:14" s="6" customFormat="1" ht="23.25" customHeight="1">
      <c r="A9" s="46" t="s">
        <v>501</v>
      </c>
      <c r="B9" s="52" t="s">
        <v>482</v>
      </c>
      <c r="C9" s="1232">
        <v>8</v>
      </c>
      <c r="D9" s="1232">
        <v>7</v>
      </c>
      <c r="E9" s="1232">
        <v>3</v>
      </c>
      <c r="F9" s="1232">
        <v>4</v>
      </c>
      <c r="G9" s="1232">
        <v>8</v>
      </c>
      <c r="H9" s="1232">
        <v>2</v>
      </c>
      <c r="I9" s="1232">
        <v>4</v>
      </c>
      <c r="J9" s="1232">
        <v>6</v>
      </c>
      <c r="K9" s="1232">
        <v>2</v>
      </c>
      <c r="L9" s="1232">
        <v>4</v>
      </c>
      <c r="M9" s="1232"/>
      <c r="N9" s="68">
        <f>SUM(C9:L9)</f>
        <v>48</v>
      </c>
    </row>
    <row r="10" spans="1:14" s="6" customFormat="1" ht="23.25" customHeight="1">
      <c r="A10" s="46" t="s">
        <v>502</v>
      </c>
      <c r="B10" s="1099" t="s">
        <v>1267</v>
      </c>
      <c r="C10" s="1232">
        <v>1</v>
      </c>
      <c r="D10" s="1232"/>
      <c r="E10" s="1232"/>
      <c r="F10" s="1232"/>
      <c r="G10" s="1232">
        <v>1</v>
      </c>
      <c r="H10" s="1232">
        <v>1</v>
      </c>
      <c r="I10" s="1232"/>
      <c r="J10" s="1232"/>
      <c r="K10" s="1232"/>
      <c r="L10" s="1232"/>
      <c r="M10" s="1232"/>
      <c r="N10" s="68">
        <f>SUM(C10:L10)</f>
        <v>3</v>
      </c>
    </row>
    <row r="11" spans="1:14" s="6" customFormat="1" ht="23.25" customHeight="1">
      <c r="A11" s="56"/>
      <c r="B11" s="55" t="s">
        <v>462</v>
      </c>
      <c r="C11" s="54">
        <f t="shared" ref="C11:M11" si="0">SUM(C8:C10)</f>
        <v>21</v>
      </c>
      <c r="D11" s="54">
        <f t="shared" si="0"/>
        <v>16</v>
      </c>
      <c r="E11" s="54">
        <f t="shared" si="0"/>
        <v>7</v>
      </c>
      <c r="F11" s="54">
        <f t="shared" si="0"/>
        <v>8</v>
      </c>
      <c r="G11" s="54">
        <f t="shared" si="0"/>
        <v>20</v>
      </c>
      <c r="H11" s="54">
        <f t="shared" si="0"/>
        <v>5</v>
      </c>
      <c r="I11" s="54">
        <f t="shared" si="0"/>
        <v>10</v>
      </c>
      <c r="J11" s="54">
        <f t="shared" si="0"/>
        <v>14</v>
      </c>
      <c r="K11" s="54">
        <f t="shared" si="0"/>
        <v>7</v>
      </c>
      <c r="L11" s="54">
        <f t="shared" si="0"/>
        <v>10</v>
      </c>
      <c r="M11" s="54">
        <f t="shared" si="0"/>
        <v>0</v>
      </c>
      <c r="N11" s="56">
        <f>SUM(N8:N10)</f>
        <v>118</v>
      </c>
    </row>
    <row r="12" spans="1:14" s="6" customFormat="1" ht="23.25" customHeight="1">
      <c r="A12" s="59"/>
      <c r="B12" s="58" t="s">
        <v>485</v>
      </c>
      <c r="C12" s="1239">
        <v>7</v>
      </c>
      <c r="D12" s="1239">
        <v>4</v>
      </c>
      <c r="E12" s="1239">
        <v>3</v>
      </c>
      <c r="F12" s="1237">
        <v>2</v>
      </c>
      <c r="G12" s="1237">
        <v>10</v>
      </c>
      <c r="H12" s="1238">
        <v>2</v>
      </c>
      <c r="I12" s="1239">
        <v>5</v>
      </c>
      <c r="J12" s="1237">
        <v>4</v>
      </c>
      <c r="K12" s="1237">
        <v>2</v>
      </c>
      <c r="L12" s="1237">
        <v>4</v>
      </c>
      <c r="M12" s="1237"/>
      <c r="N12" s="70">
        <f t="shared" ref="N12:N18" si="1">SUM(C12:M12)</f>
        <v>43</v>
      </c>
    </row>
    <row r="13" spans="1:14" s="6" customFormat="1" ht="23.25" customHeight="1">
      <c r="A13" s="46"/>
      <c r="B13" s="52" t="s">
        <v>484</v>
      </c>
      <c r="C13" s="1234">
        <v>5</v>
      </c>
      <c r="D13" s="1234">
        <v>4</v>
      </c>
      <c r="E13" s="1234">
        <v>2</v>
      </c>
      <c r="F13" s="1235">
        <v>2</v>
      </c>
      <c r="G13" s="1235">
        <v>8</v>
      </c>
      <c r="H13" s="1236">
        <v>2</v>
      </c>
      <c r="I13" s="1234">
        <v>2</v>
      </c>
      <c r="J13" s="1235">
        <v>4</v>
      </c>
      <c r="K13" s="1235">
        <v>2</v>
      </c>
      <c r="L13" s="1235">
        <v>3</v>
      </c>
      <c r="M13" s="1235"/>
      <c r="N13" s="68">
        <f t="shared" si="1"/>
        <v>34</v>
      </c>
    </row>
    <row r="14" spans="1:14" s="6" customFormat="1" ht="23.25" customHeight="1">
      <c r="A14" s="46"/>
      <c r="B14" s="52" t="s">
        <v>483</v>
      </c>
      <c r="C14" s="1234">
        <v>4</v>
      </c>
      <c r="D14" s="1234">
        <v>3</v>
      </c>
      <c r="E14" s="1234">
        <v>4</v>
      </c>
      <c r="F14" s="1235">
        <v>2</v>
      </c>
      <c r="G14" s="1235">
        <v>6</v>
      </c>
      <c r="H14" s="1236">
        <v>1</v>
      </c>
      <c r="I14" s="1234">
        <v>3</v>
      </c>
      <c r="J14" s="1235">
        <v>4</v>
      </c>
      <c r="K14" s="1234">
        <v>2</v>
      </c>
      <c r="L14" s="1234">
        <v>3</v>
      </c>
      <c r="M14" s="1234"/>
      <c r="N14" s="68">
        <f t="shared" si="1"/>
        <v>32</v>
      </c>
    </row>
    <row r="15" spans="1:14" s="6" customFormat="1" ht="23.25" customHeight="1">
      <c r="A15" s="46" t="s">
        <v>501</v>
      </c>
      <c r="B15" s="52" t="s">
        <v>486</v>
      </c>
      <c r="C15" s="1234">
        <v>4</v>
      </c>
      <c r="D15" s="1234">
        <v>2</v>
      </c>
      <c r="E15" s="1234">
        <v>3</v>
      </c>
      <c r="F15" s="1235">
        <v>1</v>
      </c>
      <c r="G15" s="1235">
        <v>5</v>
      </c>
      <c r="H15" s="1236">
        <v>1</v>
      </c>
      <c r="I15" s="1234">
        <v>2</v>
      </c>
      <c r="J15" s="1235">
        <v>2</v>
      </c>
      <c r="K15" s="1234">
        <v>2</v>
      </c>
      <c r="L15" s="1234">
        <v>2</v>
      </c>
      <c r="M15" s="1234">
        <v>1</v>
      </c>
      <c r="N15" s="68">
        <f t="shared" si="1"/>
        <v>25</v>
      </c>
    </row>
    <row r="16" spans="1:14" s="6" customFormat="1" ht="23.25" customHeight="1">
      <c r="A16" s="46" t="s">
        <v>503</v>
      </c>
      <c r="B16" s="52" t="s">
        <v>487</v>
      </c>
      <c r="C16" s="1234">
        <v>4</v>
      </c>
      <c r="D16" s="1234">
        <v>3</v>
      </c>
      <c r="E16" s="1234">
        <v>2</v>
      </c>
      <c r="F16" s="1235">
        <v>2</v>
      </c>
      <c r="G16" s="1235">
        <v>6</v>
      </c>
      <c r="H16" s="1236">
        <v>1</v>
      </c>
      <c r="I16" s="1234">
        <v>2</v>
      </c>
      <c r="J16" s="1235">
        <v>3</v>
      </c>
      <c r="K16" s="1234">
        <v>2</v>
      </c>
      <c r="L16" s="1234">
        <v>3</v>
      </c>
      <c r="M16" s="1234"/>
      <c r="N16" s="68">
        <f t="shared" si="1"/>
        <v>28</v>
      </c>
    </row>
    <row r="17" spans="1:14" s="6" customFormat="1" ht="23.25" customHeight="1">
      <c r="A17" s="46"/>
      <c r="B17" s="52" t="s">
        <v>488</v>
      </c>
      <c r="C17" s="1234">
        <v>4</v>
      </c>
      <c r="D17" s="1234">
        <v>2</v>
      </c>
      <c r="E17" s="1234">
        <v>2</v>
      </c>
      <c r="F17" s="1235">
        <v>2</v>
      </c>
      <c r="G17" s="1235">
        <v>6</v>
      </c>
      <c r="H17" s="1236">
        <v>2</v>
      </c>
      <c r="I17" s="1234">
        <v>3</v>
      </c>
      <c r="J17" s="1235">
        <v>5</v>
      </c>
      <c r="K17" s="1234">
        <v>2</v>
      </c>
      <c r="L17" s="1234">
        <v>3</v>
      </c>
      <c r="M17" s="1234"/>
      <c r="N17" s="68">
        <f t="shared" si="1"/>
        <v>31</v>
      </c>
    </row>
    <row r="18" spans="1:14" s="6" customFormat="1" ht="23.25" customHeight="1">
      <c r="A18" s="46"/>
      <c r="B18" s="52" t="s">
        <v>489</v>
      </c>
      <c r="C18" s="1234">
        <v>7</v>
      </c>
      <c r="D18" s="1234">
        <v>5</v>
      </c>
      <c r="E18" s="1234">
        <v>4</v>
      </c>
      <c r="F18" s="1235">
        <v>1</v>
      </c>
      <c r="G18" s="1235">
        <v>6</v>
      </c>
      <c r="H18" s="1236">
        <v>4</v>
      </c>
      <c r="I18" s="1234">
        <v>3</v>
      </c>
      <c r="J18" s="1235">
        <v>9</v>
      </c>
      <c r="K18" s="1234">
        <v>4</v>
      </c>
      <c r="L18" s="1234">
        <v>2</v>
      </c>
      <c r="M18" s="1234">
        <v>7</v>
      </c>
      <c r="N18" s="68">
        <f t="shared" si="1"/>
        <v>52</v>
      </c>
    </row>
    <row r="19" spans="1:14" s="6" customFormat="1" ht="23.25" customHeight="1">
      <c r="A19" s="56"/>
      <c r="B19" s="55" t="s">
        <v>462</v>
      </c>
      <c r="C19" s="54">
        <f t="shared" ref="C19:M19" si="2">SUM(C12:C18)</f>
        <v>35</v>
      </c>
      <c r="D19" s="54">
        <f t="shared" si="2"/>
        <v>23</v>
      </c>
      <c r="E19" s="54">
        <f t="shared" si="2"/>
        <v>20</v>
      </c>
      <c r="F19" s="56">
        <f t="shared" si="2"/>
        <v>12</v>
      </c>
      <c r="G19" s="73">
        <f t="shared" si="2"/>
        <v>47</v>
      </c>
      <c r="H19" s="56">
        <f t="shared" si="2"/>
        <v>13</v>
      </c>
      <c r="I19" s="54">
        <f t="shared" si="2"/>
        <v>20</v>
      </c>
      <c r="J19" s="56">
        <f t="shared" si="2"/>
        <v>31</v>
      </c>
      <c r="K19" s="54">
        <f t="shared" si="2"/>
        <v>16</v>
      </c>
      <c r="L19" s="54">
        <f t="shared" si="2"/>
        <v>20</v>
      </c>
      <c r="M19" s="54">
        <f t="shared" si="2"/>
        <v>8</v>
      </c>
      <c r="N19" s="68">
        <f t="shared" ref="N19:N20" si="3">SUM(C19:M19)</f>
        <v>245</v>
      </c>
    </row>
    <row r="20" spans="1:14" s="6" customFormat="1" ht="23.25" customHeight="1">
      <c r="A20" s="60"/>
      <c r="B20" s="58" t="s">
        <v>490</v>
      </c>
      <c r="C20" s="1243">
        <v>29</v>
      </c>
      <c r="D20" s="1242">
        <v>28</v>
      </c>
      <c r="E20" s="1243">
        <v>22</v>
      </c>
      <c r="F20" s="1242">
        <v>13</v>
      </c>
      <c r="G20" s="1242">
        <v>42</v>
      </c>
      <c r="H20" s="1243">
        <v>11</v>
      </c>
      <c r="I20" s="1242">
        <v>18</v>
      </c>
      <c r="J20" s="1243">
        <v>29</v>
      </c>
      <c r="K20" s="1242">
        <v>10</v>
      </c>
      <c r="L20" s="1242">
        <v>24</v>
      </c>
      <c r="M20" s="1242">
        <v>4</v>
      </c>
      <c r="N20" s="70">
        <f t="shared" si="3"/>
        <v>230</v>
      </c>
    </row>
    <row r="21" spans="1:14" s="6" customFormat="1" ht="23.25" customHeight="1">
      <c r="A21" s="45" t="s">
        <v>499</v>
      </c>
      <c r="B21" s="52" t="s">
        <v>491</v>
      </c>
      <c r="C21" s="1241">
        <v>5</v>
      </c>
      <c r="D21" s="1240">
        <v>4</v>
      </c>
      <c r="E21" s="1241">
        <v>2</v>
      </c>
      <c r="F21" s="1240">
        <v>5</v>
      </c>
      <c r="G21" s="1240">
        <v>7</v>
      </c>
      <c r="H21" s="1241">
        <v>1</v>
      </c>
      <c r="I21" s="1240">
        <v>6</v>
      </c>
      <c r="J21" s="1241">
        <v>4</v>
      </c>
      <c r="K21" s="1240">
        <v>7</v>
      </c>
      <c r="L21" s="1240">
        <v>3</v>
      </c>
      <c r="M21" s="1240"/>
      <c r="N21" s="71">
        <f>SUM(C21:L21)</f>
        <v>44</v>
      </c>
    </row>
    <row r="22" spans="1:14" s="6" customFormat="1" ht="23.25" customHeight="1">
      <c r="A22" s="45" t="s">
        <v>500</v>
      </c>
      <c r="B22" s="52" t="s">
        <v>492</v>
      </c>
      <c r="C22" s="1241">
        <v>23</v>
      </c>
      <c r="D22" s="1240">
        <v>16</v>
      </c>
      <c r="E22" s="1241">
        <v>8</v>
      </c>
      <c r="F22" s="1240">
        <v>5</v>
      </c>
      <c r="G22" s="1240">
        <v>11</v>
      </c>
      <c r="H22" s="1241">
        <v>3</v>
      </c>
      <c r="I22" s="1240">
        <v>7</v>
      </c>
      <c r="J22" s="1241">
        <v>14</v>
      </c>
      <c r="K22" s="1240">
        <v>7</v>
      </c>
      <c r="L22" s="1240">
        <v>8</v>
      </c>
      <c r="M22" s="1240">
        <v>2</v>
      </c>
      <c r="N22" s="71">
        <f>SUM(C22:L22)</f>
        <v>102</v>
      </c>
    </row>
    <row r="23" spans="1:14" ht="23.25" customHeight="1">
      <c r="A23" s="53"/>
      <c r="B23" s="55" t="s">
        <v>493</v>
      </c>
      <c r="C23" s="1241">
        <v>15</v>
      </c>
      <c r="D23" s="1240">
        <v>11</v>
      </c>
      <c r="E23" s="1241">
        <v>6</v>
      </c>
      <c r="F23" s="1240">
        <v>4</v>
      </c>
      <c r="G23" s="1240">
        <v>4</v>
      </c>
      <c r="H23" s="1241">
        <v>2</v>
      </c>
      <c r="I23" s="1240">
        <v>8</v>
      </c>
      <c r="J23" s="1241">
        <v>13</v>
      </c>
      <c r="K23" s="1240">
        <v>6</v>
      </c>
      <c r="L23" s="1240">
        <v>8</v>
      </c>
      <c r="M23" s="1240"/>
      <c r="N23" s="71">
        <f>SUM(C23:L23)</f>
        <v>77</v>
      </c>
    </row>
    <row r="24" spans="1:14" ht="23.25" customHeight="1">
      <c r="A24" s="67"/>
      <c r="B24" s="66" t="s">
        <v>417</v>
      </c>
      <c r="C24" s="50">
        <f t="shared" ref="C24:M24" si="4">+C11+C19+C20+C21+C22+C23</f>
        <v>128</v>
      </c>
      <c r="D24" s="50">
        <f t="shared" si="4"/>
        <v>98</v>
      </c>
      <c r="E24" s="50">
        <f t="shared" si="4"/>
        <v>65</v>
      </c>
      <c r="F24" s="50">
        <f t="shared" si="4"/>
        <v>47</v>
      </c>
      <c r="G24" s="50">
        <f t="shared" si="4"/>
        <v>131</v>
      </c>
      <c r="H24" s="50">
        <f t="shared" si="4"/>
        <v>35</v>
      </c>
      <c r="I24" s="50">
        <f t="shared" si="4"/>
        <v>69</v>
      </c>
      <c r="J24" s="50">
        <f t="shared" si="4"/>
        <v>105</v>
      </c>
      <c r="K24" s="50">
        <f t="shared" si="4"/>
        <v>53</v>
      </c>
      <c r="L24" s="50">
        <f t="shared" si="4"/>
        <v>73</v>
      </c>
      <c r="M24" s="50">
        <f t="shared" si="4"/>
        <v>14</v>
      </c>
      <c r="N24" s="72">
        <f>+N11+N19+N20+N21+N22+N23</f>
        <v>816</v>
      </c>
    </row>
  </sheetData>
  <mergeCells count="3">
    <mergeCell ref="A1:N1"/>
    <mergeCell ref="A3:N3"/>
    <mergeCell ref="A2:N2"/>
  </mergeCells>
  <printOptions gridLinesSet="0"/>
  <pageMargins left="0.98425196850393704" right="0.39370078740157483" top="0.98425196850393704" bottom="0.98425196850393704" header="0.51181102362204722" footer="0.51181102362204722"/>
  <pageSetup paperSize="5" scale="85" orientation="landscape"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M19"/>
  <sheetViews>
    <sheetView showGridLines="0" topLeftCell="A58" workbookViewId="0">
      <selection activeCell="C6" sqref="C6:M6"/>
    </sheetView>
  </sheetViews>
  <sheetFormatPr baseColWidth="10" defaultRowHeight="12.75"/>
  <cols>
    <col min="2" max="2" width="34" customWidth="1"/>
  </cols>
  <sheetData>
    <row r="1" spans="1:13" ht="25.5" customHeight="1">
      <c r="A1" s="1377"/>
      <c r="B1" s="1377"/>
      <c r="C1" s="1377"/>
      <c r="D1" s="1377"/>
      <c r="E1" s="1377"/>
      <c r="F1" s="1377"/>
      <c r="G1" s="1377"/>
      <c r="H1" s="1377"/>
      <c r="I1" s="1377"/>
      <c r="J1" s="1377"/>
      <c r="K1" s="1377"/>
      <c r="L1" s="1377"/>
    </row>
    <row r="4" spans="1:13" ht="26.25" customHeight="1">
      <c r="B4" s="1313"/>
      <c r="C4" s="1376"/>
      <c r="D4" s="1376"/>
      <c r="E4" s="1376"/>
      <c r="F4" s="1376"/>
      <c r="G4" s="1376"/>
      <c r="H4" s="1376"/>
      <c r="I4" s="1376"/>
      <c r="J4" s="1376"/>
      <c r="K4" s="1376"/>
      <c r="L4" s="1376"/>
      <c r="M4" s="1376"/>
    </row>
    <row r="6" spans="1:13" ht="24.75" customHeight="1">
      <c r="B6" s="1313"/>
      <c r="C6" s="1376"/>
      <c r="D6" s="1376"/>
      <c r="E6" s="1376"/>
      <c r="F6" s="1376"/>
      <c r="G6" s="1376"/>
      <c r="H6" s="1376"/>
      <c r="I6" s="1376"/>
      <c r="J6" s="1376"/>
      <c r="K6" s="1376"/>
      <c r="L6" s="1376"/>
      <c r="M6" s="1376"/>
    </row>
    <row r="9" spans="1:13" ht="29.25" customHeight="1">
      <c r="B9" s="1313"/>
      <c r="C9" s="1376"/>
      <c r="D9" s="1376"/>
      <c r="E9" s="1376"/>
      <c r="F9" s="1376"/>
      <c r="G9" s="1376"/>
      <c r="H9" s="1376"/>
      <c r="I9" s="1376"/>
      <c r="J9" s="1376"/>
      <c r="K9" s="1376"/>
      <c r="L9" s="1376"/>
      <c r="M9" s="1376"/>
    </row>
    <row r="10" spans="1:13" ht="23.25">
      <c r="A10" s="173"/>
      <c r="B10" s="1"/>
      <c r="C10" s="1"/>
      <c r="D10" s="1"/>
      <c r="E10" s="1"/>
      <c r="F10" s="1"/>
      <c r="G10" s="1"/>
    </row>
    <row r="11" spans="1:13" ht="33.75" customHeight="1">
      <c r="A11" s="173"/>
      <c r="B11" s="1313"/>
      <c r="C11" s="1376"/>
      <c r="D11" s="1376"/>
      <c r="E11" s="1376"/>
      <c r="F11" s="1376"/>
      <c r="G11" s="1376"/>
      <c r="H11" s="1376"/>
      <c r="I11" s="1376"/>
      <c r="J11" s="1376"/>
      <c r="K11" s="1376"/>
      <c r="L11" s="1376"/>
      <c r="M11" s="1376"/>
    </row>
    <row r="12" spans="1:13" ht="23.25">
      <c r="A12" s="173"/>
      <c r="B12" s="1"/>
      <c r="C12" s="1"/>
      <c r="D12" s="1"/>
      <c r="E12" s="1"/>
      <c r="F12" s="1"/>
      <c r="G12" s="1"/>
    </row>
    <row r="13" spans="1:13" ht="32.25" customHeight="1">
      <c r="A13" s="173"/>
      <c r="B13" s="1313"/>
      <c r="C13" s="1376"/>
      <c r="D13" s="1376"/>
      <c r="E13" s="1376"/>
      <c r="F13" s="1376"/>
      <c r="G13" s="1376"/>
      <c r="H13" s="1376"/>
      <c r="I13" s="1376"/>
      <c r="J13" s="1376"/>
      <c r="K13" s="1376"/>
      <c r="L13" s="1376"/>
      <c r="M13" s="1376"/>
    </row>
    <row r="14" spans="1:13" ht="23.25">
      <c r="A14" s="173"/>
      <c r="B14" s="1"/>
      <c r="C14" s="1"/>
      <c r="D14" s="1"/>
      <c r="E14" s="1"/>
      <c r="F14" s="1"/>
      <c r="G14" s="1"/>
    </row>
    <row r="15" spans="1:13" ht="23.25">
      <c r="A15" s="173"/>
      <c r="B15" s="1"/>
      <c r="C15" s="1"/>
      <c r="D15" s="1"/>
      <c r="E15" s="1"/>
      <c r="F15" s="1"/>
      <c r="G15" s="1"/>
    </row>
    <row r="16" spans="1:13" ht="23.25">
      <c r="A16" s="173"/>
      <c r="B16" s="1"/>
      <c r="C16" s="1"/>
      <c r="D16" s="1"/>
      <c r="E16" s="1"/>
      <c r="F16" s="1"/>
      <c r="G16" s="1"/>
    </row>
    <row r="17" spans="1:7" ht="23.25">
      <c r="A17" s="173"/>
      <c r="B17" s="1"/>
      <c r="C17" s="1"/>
      <c r="D17" s="1"/>
      <c r="E17" s="1"/>
      <c r="F17" s="1"/>
      <c r="G17" s="1"/>
    </row>
    <row r="18" spans="1:7" ht="23.25">
      <c r="A18" s="173"/>
      <c r="B18" s="1"/>
      <c r="C18" s="1"/>
      <c r="D18" s="1"/>
      <c r="E18" s="1"/>
      <c r="F18" s="1"/>
      <c r="G18" s="1"/>
    </row>
    <row r="19" spans="1:7">
      <c r="A19" s="1"/>
      <c r="B19" s="1"/>
      <c r="C19" s="1"/>
      <c r="D19" s="1"/>
      <c r="E19" s="1"/>
      <c r="F19" s="1"/>
      <c r="G19" s="1"/>
    </row>
  </sheetData>
  <mergeCells count="6">
    <mergeCell ref="C13:M13"/>
    <mergeCell ref="A1:L1"/>
    <mergeCell ref="C4:M4"/>
    <mergeCell ref="C6:M6"/>
    <mergeCell ref="C9:M9"/>
    <mergeCell ref="C11:M11"/>
  </mergeCells>
  <printOptions gridLinesSet="0"/>
  <pageMargins left="0.98425196850393704" right="0.78740157480314965" top="2.3622047244094491" bottom="0.98425196850393704" header="0.51181102362204722" footer="0.51181102362204722"/>
  <pageSetup paperSize="9" orientation="portrait" horizontalDpi="300" vertic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4"/>
  <sheetViews>
    <sheetView topLeftCell="A17" workbookViewId="0">
      <selection activeCell="R12" sqref="R12"/>
    </sheetView>
  </sheetViews>
  <sheetFormatPr baseColWidth="10" defaultRowHeight="12.75"/>
  <cols>
    <col min="1" max="1" width="5.85546875" customWidth="1"/>
    <col min="2" max="2" width="6.85546875" customWidth="1"/>
    <col min="3" max="3" width="6.5703125" customWidth="1"/>
    <col min="4" max="5" width="5.42578125" customWidth="1"/>
    <col min="6" max="6" width="7.140625" customWidth="1"/>
    <col min="7" max="7" width="6" customWidth="1"/>
    <col min="8" max="10" width="5.85546875" customWidth="1"/>
    <col min="11" max="11" width="6.7109375" customWidth="1"/>
    <col min="12" max="12" width="4.85546875" customWidth="1"/>
    <col min="13" max="13" width="5.85546875" customWidth="1"/>
    <col min="14" max="14" width="4.7109375" customWidth="1"/>
    <col min="15" max="15" width="5.85546875" customWidth="1"/>
    <col min="16" max="16" width="4.85546875" customWidth="1"/>
    <col min="17" max="19" width="5.85546875" customWidth="1"/>
    <col min="20" max="20" width="5.5703125" customWidth="1"/>
    <col min="21" max="21" width="5.85546875" customWidth="1"/>
    <col min="22" max="22" width="5.28515625" customWidth="1"/>
    <col min="23" max="23" width="5.85546875" customWidth="1"/>
    <col min="24" max="24" width="4" customWidth="1"/>
    <col min="25" max="25" width="5.85546875" customWidth="1"/>
    <col min="26" max="26" width="4.7109375" customWidth="1"/>
    <col min="27" max="27" width="5.42578125" customWidth="1"/>
    <col min="28" max="28" width="4.7109375" customWidth="1"/>
    <col min="29" max="29" width="5.85546875" customWidth="1"/>
    <col min="30" max="30" width="4.7109375" customWidth="1"/>
    <col min="31" max="31" width="6" customWidth="1"/>
  </cols>
  <sheetData>
    <row r="1" spans="1:31">
      <c r="A1" s="117"/>
      <c r="B1" s="117" t="s">
        <v>680</v>
      </c>
      <c r="C1" s="184"/>
      <c r="D1" s="184"/>
      <c r="E1" s="184"/>
      <c r="F1" s="184"/>
      <c r="G1" s="184"/>
      <c r="H1" s="184"/>
      <c r="I1" s="184"/>
      <c r="J1" s="116"/>
      <c r="K1" s="116"/>
      <c r="L1" s="116"/>
      <c r="M1" s="116"/>
      <c r="N1" s="116"/>
      <c r="O1" s="116"/>
      <c r="P1" s="116"/>
      <c r="Q1" s="116"/>
      <c r="R1" s="116"/>
      <c r="S1" s="116"/>
      <c r="T1" s="116"/>
      <c r="U1" s="116"/>
      <c r="V1" s="116"/>
      <c r="W1" s="116"/>
      <c r="X1" s="116"/>
      <c r="Y1" s="116"/>
      <c r="Z1" s="116"/>
      <c r="AA1" s="116"/>
      <c r="AB1" s="116"/>
      <c r="AC1" s="116"/>
      <c r="AD1" s="116"/>
      <c r="AE1" s="116"/>
    </row>
    <row r="2" spans="1:31">
      <c r="A2" s="184"/>
      <c r="B2" s="184"/>
      <c r="C2" s="184"/>
      <c r="D2" s="241"/>
      <c r="E2" s="184"/>
      <c r="F2" s="184"/>
      <c r="G2" s="184"/>
      <c r="H2" s="184"/>
      <c r="I2" s="184"/>
      <c r="J2" s="116"/>
      <c r="K2" s="116"/>
      <c r="L2" s="116"/>
      <c r="M2" s="116"/>
      <c r="N2" s="116"/>
      <c r="O2" s="116"/>
      <c r="P2" s="116"/>
      <c r="Q2" s="116"/>
      <c r="R2" s="116"/>
      <c r="S2" s="116"/>
      <c r="T2" s="116"/>
      <c r="U2" s="116"/>
      <c r="V2" s="116"/>
      <c r="W2" s="116"/>
      <c r="X2" s="116"/>
      <c r="Y2" s="116"/>
      <c r="Z2" s="116"/>
      <c r="AA2" s="116"/>
      <c r="AB2" s="116"/>
      <c r="AC2" s="116"/>
      <c r="AD2" s="116"/>
      <c r="AE2" s="116"/>
    </row>
    <row r="3" spans="1:31">
      <c r="A3" s="117" t="str">
        <f>+'7'!A3</f>
        <v>AÑOS   2006  - 2015</v>
      </c>
      <c r="B3" s="184"/>
      <c r="C3" s="184"/>
      <c r="D3" s="184"/>
      <c r="E3" s="184"/>
      <c r="F3" s="184"/>
      <c r="G3" s="184"/>
      <c r="H3" s="184"/>
      <c r="I3" s="184"/>
      <c r="J3" s="116"/>
      <c r="K3" s="116"/>
      <c r="L3" s="116"/>
      <c r="M3" s="116"/>
      <c r="N3" s="116"/>
      <c r="O3" s="116"/>
      <c r="P3" s="116"/>
      <c r="Q3" s="116"/>
      <c r="R3" s="116"/>
      <c r="S3" s="116"/>
      <c r="T3" s="116"/>
      <c r="U3" s="116"/>
      <c r="V3" s="116"/>
      <c r="W3" s="116"/>
      <c r="X3" s="116"/>
      <c r="Y3" s="116"/>
      <c r="Z3" s="116"/>
      <c r="AA3" s="116"/>
      <c r="AB3" s="116"/>
      <c r="AC3" s="116"/>
      <c r="AD3" s="116"/>
      <c r="AE3" s="116"/>
    </row>
    <row r="4" spans="1:31">
      <c r="A4" s="116"/>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row>
    <row r="5" spans="1:31">
      <c r="A5" s="1"/>
      <c r="B5" s="116"/>
      <c r="C5" s="116"/>
      <c r="D5" s="116"/>
      <c r="E5" s="116"/>
      <c r="F5" s="116"/>
      <c r="G5" s="116"/>
      <c r="H5" s="116"/>
      <c r="I5" s="116"/>
      <c r="J5" s="242"/>
      <c r="K5" s="116"/>
      <c r="L5" s="116"/>
      <c r="M5" s="116"/>
      <c r="N5" s="116"/>
      <c r="O5" s="116"/>
      <c r="P5" s="116"/>
      <c r="Q5" s="116"/>
      <c r="R5" s="116"/>
      <c r="S5" s="116"/>
      <c r="T5" s="116"/>
      <c r="U5" s="116"/>
      <c r="V5" s="116"/>
      <c r="W5" s="116"/>
      <c r="X5" s="116"/>
      <c r="Y5" s="116"/>
      <c r="Z5" s="116"/>
      <c r="AA5" s="116"/>
      <c r="AB5" s="116"/>
      <c r="AC5" s="116"/>
      <c r="AD5" s="116"/>
      <c r="AE5" s="116"/>
    </row>
    <row r="6" spans="1:31" s="244" customFormat="1" ht="20.25" customHeight="1">
      <c r="A6" s="194"/>
      <c r="B6" s="193"/>
      <c r="C6" s="188"/>
      <c r="D6" s="193"/>
      <c r="E6" s="188"/>
      <c r="F6" s="193"/>
      <c r="G6" s="188"/>
      <c r="H6" s="243"/>
      <c r="I6" s="86"/>
      <c r="J6" s="121" t="s">
        <v>658</v>
      </c>
      <c r="K6" s="121"/>
      <c r="L6" s="121"/>
      <c r="M6" s="121"/>
      <c r="N6" s="121"/>
      <c r="O6" s="121"/>
      <c r="P6" s="121"/>
      <c r="Q6" s="121"/>
      <c r="R6" s="121"/>
      <c r="S6" s="121"/>
      <c r="T6" s="121"/>
      <c r="U6" s="121"/>
      <c r="V6" s="121"/>
      <c r="W6" s="121"/>
      <c r="X6" s="121"/>
      <c r="Y6" s="121"/>
      <c r="Z6" s="121"/>
      <c r="AA6" s="121"/>
      <c r="AB6" s="121"/>
      <c r="AC6" s="121"/>
      <c r="AD6" s="86"/>
      <c r="AE6" s="87"/>
    </row>
    <row r="7" spans="1:31">
      <c r="A7" s="189"/>
      <c r="B7" s="190"/>
      <c r="C7" s="245"/>
      <c r="D7" s="190"/>
      <c r="E7" s="245"/>
      <c r="F7" s="216" t="s">
        <v>666</v>
      </c>
      <c r="G7" s="216"/>
      <c r="H7" s="186" t="s">
        <v>667</v>
      </c>
      <c r="I7" s="246"/>
      <c r="J7" s="247"/>
      <c r="K7" s="248"/>
      <c r="L7" s="247"/>
      <c r="M7" s="248"/>
      <c r="N7" s="247"/>
      <c r="O7" s="248"/>
      <c r="P7" s="247"/>
      <c r="Q7" s="248"/>
      <c r="R7" s="186" t="s">
        <v>667</v>
      </c>
      <c r="S7" s="246"/>
      <c r="T7" s="247"/>
      <c r="U7" s="248"/>
      <c r="V7" s="247"/>
      <c r="W7" s="248"/>
      <c r="X7" s="247"/>
      <c r="Y7" s="248"/>
      <c r="Z7" s="220"/>
      <c r="AA7" s="248"/>
      <c r="AB7" s="247"/>
      <c r="AC7" s="248"/>
      <c r="AD7" s="247"/>
      <c r="AE7" s="248"/>
    </row>
    <row r="8" spans="1:31" ht="17.25" customHeight="1">
      <c r="A8" s="249" t="s">
        <v>659</v>
      </c>
      <c r="B8" s="203" t="s">
        <v>664</v>
      </c>
      <c r="C8" s="203"/>
      <c r="D8" s="203" t="s">
        <v>665</v>
      </c>
      <c r="E8" s="250"/>
      <c r="F8" s="203" t="s">
        <v>668</v>
      </c>
      <c r="G8" s="250"/>
      <c r="H8" s="203" t="s">
        <v>649</v>
      </c>
      <c r="I8" s="250"/>
      <c r="J8" s="203" t="s">
        <v>649</v>
      </c>
      <c r="K8" s="250"/>
      <c r="L8" s="251" t="s">
        <v>444</v>
      </c>
      <c r="M8" s="252"/>
      <c r="N8" s="203" t="s">
        <v>670</v>
      </c>
      <c r="O8" s="250"/>
      <c r="P8" s="203" t="s">
        <v>447</v>
      </c>
      <c r="Q8" s="250"/>
      <c r="R8" s="203" t="s">
        <v>671</v>
      </c>
      <c r="S8" s="250"/>
      <c r="T8" s="203" t="s">
        <v>671</v>
      </c>
      <c r="U8" s="250"/>
      <c r="V8" s="203" t="s">
        <v>411</v>
      </c>
      <c r="W8" s="250"/>
      <c r="X8" s="203" t="s">
        <v>429</v>
      </c>
      <c r="Y8" s="250"/>
      <c r="Z8" s="203" t="s">
        <v>434</v>
      </c>
      <c r="AA8" s="250"/>
      <c r="AB8" s="203" t="s">
        <v>672</v>
      </c>
      <c r="AC8" s="250"/>
      <c r="AD8" s="203" t="s">
        <v>436</v>
      </c>
      <c r="AE8" s="250"/>
    </row>
    <row r="9" spans="1:31" ht="18.75" customHeight="1">
      <c r="A9" s="253"/>
      <c r="B9" s="254" t="s">
        <v>681</v>
      </c>
      <c r="C9" s="255" t="s">
        <v>682</v>
      </c>
      <c r="D9" s="254" t="s">
        <v>681</v>
      </c>
      <c r="E9" s="255" t="s">
        <v>682</v>
      </c>
      <c r="F9" s="254" t="s">
        <v>681</v>
      </c>
      <c r="G9" s="255" t="s">
        <v>682</v>
      </c>
      <c r="H9" s="254" t="s">
        <v>681</v>
      </c>
      <c r="I9" s="255" t="s">
        <v>682</v>
      </c>
      <c r="J9" s="254" t="s">
        <v>681</v>
      </c>
      <c r="K9" s="255" t="s">
        <v>682</v>
      </c>
      <c r="L9" s="254" t="s">
        <v>681</v>
      </c>
      <c r="M9" s="256" t="s">
        <v>682</v>
      </c>
      <c r="N9" s="254" t="s">
        <v>681</v>
      </c>
      <c r="O9" s="256" t="s">
        <v>682</v>
      </c>
      <c r="P9" s="254" t="s">
        <v>681</v>
      </c>
      <c r="Q9" s="256" t="s">
        <v>682</v>
      </c>
      <c r="R9" s="254" t="s">
        <v>681</v>
      </c>
      <c r="S9" s="255" t="s">
        <v>682</v>
      </c>
      <c r="T9" s="254" t="s">
        <v>681</v>
      </c>
      <c r="U9" s="256" t="s">
        <v>682</v>
      </c>
      <c r="V9" s="254" t="s">
        <v>681</v>
      </c>
      <c r="W9" s="256" t="s">
        <v>682</v>
      </c>
      <c r="X9" s="254" t="s">
        <v>681</v>
      </c>
      <c r="Y9" s="256" t="s">
        <v>682</v>
      </c>
      <c r="Z9" s="254" t="s">
        <v>681</v>
      </c>
      <c r="AA9" s="256" t="s">
        <v>682</v>
      </c>
      <c r="AB9" s="254" t="s">
        <v>681</v>
      </c>
      <c r="AC9" s="256" t="s">
        <v>682</v>
      </c>
      <c r="AD9" s="254" t="s">
        <v>681</v>
      </c>
      <c r="AE9" s="256" t="s">
        <v>682</v>
      </c>
    </row>
    <row r="10" spans="1:31">
      <c r="A10" s="185"/>
      <c r="B10" s="186"/>
      <c r="C10" s="246"/>
      <c r="D10" s="186"/>
      <c r="E10" s="246"/>
      <c r="F10" s="186"/>
      <c r="G10" s="246"/>
      <c r="H10" s="257"/>
      <c r="I10" s="257"/>
      <c r="J10" s="186"/>
      <c r="K10" s="246"/>
      <c r="L10" s="186"/>
      <c r="M10" s="246"/>
      <c r="N10" s="186"/>
      <c r="O10" s="246"/>
      <c r="P10" s="186"/>
      <c r="Q10" s="246"/>
      <c r="R10" s="257"/>
      <c r="S10" s="257"/>
      <c r="T10" s="186"/>
      <c r="U10" s="246"/>
      <c r="V10" s="186"/>
      <c r="W10" s="246"/>
      <c r="X10" s="186"/>
      <c r="Y10" s="246"/>
      <c r="Z10" s="186"/>
      <c r="AA10" s="246"/>
      <c r="AB10" s="186"/>
      <c r="AC10" s="246"/>
      <c r="AD10" s="257"/>
      <c r="AE10" s="246"/>
    </row>
    <row r="11" spans="1:31" ht="26.25" customHeight="1">
      <c r="A11" s="258">
        <v>2006</v>
      </c>
      <c r="B11" s="262">
        <v>243561</v>
      </c>
      <c r="C11" s="259">
        <f>+B11/'7'!B11*1000</f>
        <v>14.821750860511198</v>
      </c>
      <c r="D11" s="206">
        <v>22813</v>
      </c>
      <c r="E11" s="259">
        <f>+D11/'7'!C11*1000</f>
        <v>13.562979896016957</v>
      </c>
      <c r="F11" s="206">
        <f t="shared" ref="F11:F13" si="0">+J11+L11+N11+P11+T11+V11+X11+Z11+AB11+AD11</f>
        <v>3538</v>
      </c>
      <c r="G11" s="259">
        <f>+F11/'7'!D11*1000</f>
        <v>14.225174296581615</v>
      </c>
      <c r="H11" s="207">
        <f t="shared" ref="H11:H17" si="1">+J11+L11+N11+P11</f>
        <v>1411</v>
      </c>
      <c r="I11" s="273">
        <f>+H11/'7'!E11*1000</f>
        <v>13.630874752451335</v>
      </c>
      <c r="J11" s="206">
        <v>931</v>
      </c>
      <c r="K11" s="259">
        <f>+J11/'7'!F11*1000</f>
        <v>13.511552304655753</v>
      </c>
      <c r="L11" s="206">
        <v>226</v>
      </c>
      <c r="M11" s="259">
        <f>+L11/'7'!G11*1000</f>
        <v>13.94029114236368</v>
      </c>
      <c r="N11" s="206">
        <v>151</v>
      </c>
      <c r="O11" s="259">
        <f>+N11/'7'!H11*1000</f>
        <v>13.822775540095204</v>
      </c>
      <c r="P11" s="206">
        <v>103</v>
      </c>
      <c r="Q11" s="259">
        <f>+P11/'7'!I11*1000</f>
        <v>13.779264214046822</v>
      </c>
      <c r="R11" s="207">
        <f t="shared" ref="R11:R19" si="2">+T11+V11+X11+Z11+AB11+AD11</f>
        <v>2127</v>
      </c>
      <c r="S11" s="273">
        <f>+R11/'7'!J11*1000</f>
        <v>14.648861218052465</v>
      </c>
      <c r="T11" s="206">
        <v>1122</v>
      </c>
      <c r="U11" s="259">
        <f>+T11/'7'!K11*1000</f>
        <v>15.566685627870193</v>
      </c>
      <c r="V11" s="206">
        <v>189</v>
      </c>
      <c r="W11" s="259">
        <f>+V11/'7'!L11*1000</f>
        <v>11.709311690725482</v>
      </c>
      <c r="X11" s="206">
        <v>173</v>
      </c>
      <c r="Y11" s="259">
        <f>+X11/'7'!M11*1000</f>
        <v>12.413892078071182</v>
      </c>
      <c r="Z11" s="206">
        <v>113</v>
      </c>
      <c r="AA11" s="259">
        <f>+Z11/'7'!N11*1000</f>
        <v>15.808617795187464</v>
      </c>
      <c r="AB11" s="206">
        <v>336</v>
      </c>
      <c r="AC11" s="259">
        <f>+AB11/'7'!O11*1000</f>
        <v>14.622046216110363</v>
      </c>
      <c r="AD11" s="206">
        <v>194</v>
      </c>
      <c r="AE11" s="259">
        <f>+AD11/'7'!P11*1000</f>
        <v>15.017804613717294</v>
      </c>
    </row>
    <row r="12" spans="1:31" ht="26.25" customHeight="1">
      <c r="A12" s="258">
        <v>2007</v>
      </c>
      <c r="B12" s="262">
        <v>242054</v>
      </c>
      <c r="C12" s="259">
        <f>+B12/'7'!B12*1000</f>
        <v>14.583258274423889</v>
      </c>
      <c r="D12" s="206">
        <v>22812</v>
      </c>
      <c r="E12" s="259">
        <f>+D12/'7'!C12*1000</f>
        <v>13.408625086919184</v>
      </c>
      <c r="F12" s="206">
        <f t="shared" si="0"/>
        <v>3610</v>
      </c>
      <c r="G12" s="259">
        <f>+F12/'7'!D12*1000</f>
        <v>14.325055752640811</v>
      </c>
      <c r="H12" s="207">
        <f t="shared" si="1"/>
        <v>1442</v>
      </c>
      <c r="I12" s="273">
        <f>+H12/'7'!E12*1000</f>
        <v>13.714655279000979</v>
      </c>
      <c r="J12" s="206">
        <v>982</v>
      </c>
      <c r="K12" s="259">
        <f>+J12/'7'!F12*1000</f>
        <v>14.003165685114151</v>
      </c>
      <c r="L12" s="206">
        <v>210</v>
      </c>
      <c r="M12" s="259">
        <f>+L12/'7'!G12*1000</f>
        <v>12.752778283840408</v>
      </c>
      <c r="N12" s="206">
        <v>150</v>
      </c>
      <c r="O12" s="259">
        <f>+N12/'7'!H12*1000</f>
        <v>13.677395823835143</v>
      </c>
      <c r="P12" s="206">
        <v>100</v>
      </c>
      <c r="Q12" s="259">
        <f>+P12/'7'!I12*1000</f>
        <v>13.189132155104195</v>
      </c>
      <c r="R12" s="207">
        <f t="shared" si="2"/>
        <v>2168</v>
      </c>
      <c r="S12" s="273">
        <f>+R12/'7'!J12*1000</f>
        <v>14.762057155308009</v>
      </c>
      <c r="T12" s="206">
        <v>1208</v>
      </c>
      <c r="U12" s="259">
        <f>+T12/'7'!K12*1000</f>
        <v>16.511980754247599</v>
      </c>
      <c r="V12" s="206">
        <v>190</v>
      </c>
      <c r="W12" s="259">
        <f>+V12/'7'!L12*1000</f>
        <v>11.627906976744185</v>
      </c>
      <c r="X12" s="206">
        <v>201</v>
      </c>
      <c r="Y12" s="259">
        <f>+X12/'7'!M11*1000</f>
        <v>14.423076923076923</v>
      </c>
      <c r="Z12" s="206">
        <v>88</v>
      </c>
      <c r="AA12" s="259">
        <f>+Z12/'7'!N12*1000</f>
        <v>12.18836565096953</v>
      </c>
      <c r="AB12" s="206">
        <v>307</v>
      </c>
      <c r="AC12" s="259">
        <f>+AB12/'7'!O12*1000</f>
        <v>13.290618641499632</v>
      </c>
      <c r="AD12" s="206">
        <v>174</v>
      </c>
      <c r="AE12" s="259">
        <f>+AD12/'7'!P12*1000</f>
        <v>13.391826368044331</v>
      </c>
    </row>
    <row r="13" spans="1:31" ht="26.25" customHeight="1">
      <c r="A13" s="258">
        <v>2008</v>
      </c>
      <c r="B13" s="262">
        <v>248366</v>
      </c>
      <c r="C13" s="259">
        <f>+B13/'7'!B13*1000</f>
        <v>14.815906253299584</v>
      </c>
      <c r="D13" s="206">
        <v>23203</v>
      </c>
      <c r="E13" s="259">
        <f>+D13/'7'!C13*1000</f>
        <v>13.485506117676051</v>
      </c>
      <c r="F13" s="206">
        <f t="shared" si="0"/>
        <v>3667</v>
      </c>
      <c r="G13" s="259">
        <f>+F13/'7'!D13*1000</f>
        <v>14.363156369219681</v>
      </c>
      <c r="H13" s="207">
        <f t="shared" si="1"/>
        <v>1473</v>
      </c>
      <c r="I13" s="273">
        <f>+H13/'7'!E13*1000</f>
        <v>13.796785433292122</v>
      </c>
      <c r="J13" s="206">
        <v>965</v>
      </c>
      <c r="K13" s="259">
        <f>+J13/'7'!F13*1000</f>
        <v>13.525066924553952</v>
      </c>
      <c r="L13" s="206">
        <v>244</v>
      </c>
      <c r="M13" s="259">
        <f>+L13/'7'!G13*1000</f>
        <v>14.59068348980446</v>
      </c>
      <c r="N13" s="206">
        <v>152</v>
      </c>
      <c r="O13" s="259">
        <f>+N13/'7'!H13*1000</f>
        <v>13.825723121702747</v>
      </c>
      <c r="P13" s="206">
        <v>112</v>
      </c>
      <c r="Q13" s="259">
        <f>+P13/'7'!I13*1000</f>
        <v>14.549233567160302</v>
      </c>
      <c r="R13" s="207">
        <f t="shared" si="2"/>
        <v>2194</v>
      </c>
      <c r="S13" s="273">
        <f>+R13/'7'!J13*1000</f>
        <v>14.770233334679753</v>
      </c>
      <c r="T13" s="206">
        <v>1192</v>
      </c>
      <c r="U13" s="259">
        <f>+T13/'7'!K13*1000</f>
        <v>16.056683325026604</v>
      </c>
      <c r="V13" s="206">
        <v>200</v>
      </c>
      <c r="W13" s="259">
        <f>+V13/'7'!L13*1000</f>
        <v>12.091167402212683</v>
      </c>
      <c r="X13" s="206">
        <v>164</v>
      </c>
      <c r="Y13" s="259">
        <f>+X13/'7'!M12*1000</f>
        <v>11.670936521491603</v>
      </c>
      <c r="Z13" s="206">
        <v>126</v>
      </c>
      <c r="AA13" s="259">
        <f>+Z13/'7'!N13*1000</f>
        <v>17.279210093252882</v>
      </c>
      <c r="AB13" s="206">
        <v>317</v>
      </c>
      <c r="AC13" s="259">
        <f>+AB13/'7'!O13*1000</f>
        <v>13.650848333476874</v>
      </c>
      <c r="AD13" s="206">
        <v>195</v>
      </c>
      <c r="AE13" s="259">
        <f>+AD13/'7'!P13*1000</f>
        <v>14.915098669114272</v>
      </c>
    </row>
    <row r="14" spans="1:31" ht="26.25" customHeight="1">
      <c r="A14" s="258">
        <v>2009</v>
      </c>
      <c r="B14" s="206">
        <v>252240</v>
      </c>
      <c r="C14" s="259">
        <f>+B14/'7'!B14*1000</f>
        <v>14.899987731020252</v>
      </c>
      <c r="D14" s="206">
        <v>23735</v>
      </c>
      <c r="E14" s="259">
        <f>+D14/'7'!C14*1000</f>
        <v>13.641776770298573</v>
      </c>
      <c r="F14" s="206">
        <f t="shared" ref="F14:F16" si="3">+J14+L14+N14+P14+T14+V14+X14+Z14+AB14+AD14</f>
        <v>3702</v>
      </c>
      <c r="G14" s="259">
        <f>+F14/'7'!D14*1000</f>
        <v>14.317040062187466</v>
      </c>
      <c r="H14" s="207">
        <f t="shared" si="1"/>
        <v>1534</v>
      </c>
      <c r="I14" s="273">
        <f>+H14/'7'!E14*1000</f>
        <v>14.156515319306017</v>
      </c>
      <c r="J14" s="206">
        <v>985</v>
      </c>
      <c r="K14" s="259">
        <f>+J14/'7'!F14*1000</f>
        <v>13.57441120130094</v>
      </c>
      <c r="L14" s="206">
        <v>260</v>
      </c>
      <c r="M14" s="259">
        <f>+L14/'7'!G14*1000</f>
        <v>15.324767181421667</v>
      </c>
      <c r="N14" s="206">
        <v>156</v>
      </c>
      <c r="O14" s="259">
        <f>+N14/'7'!H14*1000</f>
        <v>14.141963557247758</v>
      </c>
      <c r="P14" s="206">
        <v>133</v>
      </c>
      <c r="Q14" s="259">
        <f>+P14/'7'!I14*1000</f>
        <v>17.051282051282051</v>
      </c>
      <c r="R14" s="207">
        <f t="shared" si="2"/>
        <v>2168</v>
      </c>
      <c r="S14" s="273">
        <f>+R14/'7'!J14*1000</f>
        <v>14.432838702375959</v>
      </c>
      <c r="T14" s="206">
        <v>1169</v>
      </c>
      <c r="U14" s="259">
        <f>+T14/'7'!K14*1000</f>
        <v>15.524156064911955</v>
      </c>
      <c r="V14" s="206">
        <v>203</v>
      </c>
      <c r="W14" s="259">
        <f>+V14/'7'!L14*1000</f>
        <v>12.123021797551509</v>
      </c>
      <c r="X14" s="206">
        <v>170</v>
      </c>
      <c r="Y14" s="259">
        <f>+X14/'7'!M13*1000</f>
        <v>11.992099322799097</v>
      </c>
      <c r="Z14" s="206">
        <v>101</v>
      </c>
      <c r="AA14" s="259">
        <f>+Z14/'7'!N14*1000</f>
        <v>13.732154996600951</v>
      </c>
      <c r="AB14" s="206">
        <v>344</v>
      </c>
      <c r="AC14" s="259">
        <f>+AB14/'7'!O14*1000</f>
        <v>14.734858219823524</v>
      </c>
      <c r="AD14" s="206">
        <v>181</v>
      </c>
      <c r="AE14" s="259">
        <f>+AD14/'7'!P14*1000</f>
        <v>13.771589439245226</v>
      </c>
    </row>
    <row r="15" spans="1:31" ht="26.25" customHeight="1">
      <c r="A15" s="258">
        <v>2010</v>
      </c>
      <c r="B15" s="262">
        <v>251199</v>
      </c>
      <c r="C15" s="259">
        <f>+B15/'7'!B15*1000</f>
        <v>14.694924088598109</v>
      </c>
      <c r="D15" s="206">
        <v>23820</v>
      </c>
      <c r="E15" s="259">
        <f>+D15/'7'!C15*1000</f>
        <v>13.540499565987766</v>
      </c>
      <c r="F15" s="206">
        <f t="shared" si="3"/>
        <v>3926</v>
      </c>
      <c r="G15" s="259">
        <f>+F15/'7'!D15*1000</f>
        <v>14.991255737229176</v>
      </c>
      <c r="H15" s="207">
        <f t="shared" si="1"/>
        <v>1661</v>
      </c>
      <c r="I15" s="273">
        <f>+H15/'7'!E15*1000</f>
        <v>15.10123555563637</v>
      </c>
      <c r="J15" s="206">
        <v>1063</v>
      </c>
      <c r="K15" s="259">
        <f>+J15/'7'!F15*1000</f>
        <v>14.40437958182582</v>
      </c>
      <c r="L15" s="206">
        <v>249</v>
      </c>
      <c r="M15" s="259">
        <f>+L15/'7'!G15*1000</f>
        <v>14.46160994308282</v>
      </c>
      <c r="N15" s="206">
        <v>186</v>
      </c>
      <c r="O15" s="259">
        <f>+N15/'7'!H15*1000</f>
        <v>16.808241460328937</v>
      </c>
      <c r="P15" s="206">
        <v>163</v>
      </c>
      <c r="Q15" s="259">
        <f>+P15/'7'!I15*1000</f>
        <v>20.606826801517066</v>
      </c>
      <c r="R15" s="207">
        <f t="shared" si="2"/>
        <v>2265</v>
      </c>
      <c r="S15" s="273">
        <f>+R15/'7'!J15*1000</f>
        <v>14.911616577240856</v>
      </c>
      <c r="T15" s="206">
        <v>1217</v>
      </c>
      <c r="U15" s="259">
        <f>+T15/'7'!K15*1000</f>
        <v>15.933490442524221</v>
      </c>
      <c r="V15" s="206">
        <v>190</v>
      </c>
      <c r="W15" s="259">
        <f>+V15/'7'!L15*1000</f>
        <v>11.205472988912479</v>
      </c>
      <c r="X15" s="206">
        <v>193</v>
      </c>
      <c r="Y15" s="259">
        <f>+X15/'7'!M14*1000</f>
        <v>13.475771540287671</v>
      </c>
      <c r="Z15" s="206">
        <v>105</v>
      </c>
      <c r="AA15" s="259">
        <f>+Z15/'7'!N15*1000</f>
        <v>14.129995962858295</v>
      </c>
      <c r="AB15" s="206">
        <v>330</v>
      </c>
      <c r="AC15" s="259">
        <f>+AB15/'7'!O15*1000</f>
        <v>14.058705747028501</v>
      </c>
      <c r="AD15" s="206">
        <v>230</v>
      </c>
      <c r="AE15" s="259">
        <f>+AD15/'7'!P15*1000</f>
        <v>17.399198123912551</v>
      </c>
    </row>
    <row r="16" spans="1:31" ht="26.25" customHeight="1">
      <c r="A16" s="258">
        <v>2011</v>
      </c>
      <c r="B16" s="262">
        <v>248879</v>
      </c>
      <c r="C16" s="259">
        <f>+B16/'7'!B16*1000</f>
        <v>14.429064640590893</v>
      </c>
      <c r="D16" s="206">
        <v>23694</v>
      </c>
      <c r="E16" s="259">
        <f>+D16/'7'!C16*1000</f>
        <v>13.330182787895154</v>
      </c>
      <c r="F16" s="206">
        <f t="shared" si="3"/>
        <v>3698</v>
      </c>
      <c r="G16" s="259">
        <f>+F16/'7'!D16*1000</f>
        <v>13.959879502608512</v>
      </c>
      <c r="H16" s="207">
        <f t="shared" si="1"/>
        <v>1511</v>
      </c>
      <c r="I16" s="273">
        <f>+H16/'7'!E16*1000</f>
        <v>13.553392833116563</v>
      </c>
      <c r="J16" s="206">
        <v>969</v>
      </c>
      <c r="K16" s="259">
        <f>+J16/'7'!F16*1000</f>
        <v>12.92706679651543</v>
      </c>
      <c r="L16" s="206">
        <v>232</v>
      </c>
      <c r="M16" s="259">
        <f>+L16/'7'!G16*1000</f>
        <v>13.29741502837164</v>
      </c>
      <c r="N16" s="206">
        <v>167</v>
      </c>
      <c r="O16" s="259">
        <f>+N16/'7'!H16*1000</f>
        <v>15.07492327134862</v>
      </c>
      <c r="P16" s="206">
        <v>143</v>
      </c>
      <c r="Q16" s="259">
        <f>+P16/'7'!I16*1000</f>
        <v>17.872765904261968</v>
      </c>
      <c r="R16" s="207">
        <f t="shared" si="2"/>
        <v>2187</v>
      </c>
      <c r="S16" s="273">
        <f>+R16/'7'!J16*1000</f>
        <v>14.255265061890142</v>
      </c>
      <c r="T16" s="206">
        <v>1120</v>
      </c>
      <c r="U16" s="259">
        <f>+T16/'7'!K16*1000</f>
        <v>14.471406052148744</v>
      </c>
      <c r="V16" s="206">
        <v>213</v>
      </c>
      <c r="W16" s="259">
        <f>+V16/'7'!L16*1000</f>
        <v>12.421998017145857</v>
      </c>
      <c r="X16" s="206">
        <v>252</v>
      </c>
      <c r="Y16" s="259">
        <f>+X16/'7'!M15*1000</f>
        <v>17.456359102244388</v>
      </c>
      <c r="Z16" s="206">
        <v>100</v>
      </c>
      <c r="AA16" s="259">
        <f>+Z16/'7'!N16*1000</f>
        <v>13.345789403443213</v>
      </c>
      <c r="AB16" s="206">
        <v>324</v>
      </c>
      <c r="AC16" s="259">
        <f>+AB16/'7'!O16*1000</f>
        <v>13.752705972239909</v>
      </c>
      <c r="AD16" s="206">
        <v>178</v>
      </c>
      <c r="AE16" s="259">
        <f>+AD16/'7'!P16*1000</f>
        <v>13.403614457831326</v>
      </c>
    </row>
    <row r="17" spans="1:31" ht="26.25" customHeight="1">
      <c r="A17" s="258">
        <v>2012</v>
      </c>
      <c r="B17" s="262">
        <v>243858</v>
      </c>
      <c r="C17" s="259">
        <f>+B17/'7'!B17*1000</f>
        <v>14.012709573208188</v>
      </c>
      <c r="D17" s="206">
        <v>23619</v>
      </c>
      <c r="E17" s="259">
        <f>+D17/'7'!C17*1000</f>
        <v>13.152611839522432</v>
      </c>
      <c r="F17" s="206">
        <f>+J17+L17+N17+P17+T17+V17+X17+Z17+AB17+AD17</f>
        <v>3810</v>
      </c>
      <c r="G17" s="259">
        <f>+F17/'7'!D17*1000</f>
        <v>14.221087521275642</v>
      </c>
      <c r="H17" s="207">
        <f t="shared" si="1"/>
        <v>1542</v>
      </c>
      <c r="I17" s="273">
        <f>+H17/'7'!E17*1000</f>
        <v>13.648191747357986</v>
      </c>
      <c r="J17" s="206">
        <v>957</v>
      </c>
      <c r="K17" s="259">
        <f>+J17/'7'!F17*1000</f>
        <v>12.570602916064628</v>
      </c>
      <c r="L17" s="206">
        <v>247</v>
      </c>
      <c r="M17" s="259">
        <f>+L17/'7'!G17*1000</f>
        <v>13.972959212536063</v>
      </c>
      <c r="N17" s="206">
        <v>192</v>
      </c>
      <c r="O17" s="259">
        <f>+N17/'7'!H17*1000</f>
        <v>17.311333513659726</v>
      </c>
      <c r="P17" s="206">
        <v>146</v>
      </c>
      <c r="Q17" s="259">
        <f>+P17/'7'!I17*1000</f>
        <v>18.06036615536863</v>
      </c>
      <c r="R17" s="207">
        <f t="shared" si="2"/>
        <v>2268</v>
      </c>
      <c r="S17" s="273">
        <f>+R17/'7'!J17*1000</f>
        <v>14.638869166720454</v>
      </c>
      <c r="T17" s="206">
        <v>1205</v>
      </c>
      <c r="U17" s="259">
        <f>+T17/'7'!K17*1000</f>
        <v>15.364410669658795</v>
      </c>
      <c r="V17" s="206">
        <v>202</v>
      </c>
      <c r="W17" s="259">
        <f>+V17/'7'!L17*1000</f>
        <v>11.652053530226119</v>
      </c>
      <c r="X17" s="206">
        <v>198</v>
      </c>
      <c r="Y17" s="259">
        <f>+X17/'7'!M16*1000</f>
        <v>13.613861386138614</v>
      </c>
      <c r="Z17" s="206">
        <v>99</v>
      </c>
      <c r="AA17" s="259">
        <f>+Z17/'7'!N17*1000</f>
        <v>13.102170460561142</v>
      </c>
      <c r="AB17" s="206">
        <v>383</v>
      </c>
      <c r="AC17" s="259">
        <f>+AB17/'7'!O17*1000</f>
        <v>16.202724426770455</v>
      </c>
      <c r="AD17" s="206">
        <v>181</v>
      </c>
      <c r="AE17" s="259">
        <f>+AD17/'7'!P17*1000</f>
        <v>13.588588588588587</v>
      </c>
    </row>
    <row r="18" spans="1:31" ht="26.25" customHeight="1">
      <c r="A18" s="258">
        <v>2013</v>
      </c>
      <c r="B18" s="262">
        <v>242005</v>
      </c>
      <c r="C18" s="259">
        <f>+B18/'7'!B18*1000</f>
        <v>13.784106057960969</v>
      </c>
      <c r="D18" s="206">
        <v>23127</v>
      </c>
      <c r="E18" s="259">
        <f>+D18/'7'!C18*1000</f>
        <v>12.748617893708047</v>
      </c>
      <c r="F18" s="206">
        <f>+J18+L18+N18+P18+T18+V18+X18+Z18+AB18+AD18</f>
        <v>3717</v>
      </c>
      <c r="G18" s="259">
        <f>+F18/'7'!D18*1000</f>
        <v>13.718550122348651</v>
      </c>
      <c r="H18" s="207">
        <f t="shared" ref="H18:H19" si="4">+J18+L18+N18+P18</f>
        <v>1532</v>
      </c>
      <c r="I18" s="273">
        <f>+H18/'7'!E18*1000</f>
        <v>13.380380100614868</v>
      </c>
      <c r="J18" s="206">
        <v>951</v>
      </c>
      <c r="K18" s="259">
        <f>+J18/'7'!F18*1000</f>
        <v>12.301920962421578</v>
      </c>
      <c r="L18" s="206">
        <v>270</v>
      </c>
      <c r="M18" s="259">
        <f>+L18/'7'!G18*1000</f>
        <v>15.079586707623568</v>
      </c>
      <c r="N18" s="206">
        <v>167</v>
      </c>
      <c r="O18" s="259">
        <f>+N18/'7'!H18*1000</f>
        <v>15.035563158368596</v>
      </c>
      <c r="P18" s="206">
        <v>144</v>
      </c>
      <c r="Q18" s="259">
        <f>+P18/'7'!I18*1000</f>
        <v>17.60606431104047</v>
      </c>
      <c r="R18" s="207">
        <f t="shared" si="2"/>
        <v>2185</v>
      </c>
      <c r="S18" s="273">
        <f>+R18/'7'!J18*1000</f>
        <v>13.966034093741809</v>
      </c>
      <c r="T18" s="206">
        <v>1108</v>
      </c>
      <c r="U18" s="259">
        <f>+T18/'7'!K18*1000</f>
        <v>13.945175825005663</v>
      </c>
      <c r="V18" s="206">
        <v>208</v>
      </c>
      <c r="W18" s="259">
        <f>+V18/'7'!L18*1000</f>
        <v>11.868758915834523</v>
      </c>
      <c r="X18" s="206">
        <v>212</v>
      </c>
      <c r="Y18" s="259">
        <f>+X18/'7'!M17*1000</f>
        <v>14.469014469014468</v>
      </c>
      <c r="Z18" s="206">
        <v>88</v>
      </c>
      <c r="AA18" s="259">
        <f>+Z18/'7'!N18*1000</f>
        <v>11.553104896941052</v>
      </c>
      <c r="AB18" s="206">
        <v>375</v>
      </c>
      <c r="AC18" s="259">
        <f>+AB18/'7'!O18*1000</f>
        <v>15.804113283884018</v>
      </c>
      <c r="AD18" s="206">
        <v>194</v>
      </c>
      <c r="AE18" s="259">
        <f>+AD18/'7'!P18*1000</f>
        <v>14.505757439808583</v>
      </c>
    </row>
    <row r="19" spans="1:31" ht="26.25" customHeight="1">
      <c r="A19" s="258">
        <v>2014</v>
      </c>
      <c r="B19" s="262"/>
      <c r="C19" s="259"/>
      <c r="D19" s="206"/>
      <c r="E19" s="263"/>
      <c r="F19" s="206">
        <f>+J19+L19+N19+P19+T19+V19+X19+Z19+AB19+AD19</f>
        <v>3753</v>
      </c>
      <c r="G19" s="259">
        <f>+F19/'7'!D19*1000</f>
        <v>13.698680137826315</v>
      </c>
      <c r="H19" s="207">
        <f t="shared" si="4"/>
        <v>1561</v>
      </c>
      <c r="I19" s="273">
        <f>+H19/'7'!E19*1000</f>
        <v>13.457128571182261</v>
      </c>
      <c r="J19" s="206">
        <v>1024</v>
      </c>
      <c r="K19" s="259">
        <f>+J19/'7'!F19*1000</f>
        <v>13.049074203866297</v>
      </c>
      <c r="L19" s="206">
        <v>254</v>
      </c>
      <c r="M19" s="259">
        <f>+L19/'7'!G19*1000</f>
        <v>14.001433217573453</v>
      </c>
      <c r="N19" s="206">
        <v>151</v>
      </c>
      <c r="O19" s="259">
        <f>+N19/'7'!H19*1000</f>
        <v>13.588912886969043</v>
      </c>
      <c r="P19" s="206">
        <v>132</v>
      </c>
      <c r="Q19" s="259">
        <f>+P19/'7'!I19*1000</f>
        <v>15.957446808510637</v>
      </c>
      <c r="R19" s="207">
        <f t="shared" si="2"/>
        <v>2192</v>
      </c>
      <c r="S19" s="273">
        <f>+R19/'7'!J19*1000</f>
        <v>13.87605241501551</v>
      </c>
      <c r="T19" s="206">
        <v>1101</v>
      </c>
      <c r="U19" s="259">
        <f>+T19/'7'!K19*1000</f>
        <v>13.680587482448837</v>
      </c>
      <c r="V19" s="206">
        <v>194</v>
      </c>
      <c r="W19" s="259">
        <f>+V19/'7'!L19*1000</f>
        <v>10.950553172273651</v>
      </c>
      <c r="X19" s="206">
        <v>193</v>
      </c>
      <c r="Y19" s="259">
        <f>+X19/'7'!M18*1000</f>
        <v>13.082084999661086</v>
      </c>
      <c r="Z19" s="206">
        <v>115</v>
      </c>
      <c r="AA19" s="259">
        <f>+Z19/'7'!N19*1000</f>
        <v>14.970059880239521</v>
      </c>
      <c r="AB19" s="206">
        <v>392</v>
      </c>
      <c r="AC19" s="259">
        <f>+AB19/'7'!O19*1000</f>
        <v>16.46367072658547</v>
      </c>
      <c r="AD19" s="206">
        <v>197</v>
      </c>
      <c r="AE19" s="259">
        <f>+AD19/'7'!P19*1000</f>
        <v>14.680676652507639</v>
      </c>
    </row>
    <row r="20" spans="1:31" ht="26.25" customHeight="1">
      <c r="A20" s="258">
        <v>2015</v>
      </c>
      <c r="B20" s="262"/>
      <c r="C20" s="259"/>
      <c r="D20" s="206"/>
      <c r="E20" s="263"/>
      <c r="F20" s="206">
        <f>+J20+L20+N20+P20+T20+V20+X20+Z20+AB20+AD20</f>
        <v>3613</v>
      </c>
      <c r="G20" s="259">
        <f>+F20/'7'!D20*1000</f>
        <v>13.044027654927163</v>
      </c>
      <c r="H20" s="207">
        <f>+J20+L20+N20+P20</f>
        <v>1460</v>
      </c>
      <c r="I20" s="273">
        <f>+H20/'7'!E20*1000</f>
        <v>12.425954926125145</v>
      </c>
      <c r="J20" s="206">
        <f>+[3]Consolidado!$B15</f>
        <v>924</v>
      </c>
      <c r="K20" s="259">
        <f>+J20/'7'!F20*1000</f>
        <v>11.602647010811557</v>
      </c>
      <c r="L20" s="206">
        <f>+[3]Consolidado!$B16</f>
        <v>207</v>
      </c>
      <c r="M20" s="259">
        <f>+L20/'7'!G20*1000</f>
        <v>11.272667864727985</v>
      </c>
      <c r="N20" s="206">
        <f>+[3]Consolidado!$B17</f>
        <v>189</v>
      </c>
      <c r="O20" s="259">
        <f>+N20/'7'!H20*1000</f>
        <v>16.981132075471699</v>
      </c>
      <c r="P20" s="206">
        <f>+[3]Consolidado!$B18</f>
        <v>140</v>
      </c>
      <c r="Q20" s="259">
        <f>+P20/'7'!I20*1000</f>
        <v>16.734401147501792</v>
      </c>
      <c r="R20" s="207">
        <f>+T20+V20+X20+Z20+AB20+AD20</f>
        <v>2153</v>
      </c>
      <c r="S20" s="273">
        <f>+R20/'7'!J20*1000</f>
        <v>13.499363592473463</v>
      </c>
      <c r="T20" s="206">
        <f>+[3]Consolidado!$B20</f>
        <v>1116</v>
      </c>
      <c r="U20" s="259">
        <f>+T20/'7'!K20*1000</f>
        <v>13.693251533742332</v>
      </c>
      <c r="V20" s="206">
        <f>+[3]Consolidado!$B21</f>
        <v>218</v>
      </c>
      <c r="W20" s="259">
        <f>+V20/'7'!L20*1000</f>
        <v>12.174690048028593</v>
      </c>
      <c r="X20" s="206">
        <f>+[3]Consolidado!$B22</f>
        <v>206</v>
      </c>
      <c r="Y20" s="259">
        <f>+X20/'7'!M19*1000</f>
        <v>13.858988159311087</v>
      </c>
      <c r="Z20" s="206">
        <f>+[3]Consolidado!$B23</f>
        <v>106</v>
      </c>
      <c r="AA20" s="259">
        <f>+Z20/'7'!N20*1000</f>
        <v>13.689784321322485</v>
      </c>
      <c r="AB20" s="206">
        <f>+[3]Consolidado!$B24</f>
        <v>333</v>
      </c>
      <c r="AC20" s="259">
        <f>+AB20/'7'!O20*1000</f>
        <v>13.937719738824711</v>
      </c>
      <c r="AD20" s="206">
        <f>+[3]Consolidado!$B25</f>
        <v>174</v>
      </c>
      <c r="AE20" s="259">
        <f>+AD20/'7'!P20*1000</f>
        <v>12.911843276936777</v>
      </c>
    </row>
    <row r="21" spans="1:31">
      <c r="A21" s="264"/>
      <c r="B21" s="209"/>
      <c r="C21" s="265"/>
      <c r="D21" s="209"/>
      <c r="E21" s="265"/>
      <c r="F21" s="215"/>
      <c r="G21" s="265"/>
      <c r="H21" s="266"/>
      <c r="I21" s="266"/>
      <c r="J21" s="209"/>
      <c r="K21" s="265"/>
      <c r="L21" s="209"/>
      <c r="M21" s="265"/>
      <c r="N21" s="209"/>
      <c r="O21" s="265"/>
      <c r="P21" s="209"/>
      <c r="Q21" s="265"/>
      <c r="R21" s="266"/>
      <c r="S21" s="266"/>
      <c r="T21" s="209"/>
      <c r="U21" s="265"/>
      <c r="V21" s="209"/>
      <c r="W21" s="265"/>
      <c r="X21" s="209"/>
      <c r="Y21" s="265"/>
      <c r="Z21" s="209"/>
      <c r="AA21" s="265"/>
      <c r="AB21" s="209"/>
      <c r="AC21" s="265"/>
      <c r="AD21" s="266"/>
      <c r="AE21" s="265"/>
    </row>
    <row r="22" spans="1:31">
      <c r="A22" s="216"/>
      <c r="B22" s="220" t="s">
        <v>1363</v>
      </c>
      <c r="D22" s="267"/>
      <c r="E22" s="216"/>
      <c r="F22" s="216"/>
      <c r="G22" s="216"/>
      <c r="H22" s="216"/>
      <c r="I22" s="216"/>
      <c r="J22" s="216"/>
      <c r="K22" s="1"/>
      <c r="L22" s="1"/>
      <c r="M22" s="1"/>
      <c r="N22" s="1"/>
      <c r="O22" s="1"/>
      <c r="P22" s="1"/>
      <c r="Q22" s="1"/>
      <c r="R22" s="1"/>
      <c r="S22" s="1"/>
      <c r="T22" s="1"/>
      <c r="U22" s="1"/>
      <c r="V22" s="1"/>
      <c r="W22" s="1"/>
      <c r="X22" s="1"/>
      <c r="Y22" s="1"/>
      <c r="Z22" s="1"/>
      <c r="AA22" s="1"/>
      <c r="AB22" s="1"/>
      <c r="AC22" s="1"/>
      <c r="AD22" s="1"/>
      <c r="AE22" s="1"/>
    </row>
    <row r="23" spans="1:31">
      <c r="A23" s="216"/>
      <c r="B23" s="216"/>
      <c r="C23" s="220" t="s">
        <v>1292</v>
      </c>
      <c r="D23" s="220"/>
      <c r="E23" s="216"/>
      <c r="F23" s="216"/>
      <c r="G23" s="216"/>
      <c r="H23" s="216"/>
      <c r="I23" s="216"/>
      <c r="J23" s="216"/>
      <c r="K23" s="1"/>
      <c r="L23" s="1"/>
      <c r="M23" s="1"/>
      <c r="N23" s="1"/>
      <c r="O23" s="1"/>
      <c r="P23" s="1"/>
      <c r="Q23" s="1"/>
      <c r="R23" s="1"/>
      <c r="S23" s="1"/>
      <c r="T23" s="1"/>
      <c r="U23" s="1"/>
      <c r="V23" s="1"/>
      <c r="W23" s="1"/>
      <c r="X23" s="1"/>
      <c r="Y23" s="1"/>
      <c r="Z23" s="1"/>
      <c r="AA23" s="1"/>
      <c r="AB23" s="1"/>
      <c r="AC23" s="1"/>
      <c r="AD23" s="1"/>
      <c r="AE23" s="1"/>
    </row>
    <row r="24" spans="1:3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row>
  </sheetData>
  <phoneticPr fontId="19" type="noConversion"/>
  <pageMargins left="0.59055118110236227" right="0.59055118110236227" top="1.5748031496062993" bottom="0.78740157480314965" header="0.51181102362204722" footer="0.51181102362204722"/>
  <pageSetup paperSize="5" scale="90" orientation="landscape"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T23"/>
  <sheetViews>
    <sheetView showGridLines="0" topLeftCell="A17" zoomScale="94" zoomScaleNormal="94" workbookViewId="0">
      <selection activeCell="L8" sqref="L8"/>
    </sheetView>
  </sheetViews>
  <sheetFormatPr baseColWidth="10" defaultRowHeight="12.75"/>
  <cols>
    <col min="1" max="1" width="5.42578125" customWidth="1"/>
    <col min="2" max="2" width="19.42578125" customWidth="1"/>
    <col min="3" max="3" width="15.5703125" customWidth="1"/>
    <col min="4" max="4" width="13.85546875" customWidth="1"/>
    <col min="5" max="5" width="15.140625" customWidth="1"/>
    <col min="6" max="6" width="11.42578125" customWidth="1"/>
  </cols>
  <sheetData>
    <row r="3" spans="1:7" ht="14.25">
      <c r="G3" s="1309"/>
    </row>
    <row r="4" spans="1:7" ht="23.25">
      <c r="A4" s="1369"/>
      <c r="B4" s="1369"/>
      <c r="C4" s="1369"/>
      <c r="D4" s="1369"/>
      <c r="E4" s="1369"/>
      <c r="F4" s="1369"/>
    </row>
    <row r="5" spans="1:7" ht="15">
      <c r="A5" s="1293"/>
      <c r="B5" s="175"/>
      <c r="C5" s="176"/>
      <c r="D5" s="176"/>
      <c r="E5" s="176"/>
      <c r="F5" s="177"/>
    </row>
    <row r="6" spans="1:7" ht="15">
      <c r="A6" s="1293"/>
      <c r="B6" s="175"/>
      <c r="C6" s="176"/>
      <c r="D6" s="176"/>
      <c r="E6" s="176"/>
      <c r="F6" s="177"/>
    </row>
    <row r="7" spans="1:7" ht="15">
      <c r="A7" s="1295"/>
      <c r="B7" s="175"/>
      <c r="C7" s="176"/>
      <c r="D7" s="176"/>
      <c r="E7" s="176"/>
      <c r="F7" s="177"/>
    </row>
    <row r="8" spans="1:7" ht="23.25">
      <c r="A8" s="178"/>
      <c r="B8" s="179"/>
      <c r="C8" s="179"/>
      <c r="D8" s="179"/>
      <c r="E8" s="179"/>
      <c r="F8" s="1"/>
    </row>
    <row r="9" spans="1:7" ht="79.5" customHeight="1">
      <c r="A9" s="178"/>
      <c r="B9" s="1370"/>
      <c r="C9" s="1370"/>
      <c r="D9" s="1370"/>
      <c r="E9" s="1370"/>
      <c r="F9" s="1370"/>
    </row>
    <row r="10" spans="1:7" ht="13.5" customHeight="1">
      <c r="A10" s="173"/>
      <c r="B10" s="1305"/>
      <c r="C10" s="179"/>
      <c r="D10" s="179"/>
      <c r="E10" s="179"/>
      <c r="F10" s="1"/>
    </row>
    <row r="11" spans="1:7" ht="127.5" customHeight="1">
      <c r="A11" s="179"/>
      <c r="B11" s="1368"/>
      <c r="C11" s="1368"/>
      <c r="D11" s="1368"/>
      <c r="E11" s="1368"/>
      <c r="F11" s="1368"/>
    </row>
    <row r="12" spans="1:7">
      <c r="A12" s="2"/>
      <c r="B12" s="2"/>
      <c r="C12" s="2"/>
      <c r="D12" s="2"/>
      <c r="E12" s="2"/>
    </row>
    <row r="13" spans="1:7">
      <c r="A13" s="2"/>
      <c r="B13" s="2"/>
      <c r="C13" s="2"/>
      <c r="D13" s="2"/>
      <c r="E13" s="2"/>
    </row>
    <row r="15" spans="1:7" ht="21" customHeight="1">
      <c r="B15" s="1307"/>
    </row>
    <row r="16" spans="1:7" ht="57.75" customHeight="1">
      <c r="B16" s="1368"/>
      <c r="C16" s="1368"/>
      <c r="D16" s="1368"/>
      <c r="E16" s="1368"/>
      <c r="F16" s="1368"/>
    </row>
    <row r="19" spans="2:20" ht="23.25" customHeight="1">
      <c r="B19" s="1308"/>
    </row>
    <row r="20" spans="2:20" ht="67.5" customHeight="1">
      <c r="B20" s="1368"/>
      <c r="C20" s="1368"/>
      <c r="D20" s="1368"/>
      <c r="E20" s="1368"/>
      <c r="F20" s="1368"/>
    </row>
    <row r="22" spans="2:20" ht="60" customHeight="1"/>
    <row r="23" spans="2:20" ht="53.25" customHeight="1">
      <c r="T23" s="2"/>
    </row>
  </sheetData>
  <mergeCells count="5">
    <mergeCell ref="B16:F16"/>
    <mergeCell ref="B20:F20"/>
    <mergeCell ref="A4:F4"/>
    <mergeCell ref="B9:F9"/>
    <mergeCell ref="B11:F11"/>
  </mergeCells>
  <phoneticPr fontId="19" type="noConversion"/>
  <printOptions gridLinesSet="0"/>
  <pageMargins left="1" right="1" top="1" bottom="1" header="0.5" footer="0.5"/>
  <pageSetup paperSize="9" orientation="portrait"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
  <sheetViews>
    <sheetView topLeftCell="A18" workbookViewId="0">
      <selection activeCell="X49" sqref="X49"/>
    </sheetView>
  </sheetViews>
  <sheetFormatPr baseColWidth="10" defaultRowHeight="12.75"/>
  <cols>
    <col min="1" max="1" width="6.140625" customWidth="1"/>
    <col min="2" max="2" width="5.7109375" customWidth="1"/>
    <col min="3" max="3" width="7" customWidth="1"/>
    <col min="4" max="4" width="4.7109375" customWidth="1"/>
    <col min="5" max="7" width="6.140625" customWidth="1"/>
    <col min="8" max="9" width="5.7109375" customWidth="1"/>
    <col min="10" max="10" width="4.140625" customWidth="1"/>
    <col min="11" max="11" width="6" customWidth="1"/>
    <col min="12" max="12" width="3.7109375" customWidth="1"/>
    <col min="13" max="13" width="5.85546875" customWidth="1"/>
    <col min="14" max="14" width="3.85546875" customWidth="1"/>
    <col min="15" max="15" width="5.7109375" customWidth="1"/>
    <col min="16" max="16" width="4.42578125" customWidth="1"/>
    <col min="17" max="17" width="5.140625" customWidth="1"/>
    <col min="18" max="18" width="5.28515625" customWidth="1"/>
    <col min="19" max="19" width="5.85546875" customWidth="1"/>
    <col min="20" max="20" width="4.28515625" customWidth="1"/>
    <col min="21" max="21" width="6.42578125" customWidth="1"/>
    <col min="22" max="22" width="4" customWidth="1"/>
    <col min="23" max="23" width="6.42578125" customWidth="1"/>
    <col min="24" max="24" width="4" customWidth="1"/>
    <col min="25" max="25" width="6.42578125" customWidth="1"/>
    <col min="26" max="26" width="4.140625" customWidth="1"/>
    <col min="27" max="27" width="5.85546875" customWidth="1"/>
    <col min="28" max="28" width="4.140625" customWidth="1"/>
    <col min="29" max="29" width="5.7109375" customWidth="1"/>
    <col min="30" max="30" width="4.140625" customWidth="1"/>
    <col min="31" max="31" width="5.7109375" customWidth="1"/>
  </cols>
  <sheetData>
    <row r="1" spans="1:31">
      <c r="A1" s="148" t="s">
        <v>683</v>
      </c>
      <c r="B1" s="148"/>
      <c r="C1" s="148"/>
      <c r="D1" s="148"/>
      <c r="E1" s="148"/>
      <c r="F1" s="148"/>
      <c r="G1" s="148"/>
      <c r="H1" s="148"/>
      <c r="I1" s="148"/>
      <c r="J1" s="148"/>
      <c r="K1" s="148"/>
      <c r="L1" s="148"/>
      <c r="M1" s="148"/>
      <c r="N1" s="148"/>
      <c r="O1" s="148"/>
      <c r="P1" s="148"/>
      <c r="Q1" s="148"/>
      <c r="R1" s="148"/>
      <c r="S1" s="116"/>
      <c r="T1" s="116"/>
      <c r="U1" s="116"/>
      <c r="V1" s="116"/>
      <c r="W1" s="116"/>
      <c r="X1" s="116"/>
      <c r="Y1" s="116"/>
      <c r="Z1" s="116"/>
      <c r="AA1" s="116"/>
      <c r="AB1" s="116"/>
      <c r="AC1" s="116"/>
      <c r="AD1" s="116"/>
      <c r="AE1" s="116"/>
    </row>
    <row r="2" spans="1:31">
      <c r="A2" s="148"/>
      <c r="B2" s="148"/>
      <c r="C2" s="148"/>
      <c r="D2" s="148"/>
      <c r="E2" s="148"/>
      <c r="F2" s="148"/>
      <c r="G2" s="148"/>
      <c r="H2" s="148"/>
      <c r="I2" s="148"/>
      <c r="J2" s="148"/>
      <c r="K2" s="148"/>
      <c r="L2" s="148"/>
      <c r="M2" s="148"/>
      <c r="N2" s="148"/>
      <c r="O2" s="148"/>
      <c r="P2" s="148"/>
      <c r="Q2" s="148"/>
      <c r="R2" s="148"/>
      <c r="S2" s="116"/>
      <c r="T2" s="116"/>
      <c r="U2" s="116"/>
      <c r="V2" s="116"/>
      <c r="W2" s="116"/>
      <c r="X2" s="116"/>
      <c r="Y2" s="116"/>
      <c r="Z2" s="116"/>
      <c r="AA2" s="116"/>
      <c r="AB2" s="116"/>
      <c r="AC2" s="116"/>
      <c r="AD2" s="116"/>
      <c r="AE2" s="116"/>
    </row>
    <row r="3" spans="1:31">
      <c r="A3" s="148" t="str">
        <f>+'18'!A3</f>
        <v>AÑOS   2006  - 2015</v>
      </c>
      <c r="B3" s="148"/>
      <c r="C3" s="148"/>
      <c r="D3" s="148"/>
      <c r="E3" s="148"/>
      <c r="F3" s="148"/>
      <c r="G3" s="148"/>
      <c r="H3" s="148"/>
      <c r="I3" s="148"/>
      <c r="J3" s="148"/>
      <c r="K3" s="148"/>
      <c r="L3" s="148"/>
      <c r="M3" s="148"/>
      <c r="N3" s="148"/>
      <c r="O3" s="148"/>
      <c r="P3" s="148"/>
      <c r="Q3" s="148"/>
      <c r="R3" s="148"/>
      <c r="S3" s="116"/>
      <c r="T3" s="116"/>
      <c r="U3" s="116"/>
      <c r="V3" s="116"/>
      <c r="W3" s="116"/>
      <c r="X3" s="116"/>
      <c r="Y3" s="116"/>
      <c r="Z3" s="116"/>
      <c r="AA3" s="116"/>
      <c r="AB3" s="116"/>
      <c r="AC3" s="116"/>
      <c r="AD3" s="116"/>
      <c r="AE3" s="116"/>
    </row>
    <row r="4" spans="1:31">
      <c r="A4" s="116"/>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row>
    <row r="5" spans="1:31">
      <c r="A5" s="1"/>
      <c r="B5" s="116"/>
      <c r="C5" s="11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row>
    <row r="6" spans="1:31" ht="18.75" customHeight="1">
      <c r="A6" s="194"/>
      <c r="B6" s="193"/>
      <c r="C6" s="188"/>
      <c r="D6" s="193"/>
      <c r="E6" s="188"/>
      <c r="F6" s="193"/>
      <c r="G6" s="188"/>
      <c r="H6" s="243"/>
      <c r="I6" s="86"/>
      <c r="J6" s="121" t="s">
        <v>658</v>
      </c>
      <c r="K6" s="121"/>
      <c r="L6" s="121"/>
      <c r="M6" s="121"/>
      <c r="N6" s="121"/>
      <c r="O6" s="121"/>
      <c r="P6" s="121"/>
      <c r="Q6" s="121"/>
      <c r="R6" s="121"/>
      <c r="S6" s="121"/>
      <c r="T6" s="121"/>
      <c r="U6" s="121"/>
      <c r="V6" s="121"/>
      <c r="W6" s="121"/>
      <c r="X6" s="121"/>
      <c r="Y6" s="121"/>
      <c r="Z6" s="121"/>
      <c r="AA6" s="121"/>
      <c r="AB6" s="121"/>
      <c r="AC6" s="121"/>
      <c r="AD6" s="86"/>
      <c r="AE6" s="87"/>
    </row>
    <row r="7" spans="1:31">
      <c r="A7" s="189"/>
      <c r="B7" s="190"/>
      <c r="C7" s="245"/>
      <c r="D7" s="190"/>
      <c r="E7" s="268"/>
      <c r="F7" s="216" t="s">
        <v>666</v>
      </c>
      <c r="G7" s="216"/>
      <c r="H7" s="186" t="s">
        <v>667</v>
      </c>
      <c r="I7" s="246"/>
      <c r="J7" s="247"/>
      <c r="K7" s="248"/>
      <c r="L7" s="247"/>
      <c r="M7" s="248"/>
      <c r="N7" s="247"/>
      <c r="O7" s="248"/>
      <c r="P7" s="247"/>
      <c r="Q7" s="248"/>
      <c r="R7" s="186" t="s">
        <v>667</v>
      </c>
      <c r="S7" s="246"/>
      <c r="T7" s="247"/>
      <c r="U7" s="248"/>
      <c r="V7" s="247"/>
      <c r="W7" s="248"/>
      <c r="X7" s="247"/>
      <c r="Y7" s="248"/>
      <c r="Z7" s="220"/>
      <c r="AA7" s="248"/>
      <c r="AB7" s="247"/>
      <c r="AC7" s="248"/>
      <c r="AD7" s="247"/>
      <c r="AE7" s="248"/>
    </row>
    <row r="8" spans="1:31" ht="19.5" customHeight="1">
      <c r="A8" s="249" t="s">
        <v>659</v>
      </c>
      <c r="B8" s="203" t="s">
        <v>664</v>
      </c>
      <c r="C8" s="203"/>
      <c r="D8" s="203" t="s">
        <v>665</v>
      </c>
      <c r="E8" s="250"/>
      <c r="F8" s="203" t="s">
        <v>668</v>
      </c>
      <c r="G8" s="250"/>
      <c r="H8" s="203" t="s">
        <v>649</v>
      </c>
      <c r="I8" s="250"/>
      <c r="J8" s="203" t="s">
        <v>649</v>
      </c>
      <c r="K8" s="250"/>
      <c r="L8" s="251" t="s">
        <v>444</v>
      </c>
      <c r="M8" s="252"/>
      <c r="N8" s="203" t="s">
        <v>670</v>
      </c>
      <c r="O8" s="250"/>
      <c r="P8" s="203" t="s">
        <v>447</v>
      </c>
      <c r="Q8" s="250"/>
      <c r="R8" s="203" t="s">
        <v>671</v>
      </c>
      <c r="S8" s="250"/>
      <c r="T8" s="203" t="s">
        <v>671</v>
      </c>
      <c r="U8" s="250"/>
      <c r="V8" s="203" t="s">
        <v>411</v>
      </c>
      <c r="W8" s="250"/>
      <c r="X8" s="203" t="s">
        <v>429</v>
      </c>
      <c r="Y8" s="250"/>
      <c r="Z8" s="203" t="s">
        <v>434</v>
      </c>
      <c r="AA8" s="250"/>
      <c r="AB8" s="203" t="s">
        <v>672</v>
      </c>
      <c r="AC8" s="250"/>
      <c r="AD8" s="203" t="s">
        <v>436</v>
      </c>
      <c r="AE8" s="250"/>
    </row>
    <row r="9" spans="1:31" ht="19.5" customHeight="1">
      <c r="A9" s="253"/>
      <c r="B9" s="254" t="s">
        <v>681</v>
      </c>
      <c r="C9" s="256" t="s">
        <v>682</v>
      </c>
      <c r="D9" s="254" t="s">
        <v>681</v>
      </c>
      <c r="E9" s="256" t="s">
        <v>682</v>
      </c>
      <c r="F9" s="254" t="s">
        <v>681</v>
      </c>
      <c r="G9" s="256" t="s">
        <v>682</v>
      </c>
      <c r="H9" s="254" t="s">
        <v>681</v>
      </c>
      <c r="I9" s="255" t="s">
        <v>682</v>
      </c>
      <c r="J9" s="254" t="s">
        <v>681</v>
      </c>
      <c r="K9" s="255" t="s">
        <v>682</v>
      </c>
      <c r="L9" s="254" t="s">
        <v>681</v>
      </c>
      <c r="M9" s="256" t="s">
        <v>682</v>
      </c>
      <c r="N9" s="254" t="s">
        <v>681</v>
      </c>
      <c r="O9" s="256" t="s">
        <v>682</v>
      </c>
      <c r="P9" s="254" t="s">
        <v>681</v>
      </c>
      <c r="Q9" s="256" t="s">
        <v>682</v>
      </c>
      <c r="R9" s="254" t="s">
        <v>681</v>
      </c>
      <c r="S9" s="255" t="s">
        <v>682</v>
      </c>
      <c r="T9" s="254" t="s">
        <v>681</v>
      </c>
      <c r="U9" s="256" t="s">
        <v>682</v>
      </c>
      <c r="V9" s="254" t="s">
        <v>681</v>
      </c>
      <c r="W9" s="256" t="s">
        <v>682</v>
      </c>
      <c r="X9" s="254" t="s">
        <v>681</v>
      </c>
      <c r="Y9" s="256" t="s">
        <v>682</v>
      </c>
      <c r="Z9" s="254" t="s">
        <v>681</v>
      </c>
      <c r="AA9" s="256" t="s">
        <v>682</v>
      </c>
      <c r="AB9" s="254" t="s">
        <v>681</v>
      </c>
      <c r="AC9" s="256" t="s">
        <v>682</v>
      </c>
      <c r="AD9" s="254" t="s">
        <v>681</v>
      </c>
      <c r="AE9" s="256" t="s">
        <v>682</v>
      </c>
    </row>
    <row r="10" spans="1:31">
      <c r="A10" s="185"/>
      <c r="B10" s="186"/>
      <c r="C10" s="246"/>
      <c r="D10" s="186"/>
      <c r="E10" s="246"/>
      <c r="F10" s="186"/>
      <c r="G10" s="246"/>
      <c r="H10" s="257"/>
      <c r="I10" s="257"/>
      <c r="J10" s="186"/>
      <c r="K10" s="246"/>
      <c r="L10" s="186"/>
      <c r="M10" s="246"/>
      <c r="N10" s="186"/>
      <c r="O10" s="246"/>
      <c r="P10" s="186"/>
      <c r="Q10" s="246"/>
      <c r="R10" s="269"/>
      <c r="S10" s="269"/>
      <c r="T10" s="186"/>
      <c r="U10" s="246"/>
      <c r="V10" s="186"/>
      <c r="W10" s="246"/>
      <c r="X10" s="186"/>
      <c r="Y10" s="246"/>
      <c r="Z10" s="186"/>
      <c r="AA10" s="246"/>
      <c r="AB10" s="186"/>
      <c r="AC10" s="246"/>
      <c r="AD10" s="257"/>
      <c r="AE10" s="246"/>
    </row>
    <row r="11" spans="1:31" ht="24.75" customHeight="1">
      <c r="A11" s="258">
        <f>+'18'!A11</f>
        <v>2006</v>
      </c>
      <c r="B11" s="206">
        <v>2124</v>
      </c>
      <c r="C11" s="259">
        <f>+B11/'18'!B11*1000</f>
        <v>8.7206079791099569</v>
      </c>
      <c r="D11" s="206">
        <v>186</v>
      </c>
      <c r="E11" s="259">
        <f>+D11/'18'!D11*1000</f>
        <v>8.1532459562530146</v>
      </c>
      <c r="F11" s="206">
        <v>40</v>
      </c>
      <c r="G11" s="259">
        <f>+F11/'18'!F11*1000</f>
        <v>11.305822498586773</v>
      </c>
      <c r="H11" s="207">
        <v>18</v>
      </c>
      <c r="I11" s="270">
        <f>+H11/'18'!H11*1000</f>
        <v>12.756909992912828</v>
      </c>
      <c r="J11" s="206">
        <v>12</v>
      </c>
      <c r="K11" s="270">
        <f>+J11/'18'!J11*1000</f>
        <v>12.889366272824921</v>
      </c>
      <c r="L11" s="260">
        <v>3</v>
      </c>
      <c r="M11" s="270">
        <f>+L11/'18'!L11*1000</f>
        <v>13.274336283185841</v>
      </c>
      <c r="N11" s="260">
        <v>2</v>
      </c>
      <c r="O11" s="270">
        <f>+N11/'18'!N11*1000</f>
        <v>13.245033112582782</v>
      </c>
      <c r="P11" s="260">
        <v>1</v>
      </c>
      <c r="Q11" s="259">
        <f>+P11/'18'!P11*1000</f>
        <v>9.7087378640776691</v>
      </c>
      <c r="R11" s="207">
        <v>22</v>
      </c>
      <c r="S11" s="259">
        <f>+R11/'18'!R11*1000</f>
        <v>10.343206393982134</v>
      </c>
      <c r="T11" s="206">
        <v>16</v>
      </c>
      <c r="U11" s="259">
        <f>+T11/'18'!T11*1000</f>
        <v>14.260249554367201</v>
      </c>
      <c r="V11" s="260">
        <v>3</v>
      </c>
      <c r="W11" s="259">
        <f>+V11/'18'!V11*1000</f>
        <v>15.873015873015872</v>
      </c>
      <c r="X11" s="260">
        <v>0</v>
      </c>
      <c r="Y11" s="259">
        <f>+X11/'18'!X11*1000</f>
        <v>0</v>
      </c>
      <c r="Z11" s="260">
        <v>0</v>
      </c>
      <c r="AA11" s="259">
        <f>+Z11/'18'!Z11*1000</f>
        <v>0</v>
      </c>
      <c r="AB11" s="260">
        <v>2</v>
      </c>
      <c r="AC11" s="259">
        <f>+AB11/'18'!AB11*1000</f>
        <v>5.9523809523809517</v>
      </c>
      <c r="AD11" s="261">
        <v>1</v>
      </c>
      <c r="AE11" s="259">
        <f>+AD11/'18'!AD11*1000</f>
        <v>5.1546391752577323</v>
      </c>
    </row>
    <row r="12" spans="1:31" ht="24.75" customHeight="1">
      <c r="A12" s="258">
        <f>+'18'!A12</f>
        <v>2007</v>
      </c>
      <c r="B12" s="206">
        <v>2165</v>
      </c>
      <c r="C12" s="259">
        <f>+B12/'18'!B12*1000</f>
        <v>8.944285159509862</v>
      </c>
      <c r="D12" s="206">
        <v>215</v>
      </c>
      <c r="E12" s="259">
        <f>+D12/'18'!D12*1000</f>
        <v>9.4248641066105545</v>
      </c>
      <c r="F12" s="206">
        <v>58</v>
      </c>
      <c r="G12" s="259">
        <f>+F12/'18'!F12*1000</f>
        <v>16.066481994459835</v>
      </c>
      <c r="H12" s="207">
        <v>17</v>
      </c>
      <c r="I12" s="270">
        <f>+H12/'18'!H12*1000</f>
        <v>11.789181692094314</v>
      </c>
      <c r="J12" s="206">
        <v>11</v>
      </c>
      <c r="K12" s="270">
        <f>+J12/'18'!J12*1000</f>
        <v>11.201629327902239</v>
      </c>
      <c r="L12" s="206">
        <v>4</v>
      </c>
      <c r="M12" s="270">
        <f>+L12/'18'!L12*1000</f>
        <v>19.047619047619051</v>
      </c>
      <c r="N12" s="206">
        <v>1</v>
      </c>
      <c r="O12" s="270">
        <f>+N12/'18'!N12*1000</f>
        <v>6.666666666666667</v>
      </c>
      <c r="P12" s="206">
        <v>1</v>
      </c>
      <c r="Q12" s="259">
        <f>+P12/'18'!P12*1000</f>
        <v>10</v>
      </c>
      <c r="R12" s="207">
        <v>41</v>
      </c>
      <c r="S12" s="259">
        <f>+R12/'18'!R12*1000</f>
        <v>18.911439114391143</v>
      </c>
      <c r="T12" s="206">
        <v>30</v>
      </c>
      <c r="U12" s="259">
        <f>+T12/'18'!T12*1000</f>
        <v>24.834437086092713</v>
      </c>
      <c r="V12" s="206">
        <v>3</v>
      </c>
      <c r="W12" s="259">
        <f>+V12/'18'!V12*1000</f>
        <v>15.789473684210527</v>
      </c>
      <c r="X12" s="206">
        <v>3</v>
      </c>
      <c r="Y12" s="259">
        <f>+X12/'18'!X12*1000</f>
        <v>14.925373134328359</v>
      </c>
      <c r="Z12" s="206">
        <v>1</v>
      </c>
      <c r="AA12" s="259">
        <f>+Z12/'18'!Z12*1000</f>
        <v>11.363636363636363</v>
      </c>
      <c r="AB12" s="206">
        <v>4</v>
      </c>
      <c r="AC12" s="259">
        <f>+AB12/'18'!AB12*1000</f>
        <v>13.029315960912053</v>
      </c>
      <c r="AD12" s="207">
        <v>0</v>
      </c>
      <c r="AE12" s="259">
        <f>+AD12/'18'!AD12*1000</f>
        <v>0</v>
      </c>
    </row>
    <row r="13" spans="1:31" ht="24.75" customHeight="1">
      <c r="A13" s="258">
        <f>+'18'!A13</f>
        <v>2008</v>
      </c>
      <c r="B13" s="206">
        <v>2167</v>
      </c>
      <c r="C13" s="259">
        <f>+B13/'18'!B13*1000</f>
        <v>8.7250267750014086</v>
      </c>
      <c r="D13" s="206">
        <v>205</v>
      </c>
      <c r="E13" s="259">
        <f>+D13/'18'!D13*1000</f>
        <v>8.835064431323536</v>
      </c>
      <c r="F13" s="206">
        <v>52</v>
      </c>
      <c r="G13" s="259">
        <f>+F13/'18'!F13*1000</f>
        <v>14.180529042814289</v>
      </c>
      <c r="H13" s="207">
        <v>22</v>
      </c>
      <c r="I13" s="270">
        <f>+H13/'18'!H13*1000</f>
        <v>14.93550577053632</v>
      </c>
      <c r="J13" s="206">
        <v>16</v>
      </c>
      <c r="K13" s="270">
        <f>+J13/'18'!J13*1000</f>
        <v>16.580310880829014</v>
      </c>
      <c r="L13" s="206">
        <v>2</v>
      </c>
      <c r="M13" s="270">
        <f>+L13/'18'!L13*1000</f>
        <v>8.1967213114754109</v>
      </c>
      <c r="N13" s="206">
        <v>2</v>
      </c>
      <c r="O13" s="270">
        <f>+N13/'18'!N13*1000</f>
        <v>13.157894736842104</v>
      </c>
      <c r="P13" s="206">
        <v>2</v>
      </c>
      <c r="Q13" s="259">
        <f>+P13/'18'!P13*1000</f>
        <v>17.857142857142858</v>
      </c>
      <c r="R13" s="207">
        <v>30</v>
      </c>
      <c r="S13" s="259">
        <f>+R13/'18'!R13*1000</f>
        <v>13.67365542388332</v>
      </c>
      <c r="T13" s="206">
        <v>20</v>
      </c>
      <c r="U13" s="259">
        <f>+T13/'18'!T13*1000</f>
        <v>16.778523489932887</v>
      </c>
      <c r="V13" s="206">
        <v>3</v>
      </c>
      <c r="W13" s="259">
        <f>+V13/'18'!V13*1000</f>
        <v>15</v>
      </c>
      <c r="X13" s="206">
        <v>5</v>
      </c>
      <c r="Y13" s="259">
        <f>+X13/'18'!X13*1000</f>
        <v>30.487804878048781</v>
      </c>
      <c r="Z13" s="206">
        <v>0</v>
      </c>
      <c r="AA13" s="259">
        <f>+Z13/'18'!Z13*1000</f>
        <v>0</v>
      </c>
      <c r="AB13" s="206">
        <v>1</v>
      </c>
      <c r="AC13" s="259">
        <f>+AB13/'18'!AB13*1000</f>
        <v>3.1545741324921135</v>
      </c>
      <c r="AD13" s="207">
        <v>1</v>
      </c>
      <c r="AE13" s="259">
        <f>+AD13/'18'!AD13*1000</f>
        <v>5.1282051282051286</v>
      </c>
    </row>
    <row r="14" spans="1:31" ht="24.75" customHeight="1">
      <c r="A14" s="258">
        <f>+'18'!A14</f>
        <v>2009</v>
      </c>
      <c r="B14" s="206">
        <v>2252</v>
      </c>
      <c r="C14" s="259">
        <f>+B14/'18'!B14*1000</f>
        <v>8.9280050745321926</v>
      </c>
      <c r="D14" s="206">
        <v>154</v>
      </c>
      <c r="E14" s="259">
        <f>+D14/'18'!D14*1000</f>
        <v>6.488308405308616</v>
      </c>
      <c r="F14" s="206">
        <v>33</v>
      </c>
      <c r="G14" s="259">
        <f>+F14/'18'!F14*1000</f>
        <v>8.9141004862236635</v>
      </c>
      <c r="H14" s="207">
        <v>12</v>
      </c>
      <c r="I14" s="270">
        <f>+H14/'18'!H14*1000</f>
        <v>7.8226857887874841</v>
      </c>
      <c r="J14" s="206">
        <v>11</v>
      </c>
      <c r="K14" s="270">
        <f>+J14/'18'!J14*1000</f>
        <v>11.167512690355329</v>
      </c>
      <c r="L14" s="206">
        <v>0</v>
      </c>
      <c r="M14" s="270">
        <f>+L14/'18'!L14*1000</f>
        <v>0</v>
      </c>
      <c r="N14" s="206">
        <v>1</v>
      </c>
      <c r="O14" s="270">
        <f>+N14/'18'!N14*1000</f>
        <v>6.4102564102564097</v>
      </c>
      <c r="P14" s="206">
        <v>0</v>
      </c>
      <c r="Q14" s="259">
        <f>+P14/'18'!P14*1000</f>
        <v>0</v>
      </c>
      <c r="R14" s="207">
        <v>21</v>
      </c>
      <c r="S14" s="259">
        <f>+R14/'18'!R14*1000</f>
        <v>9.6863468634686356</v>
      </c>
      <c r="T14" s="206">
        <v>13</v>
      </c>
      <c r="U14" s="259">
        <f>+T14/'18'!T14*1000</f>
        <v>11.120615911035072</v>
      </c>
      <c r="V14" s="206">
        <v>1</v>
      </c>
      <c r="W14" s="259">
        <f>+V14/'18'!V14*1000</f>
        <v>4.9261083743842367</v>
      </c>
      <c r="X14" s="206">
        <v>3</v>
      </c>
      <c r="Y14" s="259">
        <f>+X14/'18'!X14*1000</f>
        <v>17.647058823529413</v>
      </c>
      <c r="Z14" s="206">
        <v>1</v>
      </c>
      <c r="AA14" s="259">
        <f>+Z14/'18'!Z14*1000</f>
        <v>9.9009900990099009</v>
      </c>
      <c r="AB14" s="206">
        <v>3</v>
      </c>
      <c r="AC14" s="259">
        <f>+AB14/'18'!AB14*1000</f>
        <v>8.720930232558139</v>
      </c>
      <c r="AD14" s="206">
        <v>0</v>
      </c>
      <c r="AE14" s="259">
        <f>+AD14/'18'!AD14*1000</f>
        <v>0</v>
      </c>
    </row>
    <row r="15" spans="1:31" ht="24.75" customHeight="1">
      <c r="A15" s="258">
        <f>+'18'!A15</f>
        <v>2010</v>
      </c>
      <c r="B15" s="206">
        <v>2166</v>
      </c>
      <c r="C15" s="259">
        <f>+B15/'18'!B15*1000</f>
        <v>8.6226457907873826</v>
      </c>
      <c r="D15" s="206">
        <v>184</v>
      </c>
      <c r="E15" s="259">
        <f>+D15/'18'!D15*1000</f>
        <v>7.7246011754827872</v>
      </c>
      <c r="F15" s="206">
        <v>30</v>
      </c>
      <c r="G15" s="259">
        <f>+F15/'18'!F15*1000</f>
        <v>7.6413652572592969</v>
      </c>
      <c r="H15" s="207">
        <v>11</v>
      </c>
      <c r="I15" s="270">
        <f>+H15/'18'!H15*1000</f>
        <v>6.6225165562913908</v>
      </c>
      <c r="J15" s="206">
        <v>8</v>
      </c>
      <c r="K15" s="270">
        <f>+J15/'18'!J15*1000</f>
        <v>7.5258701787394173</v>
      </c>
      <c r="L15" s="260">
        <v>1</v>
      </c>
      <c r="M15" s="270">
        <f>+L15/'18'!L15*1000</f>
        <v>4.0160642570281118</v>
      </c>
      <c r="N15" s="206">
        <v>0</v>
      </c>
      <c r="O15" s="270">
        <f>+N15/'18'!N15*1000</f>
        <v>0</v>
      </c>
      <c r="P15" s="260">
        <v>2</v>
      </c>
      <c r="Q15" s="259">
        <f>+P15/'18'!P15*1000</f>
        <v>12.269938650306749</v>
      </c>
      <c r="R15" s="207">
        <v>19</v>
      </c>
      <c r="S15" s="259">
        <f>+R15/'18'!R15*1000</f>
        <v>8.3885209713024285</v>
      </c>
      <c r="T15" s="206">
        <v>13</v>
      </c>
      <c r="U15" s="259">
        <f>+T15/'18'!T15*1000</f>
        <v>10.682004930156122</v>
      </c>
      <c r="V15" s="206">
        <v>0</v>
      </c>
      <c r="W15" s="259">
        <f>+V15/'18'!V15*1000</f>
        <v>0</v>
      </c>
      <c r="X15" s="206">
        <v>3</v>
      </c>
      <c r="Y15" s="259">
        <f>+X15/'18'!X15*1000</f>
        <v>15.544041450777202</v>
      </c>
      <c r="Z15" s="206">
        <v>0</v>
      </c>
      <c r="AA15" s="259">
        <f>+Z15/'18'!Z15*1000</f>
        <v>0</v>
      </c>
      <c r="AB15" s="206">
        <v>2</v>
      </c>
      <c r="AC15" s="259">
        <f>+AB15/'18'!AB15*1000</f>
        <v>6.0606060606060606</v>
      </c>
      <c r="AD15" s="260">
        <v>1</v>
      </c>
      <c r="AE15" s="259">
        <f>+AD15/'18'!AD15*1000</f>
        <v>4.3478260869565215</v>
      </c>
    </row>
    <row r="16" spans="1:31" ht="24.75" customHeight="1">
      <c r="A16" s="258">
        <f>+'18'!A16</f>
        <v>2011</v>
      </c>
      <c r="B16" s="206">
        <v>2098</v>
      </c>
      <c r="C16" s="259">
        <f>+B16/'18'!B16*1000</f>
        <v>8.42979921970114</v>
      </c>
      <c r="D16" s="206">
        <v>181</v>
      </c>
      <c r="E16" s="259">
        <f>+D16/'18'!D16*1000</f>
        <v>7.6390647421288094</v>
      </c>
      <c r="F16" s="206">
        <f>+H16+R16</f>
        <v>28</v>
      </c>
      <c r="G16" s="259">
        <f>+F16/'18'!F16*1000</f>
        <v>7.5716603569497023</v>
      </c>
      <c r="H16" s="207">
        <f>+J16+L16+N16+P16</f>
        <v>11</v>
      </c>
      <c r="I16" s="270">
        <f>+H16/'18'!H16*1000</f>
        <v>7.2799470549305099</v>
      </c>
      <c r="J16" s="206">
        <v>8</v>
      </c>
      <c r="K16" s="270">
        <f>+J16/'18'!J16*1000</f>
        <v>8.2559339525283786</v>
      </c>
      <c r="L16" s="206">
        <v>1</v>
      </c>
      <c r="M16" s="270">
        <f>+L16/'18'!L16*1000</f>
        <v>4.3103448275862064</v>
      </c>
      <c r="N16" s="260">
        <v>1</v>
      </c>
      <c r="O16" s="270">
        <f>+N16/'18'!N16*1000</f>
        <v>5.9880239520958085</v>
      </c>
      <c r="P16" s="206">
        <v>1</v>
      </c>
      <c r="Q16" s="259">
        <f>+P16/'18'!P16*1000</f>
        <v>6.9930069930069934</v>
      </c>
      <c r="R16" s="207">
        <f>+T16+V16+X16+Z16+AB16+AD16</f>
        <v>17</v>
      </c>
      <c r="S16" s="259">
        <f>+R16/'18'!R16*1000</f>
        <v>7.7732053040695011</v>
      </c>
      <c r="T16" s="206">
        <v>10</v>
      </c>
      <c r="U16" s="259">
        <f>+T16/'18'!T16*1000</f>
        <v>8.9285714285714288</v>
      </c>
      <c r="V16" s="260">
        <v>2</v>
      </c>
      <c r="W16" s="259">
        <f>+V16/'18'!V16*1000</f>
        <v>9.3896713615023479</v>
      </c>
      <c r="X16" s="206">
        <v>2</v>
      </c>
      <c r="Y16" s="259">
        <f>+X16/'18'!X16*1000</f>
        <v>7.9365079365079358</v>
      </c>
      <c r="Z16" s="260">
        <v>1</v>
      </c>
      <c r="AA16" s="259">
        <f>+Z16/'18'!Z16*1000</f>
        <v>10</v>
      </c>
      <c r="AB16" s="206">
        <v>0</v>
      </c>
      <c r="AC16" s="259">
        <f>+AB16/'18'!AB16*1000</f>
        <v>0</v>
      </c>
      <c r="AD16" s="206">
        <v>2</v>
      </c>
      <c r="AE16" s="259">
        <f>+AD16/'18'!AD16*1000</f>
        <v>11.235955056179774</v>
      </c>
    </row>
    <row r="17" spans="1:31" ht="24.75" customHeight="1">
      <c r="A17" s="258">
        <f>+'18'!A17</f>
        <v>2012</v>
      </c>
      <c r="B17" s="206">
        <v>2064</v>
      </c>
      <c r="C17" s="259">
        <f>+B17/'18'!B17*1000</f>
        <v>8.4639421302561324</v>
      </c>
      <c r="D17" s="206">
        <v>175</v>
      </c>
      <c r="E17" s="259">
        <f>+D17/'18'!D17*1000</f>
        <v>7.4092891316313141</v>
      </c>
      <c r="F17" s="206">
        <v>35</v>
      </c>
      <c r="G17" s="259">
        <f>+F17/'18'!F17*1000</f>
        <v>9.1863517060367457</v>
      </c>
      <c r="H17" s="207">
        <v>8</v>
      </c>
      <c r="I17" s="270">
        <f>+H17/'18'!H17*1000</f>
        <v>5.1880674448767836</v>
      </c>
      <c r="J17" s="206">
        <v>4</v>
      </c>
      <c r="K17" s="270">
        <f>+J17/'18'!J17*1000</f>
        <v>4.1797283176593529</v>
      </c>
      <c r="L17" s="206">
        <v>0</v>
      </c>
      <c r="M17" s="270">
        <v>0</v>
      </c>
      <c r="N17" s="260">
        <v>1</v>
      </c>
      <c r="O17" s="270">
        <f>+N17/'18'!N17*1000</f>
        <v>5.208333333333333</v>
      </c>
      <c r="P17" s="206">
        <v>3</v>
      </c>
      <c r="Q17" s="259">
        <f>+P17/'18'!P17*1000</f>
        <v>20.547945205479451</v>
      </c>
      <c r="R17" s="207">
        <v>27</v>
      </c>
      <c r="S17" s="259">
        <f>+R17/'18'!R17*1000</f>
        <v>11.904761904761903</v>
      </c>
      <c r="T17" s="206">
        <v>15</v>
      </c>
      <c r="U17" s="259">
        <f>+T17/'18'!T17*1000</f>
        <v>12.448132780082986</v>
      </c>
      <c r="V17" s="260">
        <v>2</v>
      </c>
      <c r="W17" s="259">
        <f>+V17/'18'!V17*1000</f>
        <v>9.9009900990099009</v>
      </c>
      <c r="X17" s="206">
        <v>1</v>
      </c>
      <c r="Y17" s="259">
        <f>+X17/'18'!X17*1000</f>
        <v>5.0505050505050511</v>
      </c>
      <c r="Z17" s="260">
        <v>1</v>
      </c>
      <c r="AA17" s="259">
        <f>+Z17/'18'!Z17*1000</f>
        <v>10.101010101010102</v>
      </c>
      <c r="AB17" s="206">
        <v>6</v>
      </c>
      <c r="AC17" s="259">
        <f>+AB17/'18'!AB17*1000</f>
        <v>15.665796344647518</v>
      </c>
      <c r="AD17" s="206">
        <v>2</v>
      </c>
      <c r="AE17" s="259">
        <f>+AD17/'18'!AD17*1000</f>
        <v>11.049723756906078</v>
      </c>
    </row>
    <row r="18" spans="1:31" ht="24.75" customHeight="1">
      <c r="A18" s="258">
        <f>+'18'!A18</f>
        <v>2013</v>
      </c>
      <c r="B18" s="206">
        <v>2090</v>
      </c>
      <c r="C18" s="259">
        <f>+B18/'18'!B18*1000</f>
        <v>8.6361852027850663</v>
      </c>
      <c r="D18" s="206">
        <v>161</v>
      </c>
      <c r="E18" s="259">
        <f>+D18/'18'!D18*1000</f>
        <v>6.9615600812902665</v>
      </c>
      <c r="F18" s="206">
        <f>+H18+R18</f>
        <v>30</v>
      </c>
      <c r="G18" s="259">
        <f>+F18/'18'!F18*1000</f>
        <v>8.0710250201775615</v>
      </c>
      <c r="H18" s="207">
        <f>+J18+L18+N18+P18</f>
        <v>14</v>
      </c>
      <c r="I18" s="270">
        <f>+H18/'18'!H18*1000</f>
        <v>9.1383812010443872</v>
      </c>
      <c r="J18" s="206">
        <v>12</v>
      </c>
      <c r="K18" s="270">
        <f>+J18/'18'!J18*1000</f>
        <v>12.618296529968454</v>
      </c>
      <c r="L18" s="206">
        <v>2</v>
      </c>
      <c r="M18" s="270">
        <v>0</v>
      </c>
      <c r="N18" s="260">
        <v>0</v>
      </c>
      <c r="O18" s="270">
        <f>+N18/'18'!N18*1000</f>
        <v>0</v>
      </c>
      <c r="P18" s="206">
        <v>0</v>
      </c>
      <c r="Q18" s="259">
        <f>+P18/'18'!P18*1000</f>
        <v>0</v>
      </c>
      <c r="R18" s="207">
        <f>+T18+V18+X18+Z18+AB18+AD18</f>
        <v>16</v>
      </c>
      <c r="S18" s="259">
        <f>+R18/'18'!R18*1000</f>
        <v>7.3226544622425633</v>
      </c>
      <c r="T18" s="206">
        <v>5</v>
      </c>
      <c r="U18" s="259">
        <f>+T18/'18'!T18*1000</f>
        <v>4.512635379061372</v>
      </c>
      <c r="V18" s="260">
        <v>2</v>
      </c>
      <c r="W18" s="259">
        <f>+V18/'18'!V18*1000</f>
        <v>9.6153846153846168</v>
      </c>
      <c r="X18" s="206">
        <v>2</v>
      </c>
      <c r="Y18" s="259">
        <f>+X18/'18'!X18*1000</f>
        <v>9.4339622641509422</v>
      </c>
      <c r="Z18" s="260">
        <v>1</v>
      </c>
      <c r="AA18" s="259">
        <f>+Z18/'18'!Z18*1000</f>
        <v>11.363636363636363</v>
      </c>
      <c r="AB18" s="206">
        <v>3</v>
      </c>
      <c r="AC18" s="259">
        <f>+AB18/'18'!AB18*1000</f>
        <v>8</v>
      </c>
      <c r="AD18" s="206">
        <v>3</v>
      </c>
      <c r="AE18" s="259">
        <f>+AD18/'18'!AD18*1000</f>
        <v>15.463917525773196</v>
      </c>
    </row>
    <row r="19" spans="1:31" ht="24.75" customHeight="1">
      <c r="A19" s="258">
        <f>+'18'!A19</f>
        <v>2014</v>
      </c>
      <c r="B19" s="262"/>
      <c r="C19" s="259"/>
      <c r="D19" s="206"/>
      <c r="E19" s="270"/>
      <c r="F19" s="206"/>
      <c r="G19" s="259"/>
      <c r="H19" s="207"/>
      <c r="I19" s="270"/>
      <c r="J19" s="206"/>
      <c r="K19" s="270"/>
      <c r="L19" s="206"/>
      <c r="M19" s="270"/>
      <c r="N19" s="206"/>
      <c r="O19" s="270"/>
      <c r="P19" s="206"/>
      <c r="Q19" s="259"/>
      <c r="R19" s="207"/>
      <c r="S19" s="270"/>
      <c r="T19" s="206"/>
      <c r="U19" s="270"/>
      <c r="V19" s="206"/>
      <c r="W19" s="270"/>
      <c r="X19" s="206"/>
      <c r="Y19" s="270"/>
      <c r="Z19" s="206"/>
      <c r="AA19" s="270"/>
      <c r="AB19" s="206"/>
      <c r="AC19" s="270"/>
      <c r="AD19" s="206"/>
      <c r="AE19" s="259"/>
    </row>
    <row r="20" spans="1:31" ht="24.75" customHeight="1">
      <c r="A20" s="258">
        <f>+'18'!A20</f>
        <v>2015</v>
      </c>
      <c r="B20" s="262"/>
      <c r="C20" s="259"/>
      <c r="D20" s="206"/>
      <c r="E20" s="270"/>
      <c r="F20" s="206"/>
      <c r="G20" s="259"/>
      <c r="H20" s="207"/>
      <c r="I20" s="270"/>
      <c r="J20" s="206"/>
      <c r="K20" s="270"/>
      <c r="L20" s="206"/>
      <c r="M20" s="270"/>
      <c r="N20" s="206"/>
      <c r="O20" s="270"/>
      <c r="P20" s="206"/>
      <c r="Q20" s="259"/>
      <c r="R20" s="207"/>
      <c r="S20" s="270"/>
      <c r="T20" s="206"/>
      <c r="U20" s="270"/>
      <c r="V20" s="206"/>
      <c r="W20" s="270"/>
      <c r="X20" s="206"/>
      <c r="Y20" s="270"/>
      <c r="Z20" s="206"/>
      <c r="AA20" s="270"/>
      <c r="AB20" s="206"/>
      <c r="AC20" s="270"/>
      <c r="AD20" s="206"/>
      <c r="AE20" s="259"/>
    </row>
    <row r="21" spans="1:31">
      <c r="A21" s="264"/>
      <c r="B21" s="209"/>
      <c r="C21" s="265"/>
      <c r="D21" s="209"/>
      <c r="E21" s="265"/>
      <c r="F21" s="215"/>
      <c r="G21" s="265"/>
      <c r="H21" s="266"/>
      <c r="I21" s="266"/>
      <c r="J21" s="209"/>
      <c r="K21" s="265"/>
      <c r="L21" s="209"/>
      <c r="M21" s="265"/>
      <c r="N21" s="209"/>
      <c r="O21" s="265"/>
      <c r="P21" s="209"/>
      <c r="Q21" s="265"/>
      <c r="R21" s="266"/>
      <c r="S21" s="266"/>
      <c r="T21" s="209"/>
      <c r="U21" s="265"/>
      <c r="V21" s="209"/>
      <c r="W21" s="265"/>
      <c r="X21" s="209"/>
      <c r="Y21" s="265"/>
      <c r="Z21" s="209"/>
      <c r="AA21" s="265"/>
      <c r="AB21" s="209"/>
      <c r="AC21" s="265"/>
      <c r="AD21" s="266"/>
      <c r="AE21" s="265"/>
    </row>
    <row r="22" spans="1:31">
      <c r="A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c r="A23" s="1"/>
      <c r="B23" s="220" t="str">
        <f>+'18'!B22</f>
        <v>AÑO   2015  :   DATOS POR OCURRENCIA   (Provisorios)</v>
      </c>
      <c r="C23" s="267"/>
      <c r="D23" s="267"/>
      <c r="E23" s="267"/>
      <c r="F23" s="267"/>
      <c r="G23" s="267"/>
      <c r="H23" s="267"/>
      <c r="I23" s="267"/>
      <c r="J23" s="267"/>
      <c r="K23" s="216"/>
      <c r="L23" s="1"/>
      <c r="M23" s="1"/>
      <c r="N23" s="1"/>
      <c r="O23" s="1"/>
      <c r="P23" s="1"/>
      <c r="Q23" s="1"/>
      <c r="R23" s="1"/>
      <c r="S23" s="1"/>
      <c r="T23" s="1"/>
      <c r="U23" s="1"/>
      <c r="V23" s="1"/>
      <c r="W23" s="1"/>
      <c r="X23" s="1"/>
      <c r="Y23" s="1"/>
      <c r="Z23" s="1"/>
      <c r="AA23" s="1"/>
      <c r="AB23" s="1"/>
      <c r="AC23" s="1"/>
      <c r="AD23" s="1"/>
      <c r="AE23" s="1"/>
    </row>
    <row r="24" spans="1:31">
      <c r="A24" s="1"/>
      <c r="B24" s="216"/>
      <c r="C24" s="220" t="s">
        <v>684</v>
      </c>
      <c r="D24" s="220"/>
      <c r="E24" s="216"/>
      <c r="F24" s="216"/>
      <c r="G24" s="216"/>
      <c r="H24" s="216"/>
      <c r="I24" s="216"/>
      <c r="J24" s="216"/>
      <c r="K24" s="216"/>
      <c r="L24" s="1"/>
      <c r="M24" s="1"/>
      <c r="N24" s="1"/>
      <c r="O24" s="1"/>
      <c r="P24" s="1"/>
      <c r="Q24" s="1"/>
      <c r="R24" s="1"/>
      <c r="S24" s="1"/>
      <c r="T24" s="1"/>
      <c r="U24" s="1"/>
      <c r="V24" s="1"/>
      <c r="W24" s="1"/>
      <c r="X24" s="1"/>
      <c r="Y24" s="1"/>
      <c r="Z24" s="1"/>
      <c r="AA24" s="1"/>
      <c r="AB24" s="1"/>
      <c r="AC24" s="1"/>
      <c r="AD24" s="1"/>
      <c r="AE24" s="1"/>
    </row>
    <row r="25" spans="1:31">
      <c r="A25" s="1"/>
      <c r="B25" s="216"/>
      <c r="C25" s="216"/>
      <c r="D25" s="216"/>
      <c r="E25" s="216"/>
      <c r="F25" s="216"/>
      <c r="G25" s="216"/>
      <c r="H25" s="216"/>
      <c r="I25" s="216"/>
      <c r="J25" s="216"/>
      <c r="K25" s="216"/>
      <c r="L25" s="1"/>
      <c r="M25" s="1"/>
      <c r="N25" s="1"/>
      <c r="O25" s="1"/>
      <c r="P25" s="1"/>
      <c r="Q25" s="1"/>
      <c r="R25" s="1"/>
      <c r="S25" s="1"/>
      <c r="T25" s="1"/>
      <c r="U25" s="1"/>
      <c r="V25" s="1"/>
      <c r="W25" s="1"/>
      <c r="X25" s="1"/>
      <c r="Y25" s="1"/>
      <c r="Z25" s="1"/>
      <c r="AA25" s="1"/>
      <c r="AB25" s="1"/>
      <c r="AC25" s="1"/>
      <c r="AD25" s="1"/>
      <c r="AE25" s="1"/>
    </row>
  </sheetData>
  <phoneticPr fontId="19" type="noConversion"/>
  <pageMargins left="0.98425196850393704"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
  <sheetViews>
    <sheetView topLeftCell="A9" zoomScaleNormal="100" workbookViewId="0">
      <selection activeCell="AF19" sqref="AF19"/>
    </sheetView>
  </sheetViews>
  <sheetFormatPr baseColWidth="10" defaultRowHeight="12.75"/>
  <cols>
    <col min="1" max="1" width="6.28515625" customWidth="1"/>
    <col min="2" max="3" width="5.42578125" customWidth="1"/>
    <col min="4" max="4" width="4.7109375" customWidth="1"/>
    <col min="5" max="5" width="5.85546875" customWidth="1"/>
    <col min="6" max="6" width="6.42578125" customWidth="1"/>
    <col min="7" max="9" width="5.85546875" customWidth="1"/>
    <col min="10" max="10" width="3.7109375" customWidth="1"/>
    <col min="11" max="11" width="5.85546875" customWidth="1"/>
    <col min="12" max="12" width="4.28515625" customWidth="1"/>
    <col min="13" max="13" width="5.85546875" customWidth="1"/>
    <col min="14" max="14" width="4.140625" customWidth="1"/>
    <col min="15" max="15" width="5.85546875" customWidth="1"/>
    <col min="16" max="16" width="4" customWidth="1"/>
    <col min="17" max="19" width="5.85546875" customWidth="1"/>
    <col min="20" max="20" width="4" customWidth="1"/>
    <col min="21" max="21" width="5.85546875" customWidth="1"/>
    <col min="22" max="22" width="4.140625" customWidth="1"/>
    <col min="23" max="23" width="5.85546875" customWidth="1"/>
    <col min="24" max="24" width="4.28515625" customWidth="1"/>
    <col min="25" max="25" width="5.85546875" customWidth="1"/>
    <col min="26" max="26" width="4.28515625" customWidth="1"/>
    <col min="27" max="27" width="5.85546875" customWidth="1"/>
    <col min="28" max="28" width="4" customWidth="1"/>
    <col min="29" max="29" width="5.85546875" customWidth="1"/>
    <col min="30" max="30" width="4.140625" customWidth="1"/>
    <col min="31" max="31" width="5.85546875" customWidth="1"/>
  </cols>
  <sheetData>
    <row r="1" spans="1:31">
      <c r="A1" s="148" t="s">
        <v>685</v>
      </c>
      <c r="B1" s="148"/>
      <c r="C1" s="148"/>
      <c r="D1" s="148"/>
      <c r="E1" s="148"/>
      <c r="F1" s="148"/>
      <c r="G1" s="148"/>
      <c r="H1" s="116"/>
      <c r="I1" s="116"/>
      <c r="J1" s="116"/>
      <c r="K1" s="116"/>
      <c r="L1" s="116"/>
      <c r="M1" s="116"/>
      <c r="N1" s="116"/>
      <c r="O1" s="116"/>
      <c r="P1" s="116"/>
      <c r="Q1" s="116"/>
      <c r="R1" s="116"/>
      <c r="S1" s="116"/>
      <c r="T1" s="116"/>
      <c r="U1" s="116"/>
      <c r="V1" s="116"/>
      <c r="W1" s="116"/>
      <c r="X1" s="116"/>
      <c r="Y1" s="116"/>
      <c r="Z1" s="116"/>
      <c r="AA1" s="116"/>
      <c r="AB1" s="116"/>
      <c r="AC1" s="116"/>
      <c r="AD1" s="116"/>
      <c r="AE1" s="116"/>
    </row>
    <row r="2" spans="1:31">
      <c r="A2" s="148"/>
      <c r="B2" s="148"/>
      <c r="C2" s="148"/>
      <c r="D2" s="148"/>
      <c r="E2" s="148"/>
      <c r="F2" s="148"/>
      <c r="G2" s="148"/>
      <c r="H2" s="116"/>
      <c r="I2" s="116"/>
      <c r="J2" s="116"/>
      <c r="K2" s="116"/>
      <c r="L2" s="116"/>
      <c r="M2" s="116"/>
      <c r="N2" s="116"/>
      <c r="O2" s="116"/>
      <c r="P2" s="116"/>
      <c r="Q2" s="116"/>
      <c r="R2" s="116"/>
      <c r="S2" s="116"/>
      <c r="T2" s="116"/>
      <c r="U2" s="116"/>
      <c r="V2" s="116"/>
      <c r="W2" s="116"/>
      <c r="X2" s="116"/>
      <c r="Y2" s="116"/>
      <c r="Z2" s="116"/>
      <c r="AA2" s="116"/>
      <c r="AB2" s="116"/>
      <c r="AC2" s="116"/>
      <c r="AD2" s="116"/>
      <c r="AE2" s="116"/>
    </row>
    <row r="3" spans="1:31">
      <c r="A3" s="148" t="str">
        <f>+'19'!A3</f>
        <v>AÑOS   2006  - 2015</v>
      </c>
      <c r="B3" s="148"/>
      <c r="C3" s="148"/>
      <c r="D3" s="148"/>
      <c r="E3" s="148"/>
      <c r="F3" s="148"/>
      <c r="G3" s="148"/>
      <c r="H3" s="116"/>
      <c r="I3" s="116"/>
      <c r="J3" s="116"/>
      <c r="K3" s="116"/>
      <c r="L3" s="116"/>
      <c r="M3" s="116"/>
      <c r="N3" s="116"/>
      <c r="O3" s="116"/>
      <c r="P3" s="116"/>
      <c r="Q3" s="116"/>
      <c r="R3" s="116"/>
      <c r="S3" s="116"/>
      <c r="T3" s="116"/>
      <c r="U3" s="116"/>
      <c r="V3" s="116"/>
      <c r="W3" s="116"/>
      <c r="X3" s="116"/>
      <c r="Y3" s="116"/>
      <c r="Z3" s="116"/>
      <c r="AA3" s="116"/>
      <c r="AB3" s="116"/>
      <c r="AC3" s="116"/>
      <c r="AD3" s="116"/>
      <c r="AE3" s="116"/>
    </row>
    <row r="4" spans="1:31">
      <c r="A4" s="116"/>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row>
    <row r="5" spans="1:31">
      <c r="A5" s="1"/>
      <c r="B5" s="116"/>
      <c r="C5" s="11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row>
    <row r="6" spans="1:31" ht="20.25" customHeight="1">
      <c r="A6" s="194"/>
      <c r="B6" s="193"/>
      <c r="C6" s="188"/>
      <c r="D6" s="193"/>
      <c r="E6" s="188"/>
      <c r="F6" s="193"/>
      <c r="G6" s="188"/>
      <c r="H6" s="243"/>
      <c r="I6" s="86"/>
      <c r="J6" s="121" t="s">
        <v>658</v>
      </c>
      <c r="K6" s="121"/>
      <c r="L6" s="121"/>
      <c r="M6" s="121"/>
      <c r="N6" s="121"/>
      <c r="O6" s="121"/>
      <c r="P6" s="121"/>
      <c r="Q6" s="121"/>
      <c r="R6" s="121"/>
      <c r="S6" s="121"/>
      <c r="T6" s="121"/>
      <c r="U6" s="121"/>
      <c r="V6" s="121"/>
      <c r="W6" s="121"/>
      <c r="X6" s="121"/>
      <c r="Y6" s="121"/>
      <c r="Z6" s="121"/>
      <c r="AA6" s="121"/>
      <c r="AB6" s="121"/>
      <c r="AC6" s="121"/>
      <c r="AD6" s="86"/>
      <c r="AE6" s="87"/>
    </row>
    <row r="7" spans="1:31">
      <c r="A7" s="189"/>
      <c r="B7" s="190"/>
      <c r="C7" s="245"/>
      <c r="D7" s="190"/>
      <c r="E7" s="268"/>
      <c r="F7" s="216" t="s">
        <v>666</v>
      </c>
      <c r="G7" s="216"/>
      <c r="H7" s="186" t="s">
        <v>667</v>
      </c>
      <c r="I7" s="246"/>
      <c r="J7" s="247"/>
      <c r="K7" s="248"/>
      <c r="L7" s="247"/>
      <c r="M7" s="248"/>
      <c r="N7" s="247"/>
      <c r="O7" s="248"/>
      <c r="P7" s="247"/>
      <c r="Q7" s="248"/>
      <c r="R7" s="186" t="s">
        <v>667</v>
      </c>
      <c r="S7" s="246"/>
      <c r="T7" s="247"/>
      <c r="U7" s="248"/>
      <c r="V7" s="247"/>
      <c r="W7" s="248"/>
      <c r="X7" s="247"/>
      <c r="Y7" s="248"/>
      <c r="Z7" s="220"/>
      <c r="AA7" s="248"/>
      <c r="AB7" s="247"/>
      <c r="AC7" s="248"/>
      <c r="AD7" s="247"/>
      <c r="AE7" s="248"/>
    </row>
    <row r="8" spans="1:31" ht="18" customHeight="1">
      <c r="A8" s="249" t="s">
        <v>659</v>
      </c>
      <c r="B8" s="203" t="s">
        <v>664</v>
      </c>
      <c r="C8" s="203"/>
      <c r="D8" s="203" t="s">
        <v>665</v>
      </c>
      <c r="E8" s="250"/>
      <c r="F8" s="203" t="s">
        <v>668</v>
      </c>
      <c r="G8" s="250"/>
      <c r="H8" s="203" t="s">
        <v>649</v>
      </c>
      <c r="I8" s="250"/>
      <c r="J8" s="203" t="s">
        <v>649</v>
      </c>
      <c r="K8" s="250"/>
      <c r="L8" s="251" t="s">
        <v>444</v>
      </c>
      <c r="M8" s="252"/>
      <c r="N8" s="203" t="s">
        <v>670</v>
      </c>
      <c r="O8" s="250"/>
      <c r="P8" s="203" t="s">
        <v>447</v>
      </c>
      <c r="Q8" s="250"/>
      <c r="R8" s="203" t="s">
        <v>671</v>
      </c>
      <c r="S8" s="250"/>
      <c r="T8" s="203" t="s">
        <v>671</v>
      </c>
      <c r="U8" s="250"/>
      <c r="V8" s="203" t="s">
        <v>411</v>
      </c>
      <c r="W8" s="250"/>
      <c r="X8" s="203" t="s">
        <v>429</v>
      </c>
      <c r="Y8" s="250"/>
      <c r="Z8" s="203" t="s">
        <v>434</v>
      </c>
      <c r="AA8" s="250"/>
      <c r="AB8" s="203" t="s">
        <v>672</v>
      </c>
      <c r="AC8" s="250"/>
      <c r="AD8" s="203" t="s">
        <v>436</v>
      </c>
      <c r="AE8" s="250"/>
    </row>
    <row r="9" spans="1:31" ht="20.25" customHeight="1">
      <c r="A9" s="253"/>
      <c r="B9" s="254" t="s">
        <v>681</v>
      </c>
      <c r="C9" s="256" t="s">
        <v>682</v>
      </c>
      <c r="D9" s="254" t="s">
        <v>681</v>
      </c>
      <c r="E9" s="256" t="s">
        <v>682</v>
      </c>
      <c r="F9" s="254" t="s">
        <v>681</v>
      </c>
      <c r="G9" s="256" t="s">
        <v>682</v>
      </c>
      <c r="H9" s="254" t="s">
        <v>681</v>
      </c>
      <c r="I9" s="255" t="s">
        <v>682</v>
      </c>
      <c r="J9" s="254" t="s">
        <v>681</v>
      </c>
      <c r="K9" s="255" t="s">
        <v>682</v>
      </c>
      <c r="L9" s="254" t="s">
        <v>681</v>
      </c>
      <c r="M9" s="256" t="s">
        <v>682</v>
      </c>
      <c r="N9" s="254" t="s">
        <v>681</v>
      </c>
      <c r="O9" s="256" t="s">
        <v>682</v>
      </c>
      <c r="P9" s="254" t="s">
        <v>681</v>
      </c>
      <c r="Q9" s="256" t="s">
        <v>682</v>
      </c>
      <c r="R9" s="254" t="s">
        <v>681</v>
      </c>
      <c r="S9" s="255" t="s">
        <v>682</v>
      </c>
      <c r="T9" s="254" t="s">
        <v>681</v>
      </c>
      <c r="U9" s="256" t="s">
        <v>682</v>
      </c>
      <c r="V9" s="254" t="s">
        <v>681</v>
      </c>
      <c r="W9" s="256" t="s">
        <v>682</v>
      </c>
      <c r="X9" s="254" t="s">
        <v>681</v>
      </c>
      <c r="Y9" s="256" t="s">
        <v>682</v>
      </c>
      <c r="Z9" s="254" t="s">
        <v>681</v>
      </c>
      <c r="AA9" s="256" t="s">
        <v>682</v>
      </c>
      <c r="AB9" s="254" t="s">
        <v>681</v>
      </c>
      <c r="AC9" s="256" t="s">
        <v>682</v>
      </c>
      <c r="AD9" s="254" t="s">
        <v>681</v>
      </c>
      <c r="AE9" s="256" t="s">
        <v>682</v>
      </c>
    </row>
    <row r="10" spans="1:31">
      <c r="A10" s="185"/>
      <c r="B10" s="186"/>
      <c r="C10" s="246"/>
      <c r="D10" s="186"/>
      <c r="E10" s="246"/>
      <c r="F10" s="186"/>
      <c r="G10" s="246"/>
      <c r="H10" s="257"/>
      <c r="I10" s="257"/>
      <c r="J10" s="186"/>
      <c r="K10" s="246"/>
      <c r="L10" s="186"/>
      <c r="M10" s="246"/>
      <c r="N10" s="186"/>
      <c r="O10" s="246"/>
      <c r="P10" s="186"/>
      <c r="Q10" s="246"/>
      <c r="R10" s="257"/>
      <c r="S10" s="257"/>
      <c r="T10" s="186"/>
      <c r="U10" s="246"/>
      <c r="V10" s="186"/>
      <c r="W10" s="246"/>
      <c r="X10" s="186"/>
      <c r="Y10" s="246"/>
      <c r="Z10" s="186"/>
      <c r="AA10" s="246"/>
      <c r="AB10" s="186"/>
      <c r="AC10" s="246"/>
      <c r="AD10" s="257"/>
      <c r="AE10" s="246"/>
    </row>
    <row r="11" spans="1:31" ht="24.75" customHeight="1">
      <c r="A11" s="258">
        <f>+'19'!A11</f>
        <v>2006</v>
      </c>
      <c r="B11" s="206">
        <f>+'21'!B11+'19'!B11</f>
        <v>3119</v>
      </c>
      <c r="C11" s="259">
        <f>+B11/'18'!B11*1000</f>
        <v>12.805826877045176</v>
      </c>
      <c r="D11" s="206">
        <f>+'21'!D11+'19'!D11</f>
        <v>278</v>
      </c>
      <c r="E11" s="259">
        <f>+D11/'18'!D11*1000</f>
        <v>12.186034278700742</v>
      </c>
      <c r="F11" s="206">
        <f t="shared" ref="F11:F18" si="0">+R11+H11</f>
        <v>55</v>
      </c>
      <c r="G11" s="259">
        <f>+F11/'18'!F11*1000</f>
        <v>15.545505935556813</v>
      </c>
      <c r="H11" s="272">
        <f t="shared" ref="H11" si="1">+J11+L11+N11+P11</f>
        <v>22</v>
      </c>
      <c r="I11" s="259">
        <f>+H11/'18'!H11*1000</f>
        <v>15.591778880226789</v>
      </c>
      <c r="J11" s="274">
        <f>+'19'!J11+'21'!J11</f>
        <v>16</v>
      </c>
      <c r="K11" s="259">
        <f>+J11/'18'!J11*1000</f>
        <v>17.185821697099893</v>
      </c>
      <c r="L11" s="274">
        <f>+'19'!L11+'21'!L11</f>
        <v>3</v>
      </c>
      <c r="M11" s="259">
        <f>+L11/'18'!L11*1000</f>
        <v>13.274336283185841</v>
      </c>
      <c r="N11" s="274">
        <f>+'19'!N11+'21'!N11</f>
        <v>2</v>
      </c>
      <c r="O11" s="259">
        <f>+N11/'18'!N11*1000</f>
        <v>13.245033112582782</v>
      </c>
      <c r="P11" s="274">
        <f>+'19'!P11+'21'!P11</f>
        <v>1</v>
      </c>
      <c r="Q11" s="259">
        <f>+P11/'18'!P11*1000</f>
        <v>9.7087378640776691</v>
      </c>
      <c r="R11" s="206">
        <f t="shared" ref="R11" si="2">+T11+V11+X11+Z11+AB11+AD11</f>
        <v>33</v>
      </c>
      <c r="S11" s="259">
        <f>+R11/'[4]17'!R11*1000</f>
        <v>14.871563767462822</v>
      </c>
      <c r="T11" s="274">
        <f>+'19'!T11+'21'!T11</f>
        <v>19</v>
      </c>
      <c r="U11" s="259">
        <f>+T11/'18'!T11*1000</f>
        <v>16.934046345811051</v>
      </c>
      <c r="V11" s="274">
        <f>+'19'!V11+'21'!V11</f>
        <v>7</v>
      </c>
      <c r="W11" s="259">
        <f>+V11/'18'!V11*1000</f>
        <v>37.037037037037038</v>
      </c>
      <c r="X11" s="274">
        <f>+'19'!X11+'21'!X11</f>
        <v>0</v>
      </c>
      <c r="Y11" s="259">
        <f>+X11/'18'!X11*1000</f>
        <v>0</v>
      </c>
      <c r="Z11" s="274">
        <f>+'19'!Z11+'21'!Z11</f>
        <v>0</v>
      </c>
      <c r="AA11" s="259">
        <f>+Z11/'18'!Z11*1000</f>
        <v>0</v>
      </c>
      <c r="AB11" s="274">
        <f>+'19'!AB11+'21'!AB11</f>
        <v>5</v>
      </c>
      <c r="AC11" s="259">
        <f>+AB11/'18'!AB11*1000</f>
        <v>14.88095238095238</v>
      </c>
      <c r="AD11" s="274">
        <f>+'19'!AD11+'21'!AD11</f>
        <v>2</v>
      </c>
      <c r="AE11" s="259">
        <f>+AD11/'18'!AD11*1000</f>
        <v>10.309278350515465</v>
      </c>
    </row>
    <row r="12" spans="1:31" ht="24.75" customHeight="1">
      <c r="A12" s="258">
        <f>+'19'!A12</f>
        <v>2007</v>
      </c>
      <c r="B12" s="206">
        <f>+'21'!B12+'19'!B12</f>
        <v>3214</v>
      </c>
      <c r="C12" s="259">
        <f>+B12/'18'!B12*1000</f>
        <v>13.278028869591083</v>
      </c>
      <c r="D12" s="206">
        <f>+'21'!D12+'19'!D12</f>
        <v>329</v>
      </c>
      <c r="E12" s="259">
        <f>+D12/'18'!D12*1000</f>
        <v>14.422233911976152</v>
      </c>
      <c r="F12" s="206">
        <f t="shared" si="0"/>
        <v>81</v>
      </c>
      <c r="G12" s="259">
        <f>+F12/'18'!F12*1000</f>
        <v>22.437673130193907</v>
      </c>
      <c r="H12" s="272">
        <f t="shared" ref="H12:H15" si="3">+J12+L12+N12+P12</f>
        <v>23</v>
      </c>
      <c r="I12" s="259">
        <f>+H12/'18'!H12*1000</f>
        <v>15.950069348127601</v>
      </c>
      <c r="J12" s="274">
        <f>+'19'!J12+'21'!J12</f>
        <v>14</v>
      </c>
      <c r="K12" s="259">
        <f>+J12/'18'!J12*1000</f>
        <v>14.256619144602853</v>
      </c>
      <c r="L12" s="274">
        <f>+'19'!L12+'21'!L12</f>
        <v>6</v>
      </c>
      <c r="M12" s="259">
        <f>+L12/'18'!L12*1000</f>
        <v>28.571428571428569</v>
      </c>
      <c r="N12" s="274">
        <f>+'19'!N12+'21'!N12</f>
        <v>2</v>
      </c>
      <c r="O12" s="259">
        <f>+N12/'18'!N12*1000</f>
        <v>13.333333333333334</v>
      </c>
      <c r="P12" s="274">
        <f>+'19'!P12+'21'!P12</f>
        <v>1</v>
      </c>
      <c r="Q12" s="259">
        <f>+P12/'18'!P12*1000</f>
        <v>10</v>
      </c>
      <c r="R12" s="206">
        <f t="shared" ref="R12:R15" si="4">+T12+V12+X12+Z12+AB12+AD12</f>
        <v>58</v>
      </c>
      <c r="S12" s="259">
        <f>+R12/'[4]17'!R12*1000</f>
        <v>26.964202696420269</v>
      </c>
      <c r="T12" s="274">
        <f>+'19'!T12+'21'!T12</f>
        <v>39</v>
      </c>
      <c r="U12" s="259">
        <f>+T12/'18'!T12*1000</f>
        <v>32.284768211920529</v>
      </c>
      <c r="V12" s="274">
        <f>+'19'!V12+'21'!V12</f>
        <v>6</v>
      </c>
      <c r="W12" s="259">
        <f>+V12/'18'!V12*1000</f>
        <v>31.578947368421055</v>
      </c>
      <c r="X12" s="274">
        <f>+'19'!X12+'21'!X12</f>
        <v>4</v>
      </c>
      <c r="Y12" s="259">
        <f>+X12/'18'!X12*1000</f>
        <v>19.900497512437809</v>
      </c>
      <c r="Z12" s="274">
        <f>+'19'!Z12+'21'!Z12</f>
        <v>1</v>
      </c>
      <c r="AA12" s="259">
        <f>+Z12/'18'!Z12*1000</f>
        <v>11.363636363636363</v>
      </c>
      <c r="AB12" s="274">
        <f>+'19'!AB12+'21'!AB12</f>
        <v>8</v>
      </c>
      <c r="AC12" s="259">
        <f>+AB12/'18'!AB12*1000</f>
        <v>26.058631921824105</v>
      </c>
      <c r="AD12" s="274">
        <f>+'19'!AD12+'21'!AD12</f>
        <v>0</v>
      </c>
      <c r="AE12" s="259">
        <f>+AD12/'18'!AD12*1000</f>
        <v>0</v>
      </c>
    </row>
    <row r="13" spans="1:31" ht="24.75" customHeight="1">
      <c r="A13" s="258">
        <f>+'19'!A13</f>
        <v>2008</v>
      </c>
      <c r="B13" s="206">
        <f>+'21'!B13+'19'!B13</f>
        <v>3289</v>
      </c>
      <c r="C13" s="259">
        <f>+B13/'18'!B13*1000</f>
        <v>13.242553328555438</v>
      </c>
      <c r="D13" s="206">
        <f>+'21'!D13+'19'!D13</f>
        <v>304</v>
      </c>
      <c r="E13" s="259">
        <f>+D13/'18'!D13*1000</f>
        <v>13.101754083523684</v>
      </c>
      <c r="F13" s="206">
        <f t="shared" si="0"/>
        <v>68</v>
      </c>
      <c r="G13" s="259">
        <f>+F13/'18'!F13*1000</f>
        <v>18.543768748295609</v>
      </c>
      <c r="H13" s="272">
        <f t="shared" si="3"/>
        <v>32</v>
      </c>
      <c r="I13" s="259">
        <f>+H13/'18'!H13*1000</f>
        <v>21.724372029871009</v>
      </c>
      <c r="J13" s="274">
        <f>+'19'!J13+'21'!J13</f>
        <v>22</v>
      </c>
      <c r="K13" s="259">
        <f>+J13/'18'!J13*1000</f>
        <v>22.797927461139896</v>
      </c>
      <c r="L13" s="274">
        <f>+'19'!L13+'21'!L13</f>
        <v>3</v>
      </c>
      <c r="M13" s="259">
        <f>+L13/'18'!L13*1000</f>
        <v>12.295081967213115</v>
      </c>
      <c r="N13" s="274">
        <f>+'19'!N13+'21'!N13</f>
        <v>5</v>
      </c>
      <c r="O13" s="259">
        <f>+N13/'18'!N13*1000</f>
        <v>32.89473684210526</v>
      </c>
      <c r="P13" s="274">
        <f>+'19'!P13+'21'!P13</f>
        <v>2</v>
      </c>
      <c r="Q13" s="259">
        <f>+P13/'18'!P13*1000</f>
        <v>17.857142857142858</v>
      </c>
      <c r="R13" s="206">
        <f t="shared" si="4"/>
        <v>36</v>
      </c>
      <c r="S13" s="259">
        <f>+R13/'[4]17'!R13*1000</f>
        <v>16.925246826516222</v>
      </c>
      <c r="T13" s="274">
        <f>+'19'!T13+'21'!T13</f>
        <v>24</v>
      </c>
      <c r="U13" s="259">
        <f>+T13/'18'!T13*1000</f>
        <v>20.134228187919462</v>
      </c>
      <c r="V13" s="274">
        <f>+'19'!V13+'21'!V13</f>
        <v>3</v>
      </c>
      <c r="W13" s="259">
        <f>+V13/'18'!V13*1000</f>
        <v>15</v>
      </c>
      <c r="X13" s="274">
        <f>+'19'!X13+'21'!X13</f>
        <v>5</v>
      </c>
      <c r="Y13" s="259">
        <f>+X13/'18'!X13*1000</f>
        <v>30.487804878048781</v>
      </c>
      <c r="Z13" s="274">
        <f>+'19'!Z13+'21'!Z13</f>
        <v>0</v>
      </c>
      <c r="AA13" s="259">
        <f>+Z13/'18'!Z13*1000</f>
        <v>0</v>
      </c>
      <c r="AB13" s="274">
        <f>+'19'!AB13+'21'!AB13</f>
        <v>1</v>
      </c>
      <c r="AC13" s="259">
        <f>+AB13/'18'!AB13*1000</f>
        <v>3.1545741324921135</v>
      </c>
      <c r="AD13" s="274">
        <f>+'19'!AD13+'21'!AD13</f>
        <v>3</v>
      </c>
      <c r="AE13" s="259">
        <f>+AD13/'18'!AD13*1000</f>
        <v>15.384615384615385</v>
      </c>
    </row>
    <row r="14" spans="1:31" ht="24.75" customHeight="1">
      <c r="A14" s="258">
        <f>+'19'!A14</f>
        <v>2009</v>
      </c>
      <c r="B14" s="206">
        <f>+'21'!B14+'19'!B14</f>
        <v>3317</v>
      </c>
      <c r="C14" s="259">
        <f>+B14/'18'!B14*1000</f>
        <v>13.150174437044086</v>
      </c>
      <c r="D14" s="206">
        <f>+'21'!D14+'19'!D14</f>
        <v>259</v>
      </c>
      <c r="E14" s="259">
        <f>+D14/'18'!D14*1000</f>
        <v>10.912155045291763</v>
      </c>
      <c r="F14" s="206">
        <f t="shared" si="0"/>
        <v>47</v>
      </c>
      <c r="G14" s="259">
        <f>+F14/'18'!F14*1000</f>
        <v>12.695840086439761</v>
      </c>
      <c r="H14" s="272">
        <f t="shared" si="3"/>
        <v>18</v>
      </c>
      <c r="I14" s="259">
        <f>+H14/'18'!H14*1000</f>
        <v>11.734028683181226</v>
      </c>
      <c r="J14" s="274">
        <f>+'19'!J14+'21'!J14</f>
        <v>15</v>
      </c>
      <c r="K14" s="259">
        <f>+J14/'18'!J14*1000</f>
        <v>15.228426395939087</v>
      </c>
      <c r="L14" s="274">
        <f>+'19'!L14+'21'!L14</f>
        <v>0</v>
      </c>
      <c r="M14" s="259">
        <f>+L14/'18'!L14*1000</f>
        <v>0</v>
      </c>
      <c r="N14" s="274">
        <f>+'19'!N14+'21'!N14</f>
        <v>3</v>
      </c>
      <c r="O14" s="259">
        <f>+N14/'18'!N14*1000</f>
        <v>19.230769230769234</v>
      </c>
      <c r="P14" s="274">
        <f>+'19'!P14+'21'!P14</f>
        <v>0</v>
      </c>
      <c r="Q14" s="259">
        <f>+P14/'18'!P14*1000</f>
        <v>0</v>
      </c>
      <c r="R14" s="206">
        <f t="shared" si="4"/>
        <v>29</v>
      </c>
      <c r="S14" s="259">
        <f>+R14/'[4]17'!R14*1000</f>
        <v>13.376383763837637</v>
      </c>
      <c r="T14" s="274">
        <f>+'19'!T14+'21'!T14</f>
        <v>19</v>
      </c>
      <c r="U14" s="259">
        <f>+T14/'18'!T14*1000</f>
        <v>16.253207869974339</v>
      </c>
      <c r="V14" s="274">
        <f>+'19'!V14+'21'!V14</f>
        <v>2</v>
      </c>
      <c r="W14" s="259">
        <f>+V14/'18'!V14*1000</f>
        <v>9.8522167487684733</v>
      </c>
      <c r="X14" s="274">
        <f>+'19'!X14+'21'!X14</f>
        <v>3</v>
      </c>
      <c r="Y14" s="259">
        <f>+X14/'18'!X14*1000</f>
        <v>17.647058823529413</v>
      </c>
      <c r="Z14" s="274">
        <f>+'19'!Z14+'21'!Z14</f>
        <v>2</v>
      </c>
      <c r="AA14" s="259">
        <f>+Z14/'18'!Z14*1000</f>
        <v>19.801980198019802</v>
      </c>
      <c r="AB14" s="274">
        <f>+'19'!AB14+'21'!AB14</f>
        <v>3</v>
      </c>
      <c r="AC14" s="259">
        <f>+AB14/'18'!AB14*1000</f>
        <v>8.720930232558139</v>
      </c>
      <c r="AD14" s="274">
        <f>+'19'!AD14+'21'!AD14</f>
        <v>0</v>
      </c>
      <c r="AE14" s="259">
        <f>+AD14/'18'!AD14*1000</f>
        <v>0</v>
      </c>
    </row>
    <row r="15" spans="1:31" ht="24.75" customHeight="1">
      <c r="A15" s="258">
        <f>+'19'!A15</f>
        <v>2010</v>
      </c>
      <c r="B15" s="206">
        <f>+'21'!B15+'19'!B15</f>
        <v>3154</v>
      </c>
      <c r="C15" s="259">
        <f>+B15/'18'!B15*1000</f>
        <v>12.555782467286893</v>
      </c>
      <c r="D15" s="206">
        <f>+'21'!D15+'19'!D15</f>
        <v>273</v>
      </c>
      <c r="E15" s="259">
        <f>+D15/'18'!D15*1000</f>
        <v>11.46095717884131</v>
      </c>
      <c r="F15" s="206">
        <f t="shared" si="0"/>
        <v>55</v>
      </c>
      <c r="G15" s="259">
        <f>+F15/'18'!F15*1000</f>
        <v>14.009169638308711</v>
      </c>
      <c r="H15" s="272">
        <f t="shared" si="3"/>
        <v>21</v>
      </c>
      <c r="I15" s="259">
        <f>+H15/'18'!H15*1000</f>
        <v>12.642986152919928</v>
      </c>
      <c r="J15" s="274">
        <f>+'19'!J15+'21'!J15</f>
        <v>14</v>
      </c>
      <c r="K15" s="259">
        <f>+J15/'18'!J15*1000</f>
        <v>13.17027281279398</v>
      </c>
      <c r="L15" s="274">
        <f>+'19'!L15+'21'!L15</f>
        <v>2</v>
      </c>
      <c r="M15" s="259">
        <f>+L15/'18'!L15*1000</f>
        <v>8.0321285140562235</v>
      </c>
      <c r="N15" s="274">
        <f>+'19'!N15+'21'!N15</f>
        <v>3</v>
      </c>
      <c r="O15" s="259">
        <f>+N15/'18'!N15*1000</f>
        <v>16.129032258064516</v>
      </c>
      <c r="P15" s="274">
        <f>+'19'!P15+'21'!P15</f>
        <v>2</v>
      </c>
      <c r="Q15" s="259">
        <f>+P15/'18'!P15*1000</f>
        <v>12.269938650306749</v>
      </c>
      <c r="R15" s="206">
        <f t="shared" si="4"/>
        <v>34</v>
      </c>
      <c r="S15" s="259">
        <f>+R15/'[4]17'!R15*1000</f>
        <v>15.496809480401094</v>
      </c>
      <c r="T15" s="274">
        <f>+'19'!T15+'21'!T15</f>
        <v>21</v>
      </c>
      <c r="U15" s="259">
        <f>+T15/'18'!T15*1000</f>
        <v>17.255546425636812</v>
      </c>
      <c r="V15" s="274">
        <f>+'19'!V15+'21'!V15</f>
        <v>1</v>
      </c>
      <c r="W15" s="259">
        <f>+V15/'18'!V15*1000</f>
        <v>5.2631578947368416</v>
      </c>
      <c r="X15" s="274">
        <f>+'19'!X15+'21'!X15</f>
        <v>5</v>
      </c>
      <c r="Y15" s="259">
        <f>+X15/'18'!X15*1000</f>
        <v>25.906735751295336</v>
      </c>
      <c r="Z15" s="274">
        <f>+'19'!Z15+'21'!Z15</f>
        <v>1</v>
      </c>
      <c r="AA15" s="259">
        <f>+Z15/'18'!Z15*1000</f>
        <v>9.5238095238095255</v>
      </c>
      <c r="AB15" s="274">
        <f>+'19'!AB15+'21'!AB15</f>
        <v>4</v>
      </c>
      <c r="AC15" s="259">
        <f>+AB15/'18'!AB15*1000</f>
        <v>12.121212121212121</v>
      </c>
      <c r="AD15" s="274">
        <f>+'19'!AD15+'21'!AD15</f>
        <v>2</v>
      </c>
      <c r="AE15" s="259">
        <f>+AD15/'18'!AD15*1000</f>
        <v>8.695652173913043</v>
      </c>
    </row>
    <row r="16" spans="1:31" ht="24.75" customHeight="1">
      <c r="A16" s="258">
        <f>+'19'!A16</f>
        <v>2011</v>
      </c>
      <c r="B16" s="206">
        <f>+'21'!B16+'19'!B16</f>
        <v>3166</v>
      </c>
      <c r="C16" s="259">
        <f>+B16/'18'!B16*1000</f>
        <v>12.721041148509919</v>
      </c>
      <c r="D16" s="206">
        <f>+'21'!D16+'19'!D16</f>
        <v>268</v>
      </c>
      <c r="E16" s="259">
        <f>+D16/'18'!D16*1000</f>
        <v>11.310880391660337</v>
      </c>
      <c r="F16" s="206">
        <f t="shared" si="0"/>
        <v>40</v>
      </c>
      <c r="G16" s="259">
        <f>+F16/'18'!F16*1000</f>
        <v>10.81665765278529</v>
      </c>
      <c r="H16" s="272">
        <f t="shared" ref="H16:H17" si="5">+J16+L16+N16+P16</f>
        <v>19</v>
      </c>
      <c r="I16" s="263">
        <f>+H16/'18'!H16*1000</f>
        <v>12.57445400397088</v>
      </c>
      <c r="J16" s="274">
        <f>+'19'!J16+'21'!J16</f>
        <v>12</v>
      </c>
      <c r="K16" s="263">
        <f>+J16/'18'!J16*1000</f>
        <v>12.383900928792571</v>
      </c>
      <c r="L16" s="206">
        <v>4</v>
      </c>
      <c r="M16" s="259">
        <f>+L16/'18'!L16*1000</f>
        <v>17.241379310344826</v>
      </c>
      <c r="N16" s="206">
        <v>1</v>
      </c>
      <c r="O16" s="263">
        <f>+N16/'18'!N16*1000</f>
        <v>5.9880239520958085</v>
      </c>
      <c r="P16" s="274">
        <v>2</v>
      </c>
      <c r="Q16" s="259">
        <f>+P16/'18'!P16*1000</f>
        <v>13.986013986013987</v>
      </c>
      <c r="R16" s="206">
        <f t="shared" ref="R16:R17" si="6">+T16+V16+X16+Z16+AB16+AD16</f>
        <v>21</v>
      </c>
      <c r="S16" s="259">
        <f>+R16/'[4]17'!R16*1000</f>
        <v>9.6863468634686356</v>
      </c>
      <c r="T16" s="262">
        <v>11</v>
      </c>
      <c r="U16" s="259">
        <f>+T16/'18'!T16*1000</f>
        <v>9.8214285714285712</v>
      </c>
      <c r="V16" s="262">
        <v>3</v>
      </c>
      <c r="W16" s="259">
        <f>+V16/'18'!V16*1000</f>
        <v>14.084507042253522</v>
      </c>
      <c r="X16" s="206">
        <v>2</v>
      </c>
      <c r="Y16" s="259">
        <f>+X16/'18'!X16*1000</f>
        <v>7.9365079365079358</v>
      </c>
      <c r="Z16" s="206">
        <v>1</v>
      </c>
      <c r="AA16" s="259">
        <f>+Z16/'18'!Z16*1000</f>
        <v>10</v>
      </c>
      <c r="AB16" s="206">
        <v>2</v>
      </c>
      <c r="AC16" s="259">
        <f>+AB16/'18'!AB16*1000</f>
        <v>6.1728395061728394</v>
      </c>
      <c r="AD16" s="206">
        <v>2</v>
      </c>
      <c r="AE16" s="259">
        <f>+AD16/'18'!AD16*1000</f>
        <v>11.235955056179774</v>
      </c>
    </row>
    <row r="17" spans="1:31" ht="24.75" customHeight="1">
      <c r="A17" s="258">
        <f>+'19'!A17</f>
        <v>2012</v>
      </c>
      <c r="B17" s="206">
        <f>+'21'!B17+'19'!B17</f>
        <v>3098</v>
      </c>
      <c r="C17" s="259">
        <f>+B17/'18'!B17*1000</f>
        <v>12.704114689696462</v>
      </c>
      <c r="D17" s="206">
        <f>+'21'!D17+'19'!D17</f>
        <v>275</v>
      </c>
      <c r="E17" s="259">
        <f>+D17/'18'!D17*1000</f>
        <v>11.643168635420635</v>
      </c>
      <c r="F17" s="206">
        <f t="shared" si="0"/>
        <v>39</v>
      </c>
      <c r="G17" s="259">
        <f>+F17/'18'!F17*1000</f>
        <v>10.236220472440944</v>
      </c>
      <c r="H17" s="272">
        <f t="shared" si="5"/>
        <v>15</v>
      </c>
      <c r="I17" s="263">
        <f>+H17/'18'!H17*1000</f>
        <v>9.7276264591439698</v>
      </c>
      <c r="J17" s="274">
        <f>+'19'!J17+'21'!J17</f>
        <v>11</v>
      </c>
      <c r="K17" s="263">
        <f>+J17/'18'!J17*1000</f>
        <v>11.494252873563218</v>
      </c>
      <c r="L17" s="206">
        <v>0</v>
      </c>
      <c r="M17" s="263">
        <v>0</v>
      </c>
      <c r="N17" s="206">
        <v>2</v>
      </c>
      <c r="O17" s="263">
        <f>+N17/'18'!N17*1000</f>
        <v>10.416666666666666</v>
      </c>
      <c r="P17" s="274">
        <v>2</v>
      </c>
      <c r="Q17" s="259">
        <f>+P17/'18'!P17*1000</f>
        <v>13.698630136986301</v>
      </c>
      <c r="R17" s="206">
        <f t="shared" si="6"/>
        <v>24</v>
      </c>
      <c r="S17" s="259">
        <f>+R17/'[4]17'!R17*1000</f>
        <v>10.596026490066226</v>
      </c>
      <c r="T17" s="262">
        <v>17</v>
      </c>
      <c r="U17" s="259">
        <f>+T17/'18'!T17*1000</f>
        <v>14.107883817427386</v>
      </c>
      <c r="V17" s="262">
        <v>1</v>
      </c>
      <c r="W17" s="259">
        <f>+V17/'18'!V17*1000</f>
        <v>4.9504950495049505</v>
      </c>
      <c r="X17" s="206">
        <v>1</v>
      </c>
      <c r="Y17" s="259">
        <f>+X17/'18'!X17*1000</f>
        <v>5.0505050505050511</v>
      </c>
      <c r="Z17" s="206">
        <v>1</v>
      </c>
      <c r="AA17" s="259">
        <f>+Z17/'18'!Z17*1000</f>
        <v>10.101010101010102</v>
      </c>
      <c r="AB17" s="206">
        <v>4</v>
      </c>
      <c r="AC17" s="259">
        <f>+AB17/'18'!AB17*1000</f>
        <v>10.443864229765014</v>
      </c>
      <c r="AD17" s="206">
        <v>0</v>
      </c>
      <c r="AE17" s="259">
        <f>+AD17/'18'!AD17*1000</f>
        <v>0</v>
      </c>
    </row>
    <row r="18" spans="1:31" ht="24.75" customHeight="1">
      <c r="A18" s="258">
        <f>+'19'!A18</f>
        <v>2013</v>
      </c>
      <c r="B18" s="206">
        <f>+'21'!B18+'19'!B18</f>
        <v>3104</v>
      </c>
      <c r="C18" s="259">
        <f>+B18/'18'!B18*1000</f>
        <v>12.826181277246338</v>
      </c>
      <c r="D18" s="206">
        <f>+'21'!D18+'19'!D18</f>
        <v>254</v>
      </c>
      <c r="E18" s="259">
        <f>+D18/'18'!D18*1000</f>
        <v>10.982833917066632</v>
      </c>
      <c r="F18" s="206">
        <f t="shared" si="0"/>
        <v>51</v>
      </c>
      <c r="G18" s="259">
        <f>+F18/'18'!F18*1000</f>
        <v>13.720742534301856</v>
      </c>
      <c r="H18" s="272">
        <f t="shared" ref="H18" si="7">+J18+L18+N18+P18</f>
        <v>21</v>
      </c>
      <c r="I18" s="263">
        <f>+H18/'18'!H18*1000</f>
        <v>13.70757180156658</v>
      </c>
      <c r="J18" s="274">
        <f>+'19'!J18+'21'!J18</f>
        <v>16</v>
      </c>
      <c r="K18" s="263">
        <f>+J18/'18'!J18*1000</f>
        <v>16.824395373291271</v>
      </c>
      <c r="L18" s="206">
        <v>0</v>
      </c>
      <c r="M18" s="263">
        <v>0</v>
      </c>
      <c r="N18" s="206">
        <v>2</v>
      </c>
      <c r="O18" s="263">
        <f>+N18/'18'!N18*1000</f>
        <v>11.976047904191617</v>
      </c>
      <c r="P18" s="274">
        <v>3</v>
      </c>
      <c r="Q18" s="259">
        <f>+P18/'18'!P18*1000</f>
        <v>20.833333333333332</v>
      </c>
      <c r="R18" s="206">
        <f t="shared" ref="R18" si="8">+T18+V18+X18+Z18+AB18+AD18</f>
        <v>30</v>
      </c>
      <c r="S18" s="259">
        <f>+R18/'[4]17'!R18*1000</f>
        <v>13.717421124828531</v>
      </c>
      <c r="T18" s="262">
        <v>18</v>
      </c>
      <c r="U18" s="259">
        <f>+T18/'18'!T18*1000</f>
        <v>16.245487364620939</v>
      </c>
      <c r="V18" s="262">
        <v>2</v>
      </c>
      <c r="W18" s="259">
        <f>+V18/'18'!V18*1000</f>
        <v>9.6153846153846168</v>
      </c>
      <c r="X18" s="206">
        <v>2</v>
      </c>
      <c r="Y18" s="259">
        <f>+X18/'18'!X18*1000</f>
        <v>9.4339622641509422</v>
      </c>
      <c r="Z18" s="206">
        <v>2</v>
      </c>
      <c r="AA18" s="259">
        <f>+Z18/'18'!Z18*1000</f>
        <v>22.727272727272727</v>
      </c>
      <c r="AB18" s="206">
        <v>5</v>
      </c>
      <c r="AC18" s="259">
        <f>+AB18/'18'!AB18*1000</f>
        <v>13.333333333333334</v>
      </c>
      <c r="AD18" s="206">
        <v>1</v>
      </c>
      <c r="AE18" s="259">
        <f>+AD18/'18'!AD18*1000</f>
        <v>5.1546391752577323</v>
      </c>
    </row>
    <row r="19" spans="1:31" ht="24.75" customHeight="1">
      <c r="A19" s="258">
        <f>+'19'!A19</f>
        <v>2014</v>
      </c>
      <c r="B19" s="206"/>
      <c r="C19" s="271"/>
      <c r="D19" s="206"/>
      <c r="E19" s="271"/>
      <c r="F19" s="206"/>
      <c r="G19" s="259"/>
      <c r="H19" s="272"/>
      <c r="I19" s="273"/>
      <c r="J19" s="274"/>
      <c r="K19" s="270"/>
      <c r="L19" s="274"/>
      <c r="M19" s="259"/>
      <c r="N19" s="274"/>
      <c r="O19" s="270"/>
      <c r="P19" s="274"/>
      <c r="Q19" s="270"/>
      <c r="R19" s="206"/>
      <c r="S19" s="263"/>
      <c r="T19" s="274"/>
      <c r="U19" s="270"/>
      <c r="V19" s="274"/>
      <c r="W19" s="270"/>
      <c r="X19" s="274"/>
      <c r="Y19" s="270"/>
      <c r="Z19" s="274"/>
      <c r="AA19" s="270"/>
      <c r="AB19" s="274"/>
      <c r="AC19" s="270"/>
      <c r="AD19" s="274"/>
      <c r="AE19" s="259"/>
    </row>
    <row r="20" spans="1:31" ht="24.75" customHeight="1">
      <c r="A20" s="258">
        <f>+'19'!A20</f>
        <v>2015</v>
      </c>
      <c r="B20" s="206"/>
      <c r="C20" s="271"/>
      <c r="D20" s="206"/>
      <c r="E20" s="271"/>
      <c r="F20" s="206"/>
      <c r="G20" s="259"/>
      <c r="H20" s="272"/>
      <c r="I20" s="273"/>
      <c r="J20" s="274"/>
      <c r="K20" s="270"/>
      <c r="L20" s="274"/>
      <c r="M20" s="259"/>
      <c r="N20" s="274"/>
      <c r="O20" s="270"/>
      <c r="P20" s="274"/>
      <c r="Q20" s="270"/>
      <c r="R20" s="206"/>
      <c r="S20" s="263"/>
      <c r="T20" s="274"/>
      <c r="U20" s="270"/>
      <c r="V20" s="274"/>
      <c r="W20" s="270"/>
      <c r="X20" s="274"/>
      <c r="Y20" s="270"/>
      <c r="Z20" s="274"/>
      <c r="AA20" s="270"/>
      <c r="AB20" s="274"/>
      <c r="AC20" s="270"/>
      <c r="AD20" s="274"/>
      <c r="AE20" s="259"/>
    </row>
    <row r="21" spans="1:31">
      <c r="A21" s="264"/>
      <c r="B21" s="209"/>
      <c r="C21" s="265"/>
      <c r="D21" s="209"/>
      <c r="E21" s="265"/>
      <c r="F21" s="215"/>
      <c r="G21" s="265"/>
      <c r="H21" s="266"/>
      <c r="I21" s="266"/>
      <c r="J21" s="209"/>
      <c r="K21" s="265"/>
      <c r="L21" s="209"/>
      <c r="M21" s="265"/>
      <c r="N21" s="209"/>
      <c r="O21" s="265"/>
      <c r="P21" s="209"/>
      <c r="Q21" s="265"/>
      <c r="R21" s="266"/>
      <c r="S21" s="266"/>
      <c r="T21" s="209"/>
      <c r="U21" s="265"/>
      <c r="V21" s="209"/>
      <c r="W21" s="265"/>
      <c r="X21" s="209"/>
      <c r="Y21" s="265"/>
      <c r="Z21" s="209"/>
      <c r="AA21" s="265"/>
      <c r="AB21" s="209"/>
      <c r="AC21" s="265"/>
      <c r="AD21" s="266"/>
      <c r="AE21" s="265"/>
    </row>
    <row r="22" spans="1:3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c r="A23" s="1"/>
      <c r="B23" s="220" t="str">
        <f>+'18'!B22</f>
        <v>AÑO   2015  :   DATOS POR OCURRENCIA   (Provisorios)</v>
      </c>
      <c r="C23" s="267"/>
      <c r="D23" s="267"/>
      <c r="E23" s="267"/>
      <c r="F23" s="267"/>
      <c r="G23" s="267"/>
      <c r="H23" s="267"/>
      <c r="I23" s="267"/>
      <c r="J23" s="267"/>
      <c r="K23" s="1"/>
      <c r="L23" s="1"/>
      <c r="M23" s="1"/>
      <c r="N23" s="1"/>
      <c r="O23" s="1"/>
      <c r="P23" s="1"/>
      <c r="Q23" s="1"/>
      <c r="R23" s="1"/>
      <c r="S23" s="1"/>
      <c r="T23" s="1"/>
      <c r="U23" s="1"/>
      <c r="V23" s="1"/>
      <c r="W23" s="1"/>
      <c r="X23" s="1"/>
      <c r="Y23" s="1"/>
      <c r="Z23" s="1"/>
      <c r="AA23" s="1"/>
      <c r="AB23" s="1"/>
      <c r="AC23" s="1"/>
      <c r="AD23" s="1"/>
      <c r="AE23" s="1"/>
    </row>
    <row r="24" spans="1:31">
      <c r="A24" s="1"/>
      <c r="B24" s="216"/>
      <c r="C24" s="220" t="s">
        <v>687</v>
      </c>
      <c r="D24" s="267"/>
      <c r="E24" s="267"/>
      <c r="F24" s="267"/>
      <c r="G24" s="216"/>
      <c r="H24" s="216"/>
      <c r="I24" s="216"/>
      <c r="J24" s="216"/>
      <c r="K24" s="1"/>
      <c r="L24" s="1"/>
      <c r="M24" s="1"/>
      <c r="N24" s="1"/>
      <c r="O24" s="1"/>
      <c r="P24" s="1"/>
      <c r="Q24" s="1"/>
      <c r="R24" s="1"/>
      <c r="S24" s="1"/>
      <c r="T24" s="1"/>
      <c r="U24" s="1"/>
      <c r="V24" s="1"/>
      <c r="W24" s="1"/>
      <c r="X24" s="1"/>
      <c r="Y24" s="1"/>
      <c r="Z24" s="1"/>
      <c r="AA24" s="1"/>
      <c r="AB24" s="1"/>
      <c r="AC24" s="1"/>
      <c r="AD24" s="1"/>
      <c r="AE24" s="1"/>
    </row>
    <row r="25" spans="1:3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row>
  </sheetData>
  <phoneticPr fontId="19" type="noConversion"/>
  <pageMargins left="0.98425196850393704"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
  <sheetViews>
    <sheetView topLeftCell="A9" workbookViewId="0">
      <selection activeCell="E17" sqref="E17:E18"/>
    </sheetView>
  </sheetViews>
  <sheetFormatPr baseColWidth="10" defaultRowHeight="12.75"/>
  <cols>
    <col min="1" max="1" width="6.28515625" customWidth="1"/>
    <col min="2" max="2" width="5.7109375" customWidth="1"/>
    <col min="3" max="3" width="5.42578125" customWidth="1"/>
    <col min="4" max="4" width="5" customWidth="1"/>
    <col min="5" max="5" width="6.28515625" customWidth="1"/>
    <col min="6" max="6" width="6.140625" customWidth="1"/>
    <col min="7" max="7" width="5.140625" customWidth="1"/>
    <col min="8" max="9" width="6.42578125" customWidth="1"/>
    <col min="10" max="10" width="4" customWidth="1"/>
    <col min="11" max="11" width="5.85546875" customWidth="1"/>
    <col min="12" max="12" width="4" customWidth="1"/>
    <col min="13" max="13" width="5.85546875" customWidth="1"/>
    <col min="14" max="15" width="5.28515625" customWidth="1"/>
    <col min="16" max="16" width="4.5703125" customWidth="1"/>
    <col min="17" max="19" width="5.85546875" customWidth="1"/>
    <col min="20" max="20" width="4.140625" customWidth="1"/>
    <col min="21" max="21" width="5.85546875" customWidth="1"/>
    <col min="22" max="22" width="3.85546875" customWidth="1"/>
    <col min="23" max="23" width="5.85546875" customWidth="1"/>
    <col min="24" max="24" width="4" customWidth="1"/>
    <col min="25" max="25" width="5.85546875" customWidth="1"/>
    <col min="26" max="26" width="4.140625" customWidth="1"/>
    <col min="27" max="27" width="5.85546875" customWidth="1"/>
    <col min="28" max="28" width="3.85546875" customWidth="1"/>
    <col min="29" max="29" width="5.85546875" customWidth="1"/>
    <col min="30" max="30" width="3.85546875" customWidth="1"/>
    <col min="31" max="31" width="5.85546875" customWidth="1"/>
  </cols>
  <sheetData>
    <row r="1" spans="1:31">
      <c r="A1" s="148" t="s">
        <v>688</v>
      </c>
      <c r="B1" s="275"/>
      <c r="C1" s="275"/>
      <c r="D1" s="275"/>
      <c r="E1" s="275"/>
      <c r="F1" s="275"/>
      <c r="G1" s="275"/>
      <c r="H1" s="275"/>
      <c r="I1" s="275"/>
      <c r="J1" s="275"/>
      <c r="K1" s="275"/>
      <c r="L1" s="116"/>
      <c r="M1" s="116"/>
      <c r="N1" s="116"/>
      <c r="O1" s="116"/>
      <c r="P1" s="116"/>
      <c r="Q1" s="116"/>
      <c r="R1" s="116"/>
      <c r="S1" s="116"/>
      <c r="T1" s="116"/>
      <c r="U1" s="116"/>
      <c r="V1" s="116"/>
      <c r="W1" s="116"/>
      <c r="X1" s="116"/>
      <c r="Y1" s="116"/>
      <c r="Z1" s="116"/>
      <c r="AA1" s="116"/>
      <c r="AB1" s="116"/>
      <c r="AC1" s="116"/>
      <c r="AD1" s="116"/>
      <c r="AE1" s="116"/>
    </row>
    <row r="2" spans="1:31">
      <c r="A2" s="275"/>
      <c r="B2" s="275"/>
      <c r="C2" s="275"/>
      <c r="D2" s="275"/>
      <c r="E2" s="275"/>
      <c r="F2" s="275"/>
      <c r="G2" s="275"/>
      <c r="H2" s="275"/>
      <c r="I2" s="275"/>
      <c r="J2" s="275"/>
      <c r="K2" s="275"/>
      <c r="L2" s="116"/>
      <c r="M2" s="116"/>
      <c r="N2" s="116"/>
      <c r="O2" s="116"/>
      <c r="P2" s="116"/>
      <c r="Q2" s="116"/>
      <c r="R2" s="116"/>
      <c r="S2" s="116"/>
      <c r="T2" s="116"/>
      <c r="U2" s="116"/>
      <c r="V2" s="116"/>
      <c r="W2" s="116"/>
      <c r="X2" s="116"/>
      <c r="Y2" s="116"/>
      <c r="Z2" s="116"/>
      <c r="AA2" s="116"/>
      <c r="AB2" s="116"/>
      <c r="AC2" s="116"/>
      <c r="AD2" s="116"/>
      <c r="AE2" s="116"/>
    </row>
    <row r="3" spans="1:31">
      <c r="A3" s="148" t="str">
        <f>+'20'!A3</f>
        <v>AÑOS   2006  - 2015</v>
      </c>
      <c r="B3" s="275"/>
      <c r="C3" s="275"/>
      <c r="D3" s="275"/>
      <c r="E3" s="275"/>
      <c r="F3" s="275"/>
      <c r="G3" s="275"/>
      <c r="H3" s="275"/>
      <c r="I3" s="275"/>
      <c r="J3" s="275"/>
      <c r="K3" s="275"/>
      <c r="L3" s="116"/>
      <c r="M3" s="116"/>
      <c r="N3" s="116"/>
      <c r="O3" s="116"/>
      <c r="P3" s="116"/>
      <c r="Q3" s="116"/>
      <c r="R3" s="116"/>
      <c r="S3" s="116"/>
      <c r="T3" s="116"/>
      <c r="U3" s="116"/>
      <c r="V3" s="116"/>
      <c r="W3" s="116"/>
      <c r="X3" s="116"/>
      <c r="Y3" s="116"/>
      <c r="Z3" s="116"/>
      <c r="AA3" s="116"/>
      <c r="AB3" s="116"/>
      <c r="AC3" s="116"/>
      <c r="AD3" s="116"/>
      <c r="AE3" s="116"/>
    </row>
    <row r="4" spans="1:31">
      <c r="A4" s="116"/>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row>
    <row r="5" spans="1:31">
      <c r="A5" s="1"/>
      <c r="B5" s="116"/>
      <c r="C5" s="11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row>
    <row r="6" spans="1:31" ht="20.25" customHeight="1">
      <c r="A6" s="88"/>
      <c r="B6" s="276"/>
      <c r="C6" s="277"/>
      <c r="D6" s="276"/>
      <c r="E6" s="277"/>
      <c r="F6" s="276"/>
      <c r="G6" s="277"/>
      <c r="H6" s="243"/>
      <c r="I6" s="86"/>
      <c r="J6" s="121" t="s">
        <v>658</v>
      </c>
      <c r="K6" s="121"/>
      <c r="L6" s="121"/>
      <c r="M6" s="121"/>
      <c r="N6" s="121"/>
      <c r="O6" s="121"/>
      <c r="P6" s="121"/>
      <c r="Q6" s="121"/>
      <c r="R6" s="121"/>
      <c r="S6" s="121"/>
      <c r="T6" s="121"/>
      <c r="U6" s="121"/>
      <c r="V6" s="121"/>
      <c r="W6" s="121"/>
      <c r="X6" s="121"/>
      <c r="Y6" s="121"/>
      <c r="Z6" s="121"/>
      <c r="AA6" s="121"/>
      <c r="AB6" s="121"/>
      <c r="AC6" s="121"/>
      <c r="AD6" s="86"/>
      <c r="AE6" s="87"/>
    </row>
    <row r="7" spans="1:31">
      <c r="A7" s="249"/>
      <c r="B7" s="203"/>
      <c r="C7" s="250"/>
      <c r="D7" s="203"/>
      <c r="E7" s="252"/>
      <c r="F7" s="216" t="s">
        <v>666</v>
      </c>
      <c r="G7" s="278"/>
      <c r="H7" s="186" t="s">
        <v>667</v>
      </c>
      <c r="I7" s="246"/>
      <c r="J7" s="247"/>
      <c r="K7" s="248"/>
      <c r="L7" s="247"/>
      <c r="M7" s="248"/>
      <c r="N7" s="247"/>
      <c r="O7" s="248"/>
      <c r="P7" s="247"/>
      <c r="Q7" s="248"/>
      <c r="R7" s="186" t="s">
        <v>667</v>
      </c>
      <c r="S7" s="246"/>
      <c r="T7" s="247"/>
      <c r="U7" s="248"/>
      <c r="V7" s="247"/>
      <c r="W7" s="248"/>
      <c r="X7" s="247"/>
      <c r="Y7" s="248"/>
      <c r="Z7" s="220"/>
      <c r="AA7" s="248"/>
      <c r="AB7" s="247"/>
      <c r="AC7" s="248"/>
      <c r="AD7" s="247"/>
      <c r="AE7" s="248"/>
    </row>
    <row r="8" spans="1:31" ht="18" customHeight="1">
      <c r="A8" s="249" t="s">
        <v>659</v>
      </c>
      <c r="B8" s="203" t="s">
        <v>664</v>
      </c>
      <c r="C8" s="203"/>
      <c r="D8" s="203" t="s">
        <v>665</v>
      </c>
      <c r="E8" s="250"/>
      <c r="F8" s="203" t="s">
        <v>668</v>
      </c>
      <c r="G8" s="250"/>
      <c r="H8" s="203" t="s">
        <v>649</v>
      </c>
      <c r="I8" s="250"/>
      <c r="J8" s="203" t="s">
        <v>649</v>
      </c>
      <c r="K8" s="250"/>
      <c r="L8" s="251" t="s">
        <v>444</v>
      </c>
      <c r="M8" s="252"/>
      <c r="N8" s="203" t="s">
        <v>670</v>
      </c>
      <c r="O8" s="250"/>
      <c r="P8" s="203" t="s">
        <v>447</v>
      </c>
      <c r="Q8" s="250"/>
      <c r="R8" s="203" t="s">
        <v>671</v>
      </c>
      <c r="S8" s="250"/>
      <c r="T8" s="203" t="s">
        <v>671</v>
      </c>
      <c r="U8" s="250"/>
      <c r="V8" s="203" t="s">
        <v>411</v>
      </c>
      <c r="W8" s="250"/>
      <c r="X8" s="203" t="s">
        <v>429</v>
      </c>
      <c r="Y8" s="250"/>
      <c r="Z8" s="203" t="s">
        <v>434</v>
      </c>
      <c r="AA8" s="250"/>
      <c r="AB8" s="203" t="s">
        <v>672</v>
      </c>
      <c r="AC8" s="250"/>
      <c r="AD8" s="203" t="s">
        <v>436</v>
      </c>
      <c r="AE8" s="250"/>
    </row>
    <row r="9" spans="1:31" ht="18.75" customHeight="1">
      <c r="A9" s="253"/>
      <c r="B9" s="254" t="s">
        <v>681</v>
      </c>
      <c r="C9" s="256" t="s">
        <v>682</v>
      </c>
      <c r="D9" s="254" t="s">
        <v>681</v>
      </c>
      <c r="E9" s="256" t="s">
        <v>682</v>
      </c>
      <c r="F9" s="254" t="s">
        <v>681</v>
      </c>
      <c r="G9" s="256" t="s">
        <v>682</v>
      </c>
      <c r="H9" s="254" t="s">
        <v>681</v>
      </c>
      <c r="I9" s="255" t="s">
        <v>682</v>
      </c>
      <c r="J9" s="254" t="s">
        <v>681</v>
      </c>
      <c r="K9" s="255" t="s">
        <v>682</v>
      </c>
      <c r="L9" s="254" t="s">
        <v>681</v>
      </c>
      <c r="M9" s="256" t="s">
        <v>682</v>
      </c>
      <c r="N9" s="254" t="s">
        <v>681</v>
      </c>
      <c r="O9" s="256" t="s">
        <v>682</v>
      </c>
      <c r="P9" s="254" t="s">
        <v>681</v>
      </c>
      <c r="Q9" s="256" t="s">
        <v>682</v>
      </c>
      <c r="R9" s="254" t="s">
        <v>681</v>
      </c>
      <c r="S9" s="255" t="s">
        <v>682</v>
      </c>
      <c r="T9" s="254" t="s">
        <v>681</v>
      </c>
      <c r="U9" s="256" t="s">
        <v>682</v>
      </c>
      <c r="V9" s="254" t="s">
        <v>681</v>
      </c>
      <c r="W9" s="256" t="s">
        <v>682</v>
      </c>
      <c r="X9" s="254" t="s">
        <v>681</v>
      </c>
      <c r="Y9" s="256" t="s">
        <v>682</v>
      </c>
      <c r="Z9" s="254" t="s">
        <v>681</v>
      </c>
      <c r="AA9" s="256" t="s">
        <v>682</v>
      </c>
      <c r="AB9" s="254" t="s">
        <v>681</v>
      </c>
      <c r="AC9" s="256" t="s">
        <v>682</v>
      </c>
      <c r="AD9" s="254" t="s">
        <v>681</v>
      </c>
      <c r="AE9" s="256" t="s">
        <v>682</v>
      </c>
    </row>
    <row r="10" spans="1:31">
      <c r="A10" s="185"/>
      <c r="B10" s="186"/>
      <c r="C10" s="246"/>
      <c r="D10" s="186"/>
      <c r="E10" s="246"/>
      <c r="F10" s="186"/>
      <c r="G10" s="246"/>
      <c r="H10" s="257"/>
      <c r="I10" s="257"/>
      <c r="J10" s="186"/>
      <c r="K10" s="246"/>
      <c r="L10" s="186"/>
      <c r="M10" s="246"/>
      <c r="N10" s="186"/>
      <c r="O10" s="246"/>
      <c r="P10" s="186"/>
      <c r="Q10" s="257"/>
      <c r="R10" s="186"/>
      <c r="S10" s="246"/>
      <c r="T10" s="186"/>
      <c r="U10" s="246"/>
      <c r="V10" s="186"/>
      <c r="W10" s="246"/>
      <c r="X10" s="186"/>
      <c r="Y10" s="246"/>
      <c r="Z10" s="186"/>
      <c r="AA10" s="246"/>
      <c r="AB10" s="186"/>
      <c r="AC10" s="257"/>
      <c r="AD10" s="186"/>
      <c r="AE10" s="246"/>
    </row>
    <row r="11" spans="1:31" ht="26.25" customHeight="1">
      <c r="A11" s="258">
        <f>+'20'!A11</f>
        <v>2006</v>
      </c>
      <c r="B11" s="206">
        <v>995</v>
      </c>
      <c r="C11" s="271">
        <f>+B11/'18'!B11*1000</f>
        <v>4.0852188979352198</v>
      </c>
      <c r="D11" s="260">
        <v>92</v>
      </c>
      <c r="E11" s="271">
        <f>+D11/'18'!D11*1000</f>
        <v>4.0327883224477272</v>
      </c>
      <c r="F11" s="206">
        <f t="shared" ref="F11:F20" si="0">+J11+L11+N11+P11+T11+V11+X11+Z11+AB11+AD11</f>
        <v>15</v>
      </c>
      <c r="G11" s="271">
        <f>+F11/'18'!F11*1000</f>
        <v>4.2396834369700391</v>
      </c>
      <c r="H11" s="279">
        <f t="shared" ref="H11:H20" si="1">+J11+L11+N11+P11</f>
        <v>4</v>
      </c>
      <c r="I11" s="271">
        <f>+H11/'18'!H11*1000</f>
        <v>2.834868887313962</v>
      </c>
      <c r="J11" s="206">
        <v>4</v>
      </c>
      <c r="K11" s="271">
        <f>+J11/'18'!J11*1000</f>
        <v>4.2964554242749733</v>
      </c>
      <c r="L11" s="260">
        <v>0</v>
      </c>
      <c r="M11" s="271">
        <f>+L11/'18'!L11*1000</f>
        <v>0</v>
      </c>
      <c r="N11" s="260">
        <v>0</v>
      </c>
      <c r="O11" s="271">
        <f>+N11/'18'!N11*1000</f>
        <v>0</v>
      </c>
      <c r="P11" s="260">
        <v>0</v>
      </c>
      <c r="Q11" s="271">
        <f>+P11/'18'!P11*1000</f>
        <v>0</v>
      </c>
      <c r="R11" s="206">
        <v>11</v>
      </c>
      <c r="S11" s="263">
        <f>+R11/'18'!R11*1000</f>
        <v>5.1716031969910672</v>
      </c>
      <c r="T11" s="206">
        <v>3</v>
      </c>
      <c r="U11" s="271">
        <f>+T11/'18'!T11*1000</f>
        <v>2.6737967914438503</v>
      </c>
      <c r="V11" s="260">
        <v>4</v>
      </c>
      <c r="W11" s="271">
        <f>+V11/'18'!V11*1000</f>
        <v>21.164021164021165</v>
      </c>
      <c r="X11" s="260">
        <v>0</v>
      </c>
      <c r="Y11" s="271">
        <f>+X11/'18'!X11*1000</f>
        <v>0</v>
      </c>
      <c r="Z11" s="260">
        <v>0</v>
      </c>
      <c r="AA11" s="271">
        <f>+Z11/'18'!Z11*1000</f>
        <v>0</v>
      </c>
      <c r="AB11" s="260">
        <v>3</v>
      </c>
      <c r="AC11" s="271">
        <f>+AB11/'18'!AB11*1000</f>
        <v>8.9285714285714288</v>
      </c>
      <c r="AD11" s="260">
        <v>1</v>
      </c>
      <c r="AE11" s="263">
        <f>+AD11/'18'!AD11*1000</f>
        <v>5.1546391752577323</v>
      </c>
    </row>
    <row r="12" spans="1:31" ht="26.25" customHeight="1">
      <c r="A12" s="258">
        <f>+'20'!A12</f>
        <v>2007</v>
      </c>
      <c r="B12" s="206">
        <v>1049</v>
      </c>
      <c r="C12" s="271">
        <f>+B12/'18'!B12*1000</f>
        <v>4.3337437100812215</v>
      </c>
      <c r="D12" s="260">
        <v>114</v>
      </c>
      <c r="E12" s="271">
        <f>+D12/'18'!D12*1000</f>
        <v>4.9973698053655973</v>
      </c>
      <c r="F12" s="206">
        <f t="shared" si="0"/>
        <v>23</v>
      </c>
      <c r="G12" s="271">
        <f>+F12/'18'!F12*1000</f>
        <v>6.3711911357340725</v>
      </c>
      <c r="H12" s="279">
        <f t="shared" si="1"/>
        <v>6</v>
      </c>
      <c r="I12" s="271">
        <f>+H12/'18'!H12*1000</f>
        <v>4.160887656033287</v>
      </c>
      <c r="J12" s="206">
        <v>3</v>
      </c>
      <c r="K12" s="271">
        <f>+J12/'18'!J12*1000</f>
        <v>3.0549898167006111</v>
      </c>
      <c r="L12" s="260">
        <v>2</v>
      </c>
      <c r="M12" s="271">
        <f>+L12/'18'!L12*1000</f>
        <v>9.5238095238095255</v>
      </c>
      <c r="N12" s="260">
        <v>1</v>
      </c>
      <c r="O12" s="271">
        <f>+N12/'18'!N12*1000</f>
        <v>6.666666666666667</v>
      </c>
      <c r="P12" s="260">
        <v>0</v>
      </c>
      <c r="Q12" s="271">
        <f>+P12/'18'!P12*1000</f>
        <v>0</v>
      </c>
      <c r="R12" s="206">
        <v>17</v>
      </c>
      <c r="S12" s="263">
        <f>+R12/'18'!R12*1000</f>
        <v>7.8413284132841321</v>
      </c>
      <c r="T12" s="206">
        <v>9</v>
      </c>
      <c r="U12" s="271">
        <f>+T12/'18'!T12*1000</f>
        <v>7.4503311258278142</v>
      </c>
      <c r="V12" s="260">
        <v>3</v>
      </c>
      <c r="W12" s="271">
        <f>+V12/'18'!V12*1000</f>
        <v>15.789473684210527</v>
      </c>
      <c r="X12" s="260">
        <v>1</v>
      </c>
      <c r="Y12" s="271">
        <f>+X12/'18'!X12*1000</f>
        <v>4.9751243781094523</v>
      </c>
      <c r="Z12" s="260">
        <v>0</v>
      </c>
      <c r="AA12" s="271">
        <f>+Z12/'18'!Z12*1000</f>
        <v>0</v>
      </c>
      <c r="AB12" s="260">
        <v>4</v>
      </c>
      <c r="AC12" s="271">
        <f>+AB12/'18'!AB12*1000</f>
        <v>13.029315960912053</v>
      </c>
      <c r="AD12" s="260">
        <v>0</v>
      </c>
      <c r="AE12" s="263">
        <f>+AD12/'18'!AD12*1000</f>
        <v>0</v>
      </c>
    </row>
    <row r="13" spans="1:31" ht="26.25" customHeight="1">
      <c r="A13" s="258">
        <f>+'20'!A13</f>
        <v>2008</v>
      </c>
      <c r="B13" s="206">
        <v>1122</v>
      </c>
      <c r="C13" s="271">
        <f>+B13/'18'!B13*1000</f>
        <v>4.5175265535540294</v>
      </c>
      <c r="D13" s="260">
        <v>99</v>
      </c>
      <c r="E13" s="271">
        <f>+D13/'18'!D13*1000</f>
        <v>4.2666896522001467</v>
      </c>
      <c r="F13" s="206">
        <f t="shared" si="0"/>
        <v>16</v>
      </c>
      <c r="G13" s="271">
        <f>+F13/'18'!F13*1000</f>
        <v>4.3632397054813197</v>
      </c>
      <c r="H13" s="279">
        <f t="shared" si="1"/>
        <v>10</v>
      </c>
      <c r="I13" s="271">
        <f>+H13/'18'!H13*1000</f>
        <v>6.7888662593346911</v>
      </c>
      <c r="J13" s="206">
        <v>6</v>
      </c>
      <c r="K13" s="271">
        <f>+J13/'18'!J13*1000</f>
        <v>6.2176165803108807</v>
      </c>
      <c r="L13" s="260">
        <v>1</v>
      </c>
      <c r="M13" s="271">
        <f>+L13/'18'!L13*1000</f>
        <v>4.0983606557377055</v>
      </c>
      <c r="N13" s="260">
        <v>3</v>
      </c>
      <c r="O13" s="271">
        <f>+N13/'18'!N13*1000</f>
        <v>19.736842105263158</v>
      </c>
      <c r="P13" s="260">
        <v>0</v>
      </c>
      <c r="Q13" s="271">
        <f>+P13/'18'!P13*1000</f>
        <v>0</v>
      </c>
      <c r="R13" s="206">
        <v>6</v>
      </c>
      <c r="S13" s="263">
        <f>+R13/'18'!R13*1000</f>
        <v>2.7347310847766639</v>
      </c>
      <c r="T13" s="206">
        <v>4</v>
      </c>
      <c r="U13" s="271">
        <f>+T13/'18'!T13*1000</f>
        <v>3.3557046979865772</v>
      </c>
      <c r="V13" s="260">
        <v>0</v>
      </c>
      <c r="W13" s="271">
        <f>+V13/'18'!V13*1000</f>
        <v>0</v>
      </c>
      <c r="X13" s="260">
        <v>0</v>
      </c>
      <c r="Y13" s="271">
        <f>+X13/'18'!X13*1000</f>
        <v>0</v>
      </c>
      <c r="Z13" s="260">
        <v>0</v>
      </c>
      <c r="AA13" s="271">
        <f>+Z13/'18'!Z13*1000</f>
        <v>0</v>
      </c>
      <c r="AB13" s="260">
        <v>0</v>
      </c>
      <c r="AC13" s="271">
        <f>+AB13/'18'!AB13*1000</f>
        <v>0</v>
      </c>
      <c r="AD13" s="260">
        <v>2</v>
      </c>
      <c r="AE13" s="263">
        <f>+AD13/'18'!AD13*1000</f>
        <v>10.256410256410257</v>
      </c>
    </row>
    <row r="14" spans="1:31" ht="26.25" customHeight="1">
      <c r="A14" s="258">
        <f>+'20'!A14</f>
        <v>2009</v>
      </c>
      <c r="B14" s="206">
        <v>1065</v>
      </c>
      <c r="C14" s="271">
        <f>+B14/'18'!B14*1000</f>
        <v>4.2221693625118935</v>
      </c>
      <c r="D14" s="260">
        <v>105</v>
      </c>
      <c r="E14" s="271">
        <f>+D14/'18'!D14*1000</f>
        <v>4.4238466399831475</v>
      </c>
      <c r="F14" s="206">
        <f t="shared" si="0"/>
        <v>14</v>
      </c>
      <c r="G14" s="271">
        <f>+F14/'18'!F14*1000</f>
        <v>3.7817396002160995</v>
      </c>
      <c r="H14" s="279">
        <f t="shared" si="1"/>
        <v>6</v>
      </c>
      <c r="I14" s="271">
        <f>+H14/'18'!H14*1000</f>
        <v>3.9113428943937421</v>
      </c>
      <c r="J14" s="206">
        <v>4</v>
      </c>
      <c r="K14" s="271">
        <f>+J14/'18'!J14*1000</f>
        <v>4.060913705583757</v>
      </c>
      <c r="L14" s="260">
        <v>0</v>
      </c>
      <c r="M14" s="271">
        <f>+L14/'18'!L14*1000</f>
        <v>0</v>
      </c>
      <c r="N14" s="260">
        <v>2</v>
      </c>
      <c r="O14" s="271">
        <f>+N14/'18'!N14*1000</f>
        <v>12.820512820512819</v>
      </c>
      <c r="P14" s="260">
        <v>0</v>
      </c>
      <c r="Q14" s="271">
        <f>+P14/'18'!P14*1000</f>
        <v>0</v>
      </c>
      <c r="R14" s="206">
        <v>8</v>
      </c>
      <c r="S14" s="263">
        <f>+R14/'18'!R14*1000</f>
        <v>3.6900369003690034</v>
      </c>
      <c r="T14" s="206">
        <v>6</v>
      </c>
      <c r="U14" s="271">
        <f>+T14/'18'!T14*1000</f>
        <v>5.1325919589392646</v>
      </c>
      <c r="V14" s="260">
        <v>1</v>
      </c>
      <c r="W14" s="271">
        <f>+V14/'18'!V14*1000</f>
        <v>4.9261083743842367</v>
      </c>
      <c r="X14" s="260">
        <v>0</v>
      </c>
      <c r="Y14" s="271">
        <f>+X14/'18'!X14*1000</f>
        <v>0</v>
      </c>
      <c r="Z14" s="260">
        <v>1</v>
      </c>
      <c r="AA14" s="271">
        <f>+Z14/'18'!Z14*1000</f>
        <v>9.9009900990099009</v>
      </c>
      <c r="AB14" s="260">
        <v>0</v>
      </c>
      <c r="AC14" s="271">
        <f>+AB14/'18'!AB14*1000</f>
        <v>0</v>
      </c>
      <c r="AD14" s="260">
        <v>0</v>
      </c>
      <c r="AE14" s="263">
        <f>+AD14/'18'!AD14*1000</f>
        <v>0</v>
      </c>
    </row>
    <row r="15" spans="1:31" ht="26.25" customHeight="1">
      <c r="A15" s="258">
        <f>+'20'!A15</f>
        <v>2010</v>
      </c>
      <c r="B15" s="206">
        <v>988</v>
      </c>
      <c r="C15" s="271">
        <f>+B15/'18'!B15*1000</f>
        <v>3.9331366764995086</v>
      </c>
      <c r="D15" s="260">
        <v>89</v>
      </c>
      <c r="E15" s="271">
        <f>+D15/'18'!D15*1000</f>
        <v>3.7363560033585226</v>
      </c>
      <c r="F15" s="206">
        <f t="shared" si="0"/>
        <v>25</v>
      </c>
      <c r="G15" s="271">
        <f>+F15/'18'!F15*1000</f>
        <v>6.3678043810494147</v>
      </c>
      <c r="H15" s="279">
        <f t="shared" si="1"/>
        <v>10</v>
      </c>
      <c r="I15" s="271">
        <f>+H15/'18'!H15*1000</f>
        <v>6.0204695966285371</v>
      </c>
      <c r="J15" s="206">
        <v>6</v>
      </c>
      <c r="K15" s="271">
        <f>+J15/'18'!J15*1000</f>
        <v>5.644402634054563</v>
      </c>
      <c r="L15" s="260">
        <v>1</v>
      </c>
      <c r="M15" s="271">
        <f>+L15/'18'!L15*1000</f>
        <v>4.0160642570281118</v>
      </c>
      <c r="N15" s="260">
        <v>3</v>
      </c>
      <c r="O15" s="271">
        <f>+N15/'18'!N15*1000</f>
        <v>16.129032258064516</v>
      </c>
      <c r="P15" s="260">
        <v>0</v>
      </c>
      <c r="Q15" s="271">
        <f>+P15/'18'!P15*1000</f>
        <v>0</v>
      </c>
      <c r="R15" s="206">
        <v>15</v>
      </c>
      <c r="S15" s="263">
        <f>+R15/'18'!R15*1000</f>
        <v>6.6225165562913908</v>
      </c>
      <c r="T15" s="206">
        <v>8</v>
      </c>
      <c r="U15" s="271">
        <f>+T15/'18'!T15*1000</f>
        <v>6.5735414954806899</v>
      </c>
      <c r="V15" s="260">
        <v>1</v>
      </c>
      <c r="W15" s="271">
        <f>+V15/'18'!V15*1000</f>
        <v>5.2631578947368416</v>
      </c>
      <c r="X15" s="260">
        <v>2</v>
      </c>
      <c r="Y15" s="271">
        <f>+X15/'18'!X15*1000</f>
        <v>10.362694300518134</v>
      </c>
      <c r="Z15" s="260">
        <v>1</v>
      </c>
      <c r="AA15" s="271">
        <f>+Z15/'18'!Z15*1000</f>
        <v>9.5238095238095255</v>
      </c>
      <c r="AB15" s="260">
        <v>2</v>
      </c>
      <c r="AC15" s="271">
        <f>+AB15/'18'!AB15*1000</f>
        <v>6.0606060606060606</v>
      </c>
      <c r="AD15" s="260">
        <v>1</v>
      </c>
      <c r="AE15" s="263">
        <f>+AD15/'18'!AD15*1000</f>
        <v>4.3478260869565215</v>
      </c>
    </row>
    <row r="16" spans="1:31" ht="26.25" customHeight="1">
      <c r="A16" s="258">
        <f>+'20'!A16</f>
        <v>2011</v>
      </c>
      <c r="B16" s="206">
        <v>1068</v>
      </c>
      <c r="C16" s="271">
        <f>+B16/'18'!B16*1000</f>
        <v>4.2912419288087786</v>
      </c>
      <c r="D16" s="260">
        <v>87</v>
      </c>
      <c r="E16" s="271">
        <f>+D16/'18'!D16*1000</f>
        <v>3.6718156495315268</v>
      </c>
      <c r="F16" s="206">
        <f t="shared" si="0"/>
        <v>19</v>
      </c>
      <c r="G16" s="271">
        <f>+F16/'18'!F16*1000</f>
        <v>5.1379123850730126</v>
      </c>
      <c r="H16" s="279">
        <f t="shared" si="1"/>
        <v>8</v>
      </c>
      <c r="I16" s="271">
        <f>+H16/'18'!H16*1000</f>
        <v>5.2945069490403709</v>
      </c>
      <c r="J16" s="206">
        <v>4</v>
      </c>
      <c r="K16" s="271">
        <f>+J16/'18'!J16*1000</f>
        <v>4.1279669762641893</v>
      </c>
      <c r="L16" s="260">
        <v>3</v>
      </c>
      <c r="M16" s="271">
        <f>+L16/'18'!L16*1000</f>
        <v>12.931034482758621</v>
      </c>
      <c r="N16" s="260">
        <v>0</v>
      </c>
      <c r="O16" s="271">
        <f>+N16/'18'!N16*1000</f>
        <v>0</v>
      </c>
      <c r="P16" s="260">
        <v>1</v>
      </c>
      <c r="Q16" s="271">
        <f>+P16/'18'!P16*1000</f>
        <v>6.9930069930069934</v>
      </c>
      <c r="R16" s="206">
        <v>11</v>
      </c>
      <c r="S16" s="263">
        <f>+R16/'18'!R16*1000</f>
        <v>5.0297210791037958</v>
      </c>
      <c r="T16" s="206">
        <v>6</v>
      </c>
      <c r="U16" s="271">
        <f>+T16/'18'!T16*1000</f>
        <v>5.3571428571428568</v>
      </c>
      <c r="V16" s="260">
        <v>2</v>
      </c>
      <c r="W16" s="271">
        <f>+V16/'18'!V16*1000</f>
        <v>9.3896713615023479</v>
      </c>
      <c r="X16" s="260">
        <v>1</v>
      </c>
      <c r="Y16" s="271">
        <f>+X16/'18'!X16*1000</f>
        <v>3.9682539682539679</v>
      </c>
      <c r="Z16" s="260">
        <v>0</v>
      </c>
      <c r="AA16" s="271">
        <f>+Z16/'18'!Z16*1000</f>
        <v>0</v>
      </c>
      <c r="AB16" s="260">
        <v>2</v>
      </c>
      <c r="AC16" s="271">
        <f>+AB16/'18'!AB16*1000</f>
        <v>6.1728395061728394</v>
      </c>
      <c r="AD16" s="260">
        <v>0</v>
      </c>
      <c r="AE16" s="263">
        <f>+AD16/'18'!AD16*1000</f>
        <v>0</v>
      </c>
    </row>
    <row r="17" spans="1:31" ht="26.25" customHeight="1">
      <c r="A17" s="258">
        <f>+'20'!A17</f>
        <v>2012</v>
      </c>
      <c r="B17" s="206">
        <v>1034</v>
      </c>
      <c r="C17" s="271">
        <f>+B17/'18'!B17*1000</f>
        <v>4.2401725594403308</v>
      </c>
      <c r="D17" s="260">
        <v>100</v>
      </c>
      <c r="E17" s="271">
        <f>+D17/'18'!D17*1000</f>
        <v>4.2338795037893222</v>
      </c>
      <c r="F17" s="206">
        <f t="shared" si="0"/>
        <v>18</v>
      </c>
      <c r="G17" s="271">
        <f>+F17/'18'!F17*1000</f>
        <v>4.7244094488188972</v>
      </c>
      <c r="H17" s="279">
        <f t="shared" si="1"/>
        <v>8</v>
      </c>
      <c r="I17" s="271">
        <f>+H17/'18'!H17*1000</f>
        <v>5.1880674448767836</v>
      </c>
      <c r="J17" s="206">
        <v>7</v>
      </c>
      <c r="K17" s="271">
        <f>+J17/'18'!J17*1000</f>
        <v>7.3145245559038665</v>
      </c>
      <c r="L17" s="260">
        <v>0</v>
      </c>
      <c r="M17" s="271">
        <f>+L17/'18'!L17*1000</f>
        <v>0</v>
      </c>
      <c r="N17" s="260">
        <v>1</v>
      </c>
      <c r="O17" s="271">
        <f>+N17/'18'!N17*1000</f>
        <v>5.208333333333333</v>
      </c>
      <c r="P17" s="260">
        <v>0</v>
      </c>
      <c r="Q17" s="271">
        <f>+P17/'18'!P17*1000</f>
        <v>0</v>
      </c>
      <c r="R17" s="206">
        <v>10</v>
      </c>
      <c r="S17" s="263">
        <f>+R17/'18'!R17*1000</f>
        <v>4.409171075837742</v>
      </c>
      <c r="T17" s="206">
        <v>8</v>
      </c>
      <c r="U17" s="271">
        <f>+T17/'18'!T17*1000</f>
        <v>6.6390041493775929</v>
      </c>
      <c r="V17" s="260">
        <v>1</v>
      </c>
      <c r="W17" s="271">
        <f>+V17/'18'!V17*1000</f>
        <v>4.9504950495049505</v>
      </c>
      <c r="X17" s="260">
        <v>1</v>
      </c>
      <c r="Y17" s="271">
        <f>+X17/'18'!X17*1000</f>
        <v>5.0505050505050511</v>
      </c>
      <c r="Z17" s="260">
        <v>0</v>
      </c>
      <c r="AA17" s="271">
        <f>+Z17/'18'!Z17*1000</f>
        <v>0</v>
      </c>
      <c r="AB17" s="260">
        <v>0</v>
      </c>
      <c r="AC17" s="271">
        <f>+AB17/'18'!AB17*1000</f>
        <v>0</v>
      </c>
      <c r="AD17" s="260">
        <v>0</v>
      </c>
      <c r="AE17" s="263">
        <f>+AD17/'18'!AD17*1000</f>
        <v>0</v>
      </c>
    </row>
    <row r="18" spans="1:31" ht="26.25" customHeight="1">
      <c r="A18" s="258">
        <f>+'20'!A18</f>
        <v>2013</v>
      </c>
      <c r="B18" s="206">
        <v>1014</v>
      </c>
      <c r="C18" s="271">
        <f>+B18/'18'!B18*1000</f>
        <v>4.1899960744612716</v>
      </c>
      <c r="D18" s="260">
        <v>93</v>
      </c>
      <c r="E18" s="271">
        <f>+D18/'18'!D18*1000</f>
        <v>4.0212738357763653</v>
      </c>
      <c r="F18" s="206">
        <f t="shared" si="0"/>
        <v>11</v>
      </c>
      <c r="G18" s="271">
        <f>+F18/'18'!F18*1000</f>
        <v>2.9593758407317732</v>
      </c>
      <c r="H18" s="279">
        <f t="shared" si="1"/>
        <v>5</v>
      </c>
      <c r="I18" s="271">
        <f>+H18/'18'!H18*1000</f>
        <v>3.2637075718015662</v>
      </c>
      <c r="J18" s="206">
        <v>4</v>
      </c>
      <c r="K18" s="271">
        <f>+J18/'18'!J18*1000</f>
        <v>4.2060988433228177</v>
      </c>
      <c r="L18" s="260">
        <v>1</v>
      </c>
      <c r="M18" s="271">
        <f>+L18/'18'!L18*1000</f>
        <v>3.7037037037037037</v>
      </c>
      <c r="N18" s="260">
        <v>0</v>
      </c>
      <c r="O18" s="271">
        <f>+N18/'18'!N18*1000</f>
        <v>0</v>
      </c>
      <c r="P18" s="260">
        <v>0</v>
      </c>
      <c r="Q18" s="271">
        <f>+P18/'18'!P18*1000</f>
        <v>0</v>
      </c>
      <c r="R18" s="206">
        <v>6</v>
      </c>
      <c r="S18" s="263">
        <f>+R18/'18'!R18*1000</f>
        <v>2.7459954233409611</v>
      </c>
      <c r="T18" s="206">
        <v>3</v>
      </c>
      <c r="U18" s="271">
        <f>+T18/'18'!T18*1000</f>
        <v>2.7075812274368229</v>
      </c>
      <c r="V18" s="260">
        <v>1</v>
      </c>
      <c r="W18" s="271">
        <f>+V18/'18'!V18*1000</f>
        <v>4.8076923076923084</v>
      </c>
      <c r="X18" s="260">
        <v>0</v>
      </c>
      <c r="Y18" s="271">
        <f>+X18/'18'!X18*1000</f>
        <v>0</v>
      </c>
      <c r="Z18" s="260">
        <v>1</v>
      </c>
      <c r="AA18" s="271">
        <f>+Z18/'18'!Z18*1000</f>
        <v>11.363636363636363</v>
      </c>
      <c r="AB18" s="260">
        <v>1</v>
      </c>
      <c r="AC18" s="271">
        <f>+AB18/'18'!AB18*1000</f>
        <v>2.6666666666666665</v>
      </c>
      <c r="AD18" s="260">
        <v>0</v>
      </c>
      <c r="AE18" s="263">
        <f>+AD18/'18'!AD18*1000</f>
        <v>0</v>
      </c>
    </row>
    <row r="19" spans="1:31" ht="26.25" customHeight="1">
      <c r="A19" s="258">
        <f>+'20'!A19</f>
        <v>2014</v>
      </c>
      <c r="B19" s="206"/>
      <c r="C19" s="271"/>
      <c r="D19" s="260"/>
      <c r="E19" s="270"/>
      <c r="F19" s="206">
        <f t="shared" si="0"/>
        <v>13</v>
      </c>
      <c r="G19" s="271">
        <f>+F19/'18'!F19*1000</f>
        <v>3.4638955502264852</v>
      </c>
      <c r="H19" s="279">
        <f t="shared" si="1"/>
        <v>2</v>
      </c>
      <c r="I19" s="271">
        <f>+H19/'18'!H19*1000</f>
        <v>1.2812299807815501</v>
      </c>
      <c r="J19" s="206">
        <v>0</v>
      </c>
      <c r="K19" s="271">
        <f>+J19/'18'!J19*1000</f>
        <v>0</v>
      </c>
      <c r="L19" s="260">
        <v>1</v>
      </c>
      <c r="M19" s="271">
        <f>+L19/'18'!L19*1000</f>
        <v>3.9370078740157481</v>
      </c>
      <c r="N19" s="260">
        <v>0</v>
      </c>
      <c r="O19" s="271">
        <f>+N19/'18'!N19*1000</f>
        <v>0</v>
      </c>
      <c r="P19" s="260">
        <v>1</v>
      </c>
      <c r="Q19" s="271">
        <f>+P19/'18'!P19*1000</f>
        <v>7.5757575757575761</v>
      </c>
      <c r="R19" s="206">
        <v>11</v>
      </c>
      <c r="S19" s="263">
        <f>+R19/'18'!R19*1000</f>
        <v>5.0182481751824817</v>
      </c>
      <c r="T19" s="206">
        <v>7</v>
      </c>
      <c r="U19" s="271">
        <f>+T19/'18'!T19*1000</f>
        <v>6.3578564940962767</v>
      </c>
      <c r="V19" s="260">
        <v>2</v>
      </c>
      <c r="W19" s="271">
        <f>+V19/'18'!V19*1000</f>
        <v>10.309278350515465</v>
      </c>
      <c r="X19" s="260">
        <v>0</v>
      </c>
      <c r="Y19" s="271">
        <f>+X19/'18'!X19*1000</f>
        <v>0</v>
      </c>
      <c r="Z19" s="260">
        <v>1</v>
      </c>
      <c r="AA19" s="271">
        <f>+Z19/'18'!Z19*1000</f>
        <v>8.695652173913043</v>
      </c>
      <c r="AB19" s="260">
        <v>1</v>
      </c>
      <c r="AC19" s="271">
        <f>+AB19/'18'!AB19*1000</f>
        <v>2.5510204081632653</v>
      </c>
      <c r="AD19" s="260">
        <v>0</v>
      </c>
      <c r="AE19" s="263">
        <f>+AD19/'18'!AD19*1000</f>
        <v>0</v>
      </c>
    </row>
    <row r="20" spans="1:31" ht="26.25" customHeight="1">
      <c r="A20" s="258">
        <f>+'20'!A20</f>
        <v>2015</v>
      </c>
      <c r="B20" s="206"/>
      <c r="C20" s="271"/>
      <c r="D20" s="260"/>
      <c r="E20" s="270"/>
      <c r="F20" s="206">
        <f t="shared" si="0"/>
        <v>13</v>
      </c>
      <c r="G20" s="271">
        <f>+F20/'18'!F20*1000</f>
        <v>3.5981179075560479</v>
      </c>
      <c r="H20" s="279">
        <f t="shared" si="1"/>
        <v>3</v>
      </c>
      <c r="I20" s="271">
        <f>+H20/'18'!H20*1000</f>
        <v>2.054794520547945</v>
      </c>
      <c r="J20" s="206">
        <v>2</v>
      </c>
      <c r="K20" s="271">
        <f>+J20/'18'!J20*1000</f>
        <v>2.1645021645021645</v>
      </c>
      <c r="L20" s="260">
        <v>1</v>
      </c>
      <c r="M20" s="271">
        <f>+L20/'18'!L20*1000</f>
        <v>4.8309178743961354</v>
      </c>
      <c r="N20" s="260">
        <v>0</v>
      </c>
      <c r="O20" s="271">
        <f>+N20/'18'!N20*1000</f>
        <v>0</v>
      </c>
      <c r="P20" s="260">
        <v>0</v>
      </c>
      <c r="Q20" s="271">
        <f>+P20/'18'!P20*1000</f>
        <v>0</v>
      </c>
      <c r="R20" s="206">
        <f>+T20+V20+X20+Z20+AB20+AD20</f>
        <v>10</v>
      </c>
      <c r="S20" s="263">
        <f>+R20/'18'!R20*1000</f>
        <v>4.6446818392940088</v>
      </c>
      <c r="T20" s="206">
        <v>7</v>
      </c>
      <c r="U20" s="271">
        <f>+T20/'18'!T20*1000</f>
        <v>6.2724014336917566</v>
      </c>
      <c r="V20" s="260">
        <v>1</v>
      </c>
      <c r="W20" s="271">
        <f>+V20/'18'!V20*1000</f>
        <v>4.5871559633027523</v>
      </c>
      <c r="X20" s="260">
        <v>2</v>
      </c>
      <c r="Y20" s="271">
        <f>+X20/'18'!X20*1000</f>
        <v>9.7087378640776691</v>
      </c>
      <c r="Z20" s="260">
        <v>0</v>
      </c>
      <c r="AA20" s="271">
        <f>+Z20/'18'!Z20*1000</f>
        <v>0</v>
      </c>
      <c r="AB20" s="260">
        <v>0</v>
      </c>
      <c r="AC20" s="271">
        <f>+AB20/'18'!AB20*1000</f>
        <v>0</v>
      </c>
      <c r="AD20" s="260">
        <v>0</v>
      </c>
      <c r="AE20" s="263">
        <f>+AD20/'18'!AD20*1000</f>
        <v>0</v>
      </c>
    </row>
    <row r="21" spans="1:31" ht="18.75" customHeight="1">
      <c r="A21" s="264"/>
      <c r="B21" s="280"/>
      <c r="C21" s="281"/>
      <c r="D21" s="280"/>
      <c r="E21" s="265"/>
      <c r="F21" s="212"/>
      <c r="G21" s="265"/>
      <c r="H21" s="266"/>
      <c r="I21" s="266"/>
      <c r="J21" s="209"/>
      <c r="K21" s="265"/>
      <c r="L21" s="209"/>
      <c r="M21" s="281"/>
      <c r="N21" s="209"/>
      <c r="O21" s="265"/>
      <c r="P21" s="209"/>
      <c r="Q21" s="266"/>
      <c r="R21" s="209"/>
      <c r="S21" s="265"/>
      <c r="T21" s="280"/>
      <c r="U21" s="265"/>
      <c r="V21" s="209"/>
      <c r="W21" s="281"/>
      <c r="X21" s="209"/>
      <c r="Y21" s="265"/>
      <c r="Z21" s="209"/>
      <c r="AA21" s="265"/>
      <c r="AB21" s="209"/>
      <c r="AC21" s="282"/>
      <c r="AD21" s="209"/>
      <c r="AE21" s="265"/>
    </row>
    <row r="22" spans="1:31">
      <c r="A22" s="1"/>
      <c r="B22" s="1"/>
      <c r="C22" s="1"/>
      <c r="D22" s="1"/>
      <c r="E22" s="1"/>
      <c r="F22" s="1"/>
      <c r="G22" s="1"/>
      <c r="H22" s="1"/>
      <c r="I22" s="1"/>
      <c r="J22" s="1"/>
      <c r="K22" s="1"/>
      <c r="L22" s="1"/>
      <c r="M22" s="1"/>
      <c r="N22" s="1"/>
      <c r="O22" s="1"/>
      <c r="P22" s="1"/>
      <c r="Q22" s="1"/>
      <c r="R22" s="1"/>
      <c r="S22" s="1"/>
      <c r="T22" s="1"/>
      <c r="U22" s="1167"/>
      <c r="V22" s="1"/>
      <c r="W22" s="1"/>
      <c r="X22" s="1"/>
      <c r="Y22" s="1"/>
      <c r="Z22" s="1"/>
      <c r="AA22" s="1"/>
      <c r="AB22" s="1"/>
      <c r="AC22" s="1"/>
      <c r="AD22" s="1"/>
      <c r="AE22" s="1"/>
    </row>
    <row r="23" spans="1:31">
      <c r="A23" s="1"/>
      <c r="B23" s="220" t="str">
        <f>+'18'!B22</f>
        <v>AÑO   2015  :   DATOS POR OCURRENCIA   (Provisorios)</v>
      </c>
      <c r="C23" s="267"/>
      <c r="D23" s="267"/>
      <c r="E23" s="267"/>
      <c r="F23" s="267"/>
      <c r="G23" s="171"/>
      <c r="H23" s="171"/>
      <c r="I23" s="171"/>
      <c r="J23" s="171"/>
      <c r="K23" s="1"/>
      <c r="L23" s="1"/>
      <c r="M23" s="1"/>
      <c r="N23" s="1"/>
      <c r="O23" s="1"/>
      <c r="P23" s="1"/>
      <c r="Q23" s="1"/>
      <c r="R23" s="1"/>
      <c r="S23" s="1"/>
      <c r="T23" s="1"/>
      <c r="U23" s="1"/>
      <c r="V23" s="1"/>
      <c r="W23" s="1"/>
      <c r="X23" s="1"/>
      <c r="Y23" s="1"/>
      <c r="Z23" s="1"/>
      <c r="AA23" s="1"/>
      <c r="AB23" s="1"/>
      <c r="AC23" s="1"/>
      <c r="AD23" s="1"/>
      <c r="AE23" s="1"/>
    </row>
    <row r="24" spans="1:31">
      <c r="A24" s="1"/>
      <c r="B24" s="216"/>
      <c r="C24" s="220" t="s">
        <v>689</v>
      </c>
      <c r="D24" s="220"/>
      <c r="E24" s="216"/>
      <c r="F24" s="216"/>
      <c r="G24" s="1"/>
      <c r="H24" s="1"/>
      <c r="I24" s="1"/>
      <c r="J24" s="1"/>
      <c r="K24" s="1"/>
      <c r="L24" s="1"/>
      <c r="M24" s="1"/>
      <c r="N24" s="1"/>
      <c r="O24" s="1"/>
      <c r="P24" s="1"/>
      <c r="Q24" s="1"/>
      <c r="R24" s="1"/>
      <c r="S24" s="1"/>
      <c r="T24" s="1"/>
      <c r="U24" s="1"/>
      <c r="V24" s="1"/>
      <c r="W24" s="1"/>
      <c r="X24" s="1"/>
      <c r="Y24" s="1"/>
      <c r="Z24" s="1"/>
      <c r="AA24" s="1"/>
      <c r="AB24" s="1"/>
      <c r="AC24" s="1"/>
      <c r="AD24" s="1"/>
      <c r="AE24" s="1"/>
    </row>
    <row r="25" spans="1:31">
      <c r="A25" s="1"/>
      <c r="B25" s="216"/>
      <c r="C25" s="216"/>
      <c r="D25" s="216"/>
      <c r="E25" s="216"/>
      <c r="F25" s="216"/>
      <c r="G25" s="1"/>
      <c r="H25" s="1"/>
      <c r="I25" s="1"/>
      <c r="J25" s="1"/>
      <c r="K25" s="1"/>
      <c r="L25" s="1"/>
      <c r="M25" s="1"/>
      <c r="N25" s="1"/>
      <c r="O25" s="1"/>
      <c r="P25" s="1"/>
      <c r="Q25" s="1"/>
      <c r="R25" s="1"/>
      <c r="S25" s="1"/>
      <c r="T25" s="1"/>
      <c r="U25" s="1"/>
      <c r="V25" s="1"/>
      <c r="W25" s="1"/>
      <c r="X25" s="1"/>
      <c r="Y25" s="1"/>
      <c r="Z25" s="1"/>
      <c r="AA25" s="1"/>
      <c r="AB25" s="1"/>
      <c r="AC25" s="1"/>
      <c r="AD25" s="1"/>
      <c r="AE25" s="1"/>
    </row>
  </sheetData>
  <phoneticPr fontId="19" type="noConversion"/>
  <pageMargins left="0.78740157480314965"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
  <sheetViews>
    <sheetView topLeftCell="A12" zoomScaleNormal="100" workbookViewId="0">
      <selection activeCell="B18" sqref="B18"/>
    </sheetView>
  </sheetViews>
  <sheetFormatPr baseColWidth="10" defaultRowHeight="12.75"/>
  <cols>
    <col min="1" max="1" width="6.28515625" customWidth="1"/>
    <col min="2" max="3" width="5.42578125" customWidth="1"/>
    <col min="4" max="4" width="5" customWidth="1"/>
    <col min="5" max="5" width="5.85546875" customWidth="1"/>
    <col min="6" max="6" width="5.7109375" customWidth="1"/>
    <col min="7" max="7" width="5.42578125" customWidth="1"/>
    <col min="8" max="8" width="5.85546875" customWidth="1"/>
    <col min="9" max="9" width="5.7109375" customWidth="1"/>
    <col min="10" max="10" width="4.140625" customWidth="1"/>
    <col min="11" max="11" width="5.85546875" customWidth="1"/>
    <col min="12" max="12" width="4" customWidth="1"/>
    <col min="13" max="13" width="5.85546875" customWidth="1"/>
    <col min="14" max="14" width="3.85546875" customWidth="1"/>
    <col min="15" max="15" width="5.85546875" customWidth="1"/>
    <col min="16" max="16" width="4.140625" customWidth="1"/>
    <col min="17" max="17" width="5.85546875" customWidth="1"/>
    <col min="18" max="18" width="5" customWidth="1"/>
    <col min="19" max="19" width="4.7109375" customWidth="1"/>
    <col min="20" max="20" width="4" customWidth="1"/>
    <col min="21" max="21" width="5.85546875" customWidth="1"/>
    <col min="22" max="22" width="4" customWidth="1"/>
    <col min="23" max="23" width="5.85546875" customWidth="1"/>
    <col min="24" max="24" width="3.85546875" customWidth="1"/>
    <col min="25" max="25" width="5.85546875" customWidth="1"/>
    <col min="26" max="26" width="4.42578125" customWidth="1"/>
    <col min="27" max="27" width="5.85546875" customWidth="1"/>
    <col min="28" max="28" width="4.42578125" customWidth="1"/>
    <col min="29" max="29" width="5.85546875" customWidth="1"/>
    <col min="30" max="30" width="4.5703125" customWidth="1"/>
    <col min="31" max="31" width="5.85546875" customWidth="1"/>
  </cols>
  <sheetData>
    <row r="1" spans="1:31">
      <c r="A1" s="148" t="s">
        <v>690</v>
      </c>
      <c r="B1" s="148"/>
      <c r="C1" s="148"/>
      <c r="D1" s="148"/>
      <c r="E1" s="148"/>
      <c r="F1" s="148"/>
      <c r="G1" s="148"/>
      <c r="H1" s="148"/>
      <c r="I1" s="148"/>
      <c r="J1" s="148"/>
      <c r="K1" s="148"/>
      <c r="L1" s="148"/>
      <c r="M1" s="116"/>
      <c r="N1" s="116"/>
      <c r="O1" s="116"/>
      <c r="P1" s="116"/>
      <c r="Q1" s="116"/>
      <c r="R1" s="116"/>
      <c r="S1" s="116"/>
      <c r="T1" s="116"/>
      <c r="U1" s="116"/>
      <c r="V1" s="116"/>
      <c r="W1" s="116"/>
      <c r="X1" s="116"/>
      <c r="Y1" s="116"/>
      <c r="Z1" s="116"/>
      <c r="AA1" s="116"/>
      <c r="AB1" s="116"/>
      <c r="AC1" s="116"/>
      <c r="AD1" s="116"/>
      <c r="AE1" s="116"/>
    </row>
    <row r="2" spans="1:31">
      <c r="A2" s="148"/>
      <c r="B2" s="148"/>
      <c r="C2" s="148"/>
      <c r="D2" s="148"/>
      <c r="E2" s="148"/>
      <c r="F2" s="148"/>
      <c r="G2" s="148"/>
      <c r="H2" s="148"/>
      <c r="I2" s="148"/>
      <c r="J2" s="148"/>
      <c r="K2" s="148"/>
      <c r="L2" s="148"/>
      <c r="M2" s="116"/>
      <c r="N2" s="116"/>
      <c r="O2" s="116"/>
      <c r="P2" s="116"/>
      <c r="Q2" s="116"/>
      <c r="R2" s="116"/>
      <c r="S2" s="116"/>
      <c r="T2" s="116"/>
      <c r="U2" s="116"/>
      <c r="V2" s="116"/>
      <c r="W2" s="116"/>
      <c r="X2" s="116"/>
      <c r="Y2" s="116"/>
      <c r="Z2" s="116"/>
      <c r="AA2" s="116"/>
      <c r="AB2" s="116"/>
      <c r="AC2" s="116"/>
      <c r="AD2" s="116"/>
      <c r="AE2" s="116"/>
    </row>
    <row r="3" spans="1:31">
      <c r="A3" s="148" t="str">
        <f>+'21'!A3</f>
        <v>AÑOS   2006  - 2015</v>
      </c>
      <c r="B3" s="148"/>
      <c r="C3" s="148"/>
      <c r="D3" s="148"/>
      <c r="E3" s="148"/>
      <c r="F3" s="148"/>
      <c r="G3" s="148"/>
      <c r="H3" s="148"/>
      <c r="I3" s="148"/>
      <c r="J3" s="148"/>
      <c r="K3" s="148"/>
      <c r="L3" s="148"/>
      <c r="M3" s="116"/>
      <c r="N3" s="116"/>
      <c r="O3" s="116"/>
      <c r="P3" s="116"/>
      <c r="Q3" s="116"/>
      <c r="R3" s="116"/>
      <c r="S3" s="116"/>
      <c r="T3" s="116"/>
      <c r="U3" s="116"/>
      <c r="V3" s="116"/>
      <c r="W3" s="116"/>
      <c r="X3" s="116"/>
      <c r="Y3" s="116"/>
      <c r="Z3" s="116"/>
      <c r="AA3" s="116"/>
      <c r="AB3" s="116"/>
      <c r="AC3" s="116"/>
      <c r="AD3" s="116"/>
      <c r="AE3" s="116"/>
    </row>
    <row r="4" spans="1:31">
      <c r="A4" s="116"/>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row>
    <row r="5" spans="1:31">
      <c r="A5" s="1"/>
      <c r="B5" s="116"/>
      <c r="C5" s="11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row>
    <row r="6" spans="1:31" ht="18.75" customHeight="1">
      <c r="A6" s="88"/>
      <c r="B6" s="276"/>
      <c r="C6" s="277"/>
      <c r="D6" s="276"/>
      <c r="E6" s="277"/>
      <c r="F6" s="276"/>
      <c r="G6" s="277"/>
      <c r="H6" s="243"/>
      <c r="I6" s="86"/>
      <c r="J6" s="121" t="s">
        <v>658</v>
      </c>
      <c r="K6" s="121"/>
      <c r="L6" s="121"/>
      <c r="M6" s="121"/>
      <c r="N6" s="121"/>
      <c r="O6" s="121"/>
      <c r="P6" s="121"/>
      <c r="Q6" s="121"/>
      <c r="R6" s="121"/>
      <c r="S6" s="121"/>
      <c r="T6" s="121"/>
      <c r="U6" s="121"/>
      <c r="V6" s="121"/>
      <c r="W6" s="121"/>
      <c r="X6" s="121"/>
      <c r="Y6" s="121"/>
      <c r="Z6" s="121"/>
      <c r="AA6" s="121"/>
      <c r="AB6" s="121"/>
      <c r="AC6" s="121"/>
      <c r="AD6" s="86"/>
      <c r="AE6" s="87"/>
    </row>
    <row r="7" spans="1:31">
      <c r="A7" s="249"/>
      <c r="B7" s="203"/>
      <c r="C7" s="250"/>
      <c r="D7" s="203"/>
      <c r="E7" s="252"/>
      <c r="F7" s="216" t="s">
        <v>666</v>
      </c>
      <c r="G7" s="278"/>
      <c r="H7" s="186" t="s">
        <v>667</v>
      </c>
      <c r="I7" s="246"/>
      <c r="J7" s="247"/>
      <c r="K7" s="248"/>
      <c r="L7" s="247"/>
      <c r="M7" s="248"/>
      <c r="N7" s="247"/>
      <c r="O7" s="248"/>
      <c r="P7" s="247"/>
      <c r="Q7" s="248"/>
      <c r="R7" s="186" t="s">
        <v>667</v>
      </c>
      <c r="S7" s="246"/>
      <c r="T7" s="247"/>
      <c r="U7" s="248"/>
      <c r="V7" s="247"/>
      <c r="W7" s="248"/>
      <c r="X7" s="247"/>
      <c r="Y7" s="248"/>
      <c r="Z7" s="220"/>
      <c r="AA7" s="248"/>
      <c r="AB7" s="247"/>
      <c r="AC7" s="248"/>
      <c r="AD7" s="247"/>
      <c r="AE7" s="248"/>
    </row>
    <row r="8" spans="1:31" ht="17.25" customHeight="1">
      <c r="A8" s="249" t="s">
        <v>659</v>
      </c>
      <c r="B8" s="203" t="s">
        <v>664</v>
      </c>
      <c r="C8" s="203"/>
      <c r="D8" s="203" t="s">
        <v>665</v>
      </c>
      <c r="E8" s="250"/>
      <c r="F8" s="203" t="s">
        <v>668</v>
      </c>
      <c r="G8" s="250"/>
      <c r="H8" s="203" t="s">
        <v>649</v>
      </c>
      <c r="I8" s="250"/>
      <c r="J8" s="203" t="s">
        <v>649</v>
      </c>
      <c r="K8" s="250"/>
      <c r="L8" s="251" t="s">
        <v>444</v>
      </c>
      <c r="M8" s="252"/>
      <c r="N8" s="203" t="s">
        <v>670</v>
      </c>
      <c r="O8" s="250"/>
      <c r="P8" s="203" t="s">
        <v>447</v>
      </c>
      <c r="Q8" s="250"/>
      <c r="R8" s="203" t="s">
        <v>671</v>
      </c>
      <c r="S8" s="250"/>
      <c r="T8" s="203" t="s">
        <v>671</v>
      </c>
      <c r="U8" s="250"/>
      <c r="V8" s="203" t="s">
        <v>411</v>
      </c>
      <c r="W8" s="250"/>
      <c r="X8" s="203" t="s">
        <v>429</v>
      </c>
      <c r="Y8" s="250"/>
      <c r="Z8" s="203" t="s">
        <v>434</v>
      </c>
      <c r="AA8" s="250"/>
      <c r="AB8" s="203" t="s">
        <v>672</v>
      </c>
      <c r="AC8" s="250"/>
      <c r="AD8" s="203" t="s">
        <v>436</v>
      </c>
      <c r="AE8" s="250"/>
    </row>
    <row r="9" spans="1:31" ht="20.25" customHeight="1">
      <c r="A9" s="253"/>
      <c r="B9" s="254" t="s">
        <v>681</v>
      </c>
      <c r="C9" s="256" t="s">
        <v>682</v>
      </c>
      <c r="D9" s="254" t="s">
        <v>681</v>
      </c>
      <c r="E9" s="256" t="s">
        <v>682</v>
      </c>
      <c r="F9" s="254" t="s">
        <v>681</v>
      </c>
      <c r="G9" s="256" t="s">
        <v>682</v>
      </c>
      <c r="H9" s="254" t="s">
        <v>681</v>
      </c>
      <c r="I9" s="255" t="s">
        <v>682</v>
      </c>
      <c r="J9" s="254" t="s">
        <v>681</v>
      </c>
      <c r="K9" s="255" t="s">
        <v>682</v>
      </c>
      <c r="L9" s="254" t="s">
        <v>681</v>
      </c>
      <c r="M9" s="256" t="s">
        <v>682</v>
      </c>
      <c r="N9" s="254" t="s">
        <v>681</v>
      </c>
      <c r="O9" s="256" t="s">
        <v>682</v>
      </c>
      <c r="P9" s="254" t="s">
        <v>681</v>
      </c>
      <c r="Q9" s="256" t="s">
        <v>682</v>
      </c>
      <c r="R9" s="254" t="s">
        <v>681</v>
      </c>
      <c r="S9" s="255" t="s">
        <v>682</v>
      </c>
      <c r="T9" s="254" t="s">
        <v>681</v>
      </c>
      <c r="U9" s="256" t="s">
        <v>682</v>
      </c>
      <c r="V9" s="254" t="s">
        <v>681</v>
      </c>
      <c r="W9" s="256" t="s">
        <v>682</v>
      </c>
      <c r="X9" s="254" t="s">
        <v>681</v>
      </c>
      <c r="Y9" s="256" t="s">
        <v>682</v>
      </c>
      <c r="Z9" s="254" t="s">
        <v>681</v>
      </c>
      <c r="AA9" s="256" t="s">
        <v>682</v>
      </c>
      <c r="AB9" s="254" t="s">
        <v>681</v>
      </c>
      <c r="AC9" s="256" t="s">
        <v>682</v>
      </c>
      <c r="AD9" s="254" t="s">
        <v>681</v>
      </c>
      <c r="AE9" s="256" t="s">
        <v>682</v>
      </c>
    </row>
    <row r="10" spans="1:31">
      <c r="A10" s="185"/>
      <c r="B10" s="186"/>
      <c r="C10" s="246"/>
      <c r="D10" s="186"/>
      <c r="E10" s="246"/>
      <c r="F10" s="186"/>
      <c r="G10" s="246"/>
      <c r="H10" s="257"/>
      <c r="I10" s="257"/>
      <c r="J10" s="186"/>
      <c r="K10" s="246"/>
      <c r="L10" s="186"/>
      <c r="M10" s="246"/>
      <c r="N10" s="186"/>
      <c r="O10" s="246"/>
      <c r="P10" s="186"/>
      <c r="Q10" s="246"/>
      <c r="R10" s="257"/>
      <c r="S10" s="257"/>
      <c r="T10" s="186"/>
      <c r="U10" s="246"/>
      <c r="V10" s="186"/>
      <c r="W10" s="246"/>
      <c r="X10" s="186"/>
      <c r="Y10" s="246"/>
      <c r="Z10" s="186"/>
      <c r="AA10" s="246"/>
      <c r="AB10" s="186"/>
      <c r="AC10" s="246"/>
      <c r="AD10" s="257"/>
      <c r="AE10" s="246"/>
    </row>
    <row r="11" spans="1:31" s="6" customFormat="1" ht="26.25" customHeight="1">
      <c r="A11" s="258">
        <f>+'21'!A11</f>
        <v>2006</v>
      </c>
      <c r="B11" s="262">
        <v>1249</v>
      </c>
      <c r="C11" s="271">
        <f>+B11/'18'!B11*1000</f>
        <v>5.1280787975086319</v>
      </c>
      <c r="D11" s="260">
        <v>117</v>
      </c>
      <c r="E11" s="271">
        <f>+D11/'18'!D11*1000</f>
        <v>5.1286547144172179</v>
      </c>
      <c r="F11" s="206">
        <f t="shared" ref="F11:F15" si="0">+J11+L11+N11+P11+T11+V11+X11+Z11+AB11+AD11</f>
        <v>19</v>
      </c>
      <c r="G11" s="270">
        <f>+F11/'18'!F11*1000</f>
        <v>5.3702656868287173</v>
      </c>
      <c r="H11" s="279">
        <f t="shared" ref="H11:H15" si="1">+J11+L11+N11+P11</f>
        <v>7</v>
      </c>
      <c r="I11" s="273">
        <f>+H11/'18'!H11*1000</f>
        <v>4.9610205527994333</v>
      </c>
      <c r="J11" s="206">
        <v>6</v>
      </c>
      <c r="K11" s="270">
        <f>+J11/'18'!J11*1000</f>
        <v>6.4446831364124604</v>
      </c>
      <c r="L11" s="206">
        <v>0</v>
      </c>
      <c r="M11" s="259">
        <f>+L11/'18'!L11*1000</f>
        <v>0</v>
      </c>
      <c r="N11" s="206">
        <v>1</v>
      </c>
      <c r="O11" s="270">
        <f>+N11/'18'!N11*1000</f>
        <v>6.6225165562913908</v>
      </c>
      <c r="P11" s="206">
        <v>0</v>
      </c>
      <c r="Q11" s="259">
        <f>+P11/'18'!P11*1000</f>
        <v>0</v>
      </c>
      <c r="R11" s="207">
        <f t="shared" ref="R11:R15" si="2">+T11+V11+X11+Z11+AB11+AD11</f>
        <v>12</v>
      </c>
      <c r="S11" s="273">
        <f>+R11/'18'!R11*1000</f>
        <v>5.6417489421720735</v>
      </c>
      <c r="T11" s="206">
        <v>4</v>
      </c>
      <c r="U11" s="270">
        <f>+T11/'18'!T11*1000</f>
        <v>3.5650623885918002</v>
      </c>
      <c r="V11" s="206">
        <v>4</v>
      </c>
      <c r="W11" s="270">
        <f>+V11/'18'!V11*1000</f>
        <v>21.164021164021165</v>
      </c>
      <c r="X11" s="206">
        <v>0</v>
      </c>
      <c r="Y11" s="270">
        <f>+X11/'18'!X11*1000</f>
        <v>0</v>
      </c>
      <c r="Z11" s="206">
        <v>0</v>
      </c>
      <c r="AA11" s="270">
        <f>+Z11/'18'!Z11*1000</f>
        <v>0</v>
      </c>
      <c r="AB11" s="206">
        <v>3</v>
      </c>
      <c r="AC11" s="259">
        <f>+AB11/'18'!AB11*1000</f>
        <v>8.9285714285714288</v>
      </c>
      <c r="AD11" s="206">
        <v>1</v>
      </c>
      <c r="AE11" s="259">
        <f>+AD11/'18'!AD11*1000</f>
        <v>5.1546391752577323</v>
      </c>
    </row>
    <row r="12" spans="1:31" s="6" customFormat="1" ht="26.25" customHeight="1">
      <c r="A12" s="258">
        <f>+'21'!A12</f>
        <v>2007</v>
      </c>
      <c r="B12" s="262">
        <v>1356</v>
      </c>
      <c r="C12" s="271">
        <f>+B12/'18'!B12*1000</f>
        <v>5.602055739628347</v>
      </c>
      <c r="D12" s="260">
        <v>143</v>
      </c>
      <c r="E12" s="271">
        <f>+D12/'18'!D12*1000</f>
        <v>6.2686305453270217</v>
      </c>
      <c r="F12" s="206">
        <f t="shared" si="0"/>
        <v>30</v>
      </c>
      <c r="G12" s="270">
        <f>+F12/'18'!F12*1000</f>
        <v>8.310249307479225</v>
      </c>
      <c r="H12" s="279">
        <f t="shared" si="1"/>
        <v>7</v>
      </c>
      <c r="I12" s="273">
        <f>+H12/'18'!H12*1000</f>
        <v>4.8543689320388346</v>
      </c>
      <c r="J12" s="206">
        <v>4</v>
      </c>
      <c r="K12" s="270">
        <f>+J12/'18'!J12*1000</f>
        <v>4.0733197556008145</v>
      </c>
      <c r="L12" s="206">
        <v>2</v>
      </c>
      <c r="M12" s="259">
        <f>+L12/'18'!L12*1000</f>
        <v>9.5238095238095255</v>
      </c>
      <c r="N12" s="206">
        <v>1</v>
      </c>
      <c r="O12" s="270">
        <f>+N12/'18'!N12*1000</f>
        <v>6.666666666666667</v>
      </c>
      <c r="P12" s="206">
        <v>0</v>
      </c>
      <c r="Q12" s="259">
        <f>+P12/'18'!P12*1000</f>
        <v>0</v>
      </c>
      <c r="R12" s="207">
        <f t="shared" si="2"/>
        <v>23</v>
      </c>
      <c r="S12" s="273">
        <f>+R12/'18'!R12*1000</f>
        <v>10.608856088560886</v>
      </c>
      <c r="T12" s="206">
        <v>13</v>
      </c>
      <c r="U12" s="270">
        <f>+T12/'18'!T12*1000</f>
        <v>10.76158940397351</v>
      </c>
      <c r="V12" s="206">
        <v>3</v>
      </c>
      <c r="W12" s="270">
        <f>+V12/'18'!V12*1000</f>
        <v>15.789473684210527</v>
      </c>
      <c r="X12" s="206">
        <v>1</v>
      </c>
      <c r="Y12" s="270">
        <f>+X12/'18'!X12*1000</f>
        <v>4.9751243781094523</v>
      </c>
      <c r="Z12" s="206">
        <v>0</v>
      </c>
      <c r="AA12" s="270">
        <f>+Z12/'18'!Z12*1000</f>
        <v>0</v>
      </c>
      <c r="AB12" s="206">
        <v>4</v>
      </c>
      <c r="AC12" s="259">
        <f>+AB12/'18'!AB12*1000</f>
        <v>13.029315960912053</v>
      </c>
      <c r="AD12" s="206">
        <v>2</v>
      </c>
      <c r="AE12" s="259">
        <f>+AD12/'18'!AD12*1000</f>
        <v>11.494252873563218</v>
      </c>
    </row>
    <row r="13" spans="1:31" s="6" customFormat="1" ht="26.25" customHeight="1">
      <c r="A13" s="258">
        <f>+'21'!A13</f>
        <v>2008</v>
      </c>
      <c r="B13" s="206">
        <v>1369</v>
      </c>
      <c r="C13" s="271">
        <f>+B13/'18'!B13*1000</f>
        <v>5.5120266058961365</v>
      </c>
      <c r="D13" s="260">
        <v>120</v>
      </c>
      <c r="E13" s="271">
        <f>+D13/'18'!D13*1000</f>
        <v>5.1717450329698744</v>
      </c>
      <c r="F13" s="206">
        <f t="shared" si="0"/>
        <v>18</v>
      </c>
      <c r="G13" s="270">
        <f>+F13/'18'!F13*1000</f>
        <v>4.9086446686664855</v>
      </c>
      <c r="H13" s="279">
        <f t="shared" si="1"/>
        <v>12</v>
      </c>
      <c r="I13" s="273">
        <f>+H13/'18'!H13*1000</f>
        <v>8.146639511201629</v>
      </c>
      <c r="J13" s="206">
        <v>7</v>
      </c>
      <c r="K13" s="270">
        <f>+J13/'18'!J13*1000</f>
        <v>7.2538860103626943</v>
      </c>
      <c r="L13" s="206">
        <v>2</v>
      </c>
      <c r="M13" s="259">
        <f>+L13/'18'!L12*1000</f>
        <v>9.5238095238095255</v>
      </c>
      <c r="N13" s="206">
        <v>3</v>
      </c>
      <c r="O13" s="270">
        <f>+N13/'18'!N12*1000</f>
        <v>20</v>
      </c>
      <c r="P13" s="206">
        <v>0</v>
      </c>
      <c r="Q13" s="259">
        <f>+P13/'18'!P12*1000</f>
        <v>0</v>
      </c>
      <c r="R13" s="207">
        <f t="shared" si="2"/>
        <v>6</v>
      </c>
      <c r="S13" s="273">
        <f>+R13/'18'!R12*1000</f>
        <v>2.7675276752767526</v>
      </c>
      <c r="T13" s="206">
        <v>4</v>
      </c>
      <c r="U13" s="270">
        <f>+T13/'18'!T12*1000</f>
        <v>3.3112582781456954</v>
      </c>
      <c r="V13" s="206">
        <v>0</v>
      </c>
      <c r="W13" s="270">
        <f>+V13/'18'!V12*1000</f>
        <v>0</v>
      </c>
      <c r="X13" s="206">
        <v>0</v>
      </c>
      <c r="Y13" s="270">
        <f>+X13/'18'!X12*1000</f>
        <v>0</v>
      </c>
      <c r="Z13" s="206">
        <v>0</v>
      </c>
      <c r="AA13" s="270">
        <f>+Z13/'18'!Z12*1000</f>
        <v>0</v>
      </c>
      <c r="AB13" s="206">
        <v>0</v>
      </c>
      <c r="AC13" s="259">
        <f>+AB13/'18'!AB12*1000</f>
        <v>0</v>
      </c>
      <c r="AD13" s="206">
        <v>2</v>
      </c>
      <c r="AE13" s="259">
        <f>+AD13/'18'!AD12*1000</f>
        <v>11.494252873563218</v>
      </c>
    </row>
    <row r="14" spans="1:31" s="6" customFormat="1" ht="26.25" customHeight="1">
      <c r="A14" s="258">
        <f>+'21'!A14</f>
        <v>2009</v>
      </c>
      <c r="B14" s="206">
        <v>1359</v>
      </c>
      <c r="C14" s="271">
        <f>+B14/'18'!B14*1000</f>
        <v>5.387725975261656</v>
      </c>
      <c r="D14" s="260">
        <v>138</v>
      </c>
      <c r="E14" s="271">
        <f>+D14/'18'!D14*1000</f>
        <v>5.8141984411207082</v>
      </c>
      <c r="F14" s="206">
        <f t="shared" si="0"/>
        <v>23</v>
      </c>
      <c r="G14" s="270">
        <f>+F14/'18'!F14*1000</f>
        <v>6.2128579146407352</v>
      </c>
      <c r="H14" s="279">
        <f t="shared" si="1"/>
        <v>10</v>
      </c>
      <c r="I14" s="273">
        <f>+H14/'18'!H14*1000</f>
        <v>6.5189048239895699</v>
      </c>
      <c r="J14" s="206">
        <v>7</v>
      </c>
      <c r="K14" s="270">
        <f>+J14/'18'!J14*1000</f>
        <v>7.1065989847715736</v>
      </c>
      <c r="L14" s="206">
        <v>0</v>
      </c>
      <c r="M14" s="259">
        <f>+L14/'18'!L14*1000</f>
        <v>0</v>
      </c>
      <c r="N14" s="206">
        <v>2</v>
      </c>
      <c r="O14" s="270">
        <f>+N14/'18'!N14*1000</f>
        <v>12.820512820512819</v>
      </c>
      <c r="P14" s="206">
        <v>1</v>
      </c>
      <c r="Q14" s="259">
        <f>+P14/'18'!P14*1000</f>
        <v>7.518796992481203</v>
      </c>
      <c r="R14" s="207">
        <f t="shared" si="2"/>
        <v>13</v>
      </c>
      <c r="S14" s="273">
        <f>+R14/'18'!R14*1000</f>
        <v>5.9963099630996313</v>
      </c>
      <c r="T14" s="206">
        <v>8</v>
      </c>
      <c r="U14" s="270">
        <f>+T14/'18'!T14*1000</f>
        <v>6.8434559452523525</v>
      </c>
      <c r="V14" s="206">
        <v>1</v>
      </c>
      <c r="W14" s="270">
        <f>+V14/'18'!V14*1000</f>
        <v>4.9261083743842367</v>
      </c>
      <c r="X14" s="206">
        <v>1</v>
      </c>
      <c r="Y14" s="270">
        <f>+X14/'18'!X14*1000</f>
        <v>5.8823529411764701</v>
      </c>
      <c r="Z14" s="206">
        <v>1</v>
      </c>
      <c r="AA14" s="270">
        <f>+Z14/'18'!Z14*1000</f>
        <v>9.9009900990099009</v>
      </c>
      <c r="AB14" s="206">
        <v>0</v>
      </c>
      <c r="AC14" s="259">
        <f>+AB14/'18'!AB14*1000</f>
        <v>0</v>
      </c>
      <c r="AD14" s="206">
        <v>2</v>
      </c>
      <c r="AE14" s="259">
        <f>+AD14/'18'!AD14*1000</f>
        <v>11.049723756906078</v>
      </c>
    </row>
    <row r="15" spans="1:31" s="6" customFormat="1" ht="26.25" customHeight="1">
      <c r="A15" s="258">
        <f>+'21'!A15</f>
        <v>2010</v>
      </c>
      <c r="B15" s="206">
        <v>1283</v>
      </c>
      <c r="C15" s="271">
        <f>+B15/'18'!B15*1000</f>
        <v>5.1075044088551307</v>
      </c>
      <c r="D15" s="260">
        <v>120</v>
      </c>
      <c r="E15" s="271">
        <f>+D15/'18'!D15*1000</f>
        <v>5.0377833753148611</v>
      </c>
      <c r="F15" s="206">
        <f t="shared" si="0"/>
        <v>29</v>
      </c>
      <c r="G15" s="270">
        <f>+F15/'18'!F15*1000</f>
        <v>7.3866530820173208</v>
      </c>
      <c r="H15" s="279">
        <f t="shared" si="1"/>
        <v>12</v>
      </c>
      <c r="I15" s="273">
        <f>+H15/'18'!H15*1000</f>
        <v>7.2245635159542445</v>
      </c>
      <c r="J15" s="206">
        <v>7</v>
      </c>
      <c r="K15" s="270">
        <f>+J15/'18'!J15*1000</f>
        <v>6.5851364063969902</v>
      </c>
      <c r="L15" s="206">
        <v>1</v>
      </c>
      <c r="M15" s="259">
        <f>+L15/'18'!L15*1000</f>
        <v>4.0160642570281118</v>
      </c>
      <c r="N15" s="206">
        <v>3</v>
      </c>
      <c r="O15" s="270">
        <f>+N15/'18'!N15*1000</f>
        <v>16.129032258064516</v>
      </c>
      <c r="P15" s="206">
        <v>1</v>
      </c>
      <c r="Q15" s="259">
        <f>+P15/'18'!P15*1000</f>
        <v>6.1349693251533743</v>
      </c>
      <c r="R15" s="207">
        <f t="shared" si="2"/>
        <v>17</v>
      </c>
      <c r="S15" s="273">
        <f>+R15/'18'!R15*1000</f>
        <v>7.5055187637969096</v>
      </c>
      <c r="T15" s="206">
        <v>8</v>
      </c>
      <c r="U15" s="270">
        <f>+T15/'18'!T15*1000</f>
        <v>6.5735414954806899</v>
      </c>
      <c r="V15" s="206">
        <v>1</v>
      </c>
      <c r="W15" s="270">
        <f>+V15/'18'!V15*1000</f>
        <v>5.2631578947368416</v>
      </c>
      <c r="X15" s="206">
        <v>2</v>
      </c>
      <c r="Y15" s="270">
        <f>+X15/'18'!X15*1000</f>
        <v>10.362694300518134</v>
      </c>
      <c r="Z15" s="206">
        <v>1</v>
      </c>
      <c r="AA15" s="270">
        <f>+Z15/'18'!Z15*1000</f>
        <v>9.5238095238095255</v>
      </c>
      <c r="AB15" s="206">
        <v>3</v>
      </c>
      <c r="AC15" s="259">
        <f>+AB15/'18'!AB15*1000</f>
        <v>9.0909090909090899</v>
      </c>
      <c r="AD15" s="206">
        <v>2</v>
      </c>
      <c r="AE15" s="259">
        <f>+AD15/'18'!AD15*1000</f>
        <v>8.695652173913043</v>
      </c>
    </row>
    <row r="16" spans="1:31" s="6" customFormat="1" ht="26.25" customHeight="1">
      <c r="A16" s="258">
        <f>+'21'!A16</f>
        <v>2011</v>
      </c>
      <c r="B16" s="206">
        <v>1346</v>
      </c>
      <c r="C16" s="271">
        <f>+B16/'18'!B16*1000</f>
        <v>5.4082505956709888</v>
      </c>
      <c r="D16" s="260">
        <v>108</v>
      </c>
      <c r="E16" s="271">
        <f>+D16/'18'!D16*1000</f>
        <v>4.5581159787287922</v>
      </c>
      <c r="F16" s="206">
        <f>+J16+L16+N16+P16+T16+V16+X16+Z16+AB16+AD16</f>
        <v>23</v>
      </c>
      <c r="G16" s="270">
        <f>+F16/'18'!F16*1000</f>
        <v>6.2195781503515413</v>
      </c>
      <c r="H16" s="279">
        <f>+J16+L16+N16+P16</f>
        <v>10</v>
      </c>
      <c r="I16" s="273">
        <f>+H16/'18'!H16*1000</f>
        <v>6.6181336863004638</v>
      </c>
      <c r="J16" s="206">
        <v>6</v>
      </c>
      <c r="K16" s="270">
        <f>+J16/'18'!J16*1000</f>
        <v>6.1919504643962853</v>
      </c>
      <c r="L16" s="206">
        <v>3</v>
      </c>
      <c r="M16" s="259">
        <f>+L16/'18'!L16*1000</f>
        <v>12.931034482758621</v>
      </c>
      <c r="N16" s="206">
        <v>0</v>
      </c>
      <c r="O16" s="270">
        <f>+N16/'18'!N16*1000</f>
        <v>0</v>
      </c>
      <c r="P16" s="206">
        <v>1</v>
      </c>
      <c r="Q16" s="259">
        <f>+P16/'18'!P16*1000</f>
        <v>6.9930069930069934</v>
      </c>
      <c r="R16" s="207">
        <f>+T16+V16+X16+Z16+AB16+AD16</f>
        <v>13</v>
      </c>
      <c r="S16" s="273">
        <f>+R16/'18'!R16*1000</f>
        <v>5.9442158207590303</v>
      </c>
      <c r="T16" s="206">
        <v>7</v>
      </c>
      <c r="U16" s="270">
        <f>+T16/'18'!T16*1000</f>
        <v>6.25</v>
      </c>
      <c r="V16" s="206">
        <v>2</v>
      </c>
      <c r="W16" s="270">
        <f>+V16/'18'!V16*1000</f>
        <v>9.3896713615023479</v>
      </c>
      <c r="X16" s="206">
        <v>1</v>
      </c>
      <c r="Y16" s="270">
        <f>+X16/'18'!X16*1000</f>
        <v>3.9682539682539679</v>
      </c>
      <c r="Z16" s="206">
        <v>0</v>
      </c>
      <c r="AA16" s="270">
        <f>+Z16/'18'!Z16*1000</f>
        <v>0</v>
      </c>
      <c r="AB16" s="206">
        <v>3</v>
      </c>
      <c r="AC16" s="259">
        <f>+AB16/'18'!AB16*1000</f>
        <v>9.2592592592592595</v>
      </c>
      <c r="AD16" s="206">
        <v>0</v>
      </c>
      <c r="AE16" s="259">
        <f>+AD16/'18'!AD16*1000</f>
        <v>0</v>
      </c>
    </row>
    <row r="17" spans="1:31" s="6" customFormat="1" ht="26.25" customHeight="1">
      <c r="A17" s="258">
        <f>+'21'!A17</f>
        <v>2012</v>
      </c>
      <c r="B17" s="206">
        <v>1307</v>
      </c>
      <c r="C17" s="271">
        <f>+B17/'18'!B17*1000</f>
        <v>5.3596765330643246</v>
      </c>
      <c r="D17" s="260">
        <v>126</v>
      </c>
      <c r="E17" s="271">
        <f>+D17/'18'!D17*1000</f>
        <v>5.3346881747745458</v>
      </c>
      <c r="F17" s="206">
        <f>+J17+L17+N17+P17+T17+V17+X17+Z17+AB17+AD17</f>
        <v>28</v>
      </c>
      <c r="G17" s="270">
        <f>+F17/'18'!F17*1000</f>
        <v>7.349081364829396</v>
      </c>
      <c r="H17" s="279">
        <f>+J17+L17+N17+P17</f>
        <v>12</v>
      </c>
      <c r="I17" s="273">
        <f>+H17/'18'!H17*1000</f>
        <v>7.782101167315175</v>
      </c>
      <c r="J17" s="206">
        <v>9</v>
      </c>
      <c r="K17" s="270">
        <f>+J17/'18'!J17*1000</f>
        <v>9.4043887147335425</v>
      </c>
      <c r="L17" s="206">
        <v>0</v>
      </c>
      <c r="M17" s="259">
        <f>+L17/'18'!L17*1000</f>
        <v>0</v>
      </c>
      <c r="N17" s="206">
        <v>3</v>
      </c>
      <c r="O17" s="270">
        <f>+N17/'18'!N17*1000</f>
        <v>15.625</v>
      </c>
      <c r="P17" s="206">
        <v>0</v>
      </c>
      <c r="Q17" s="259">
        <f>+P17/'18'!P17*1000</f>
        <v>0</v>
      </c>
      <c r="R17" s="207">
        <f>+T17+V17+X17+Z17+AB17+AD17</f>
        <v>16</v>
      </c>
      <c r="S17" s="273">
        <f>+R17/'18'!R17*1000</f>
        <v>7.0546737213403876</v>
      </c>
      <c r="T17" s="206">
        <v>12</v>
      </c>
      <c r="U17" s="270">
        <f>+T17/'18'!T17*1000</f>
        <v>9.9585062240663902</v>
      </c>
      <c r="V17" s="206">
        <v>1</v>
      </c>
      <c r="W17" s="270">
        <f>+V17/'18'!V17*1000</f>
        <v>4.9504950495049505</v>
      </c>
      <c r="X17" s="206">
        <v>2</v>
      </c>
      <c r="Y17" s="270">
        <f>+X17/'18'!X17*1000</f>
        <v>10.101010101010102</v>
      </c>
      <c r="Z17" s="206">
        <v>0</v>
      </c>
      <c r="AA17" s="270">
        <f>+Z17/'18'!Z17*1000</f>
        <v>0</v>
      </c>
      <c r="AB17" s="206">
        <v>1</v>
      </c>
      <c r="AC17" s="259">
        <f>+AB17/'18'!AB17*1000</f>
        <v>2.6109660574412534</v>
      </c>
      <c r="AD17" s="206">
        <v>0</v>
      </c>
      <c r="AE17" s="259">
        <f>+AD17/'18'!AD17*1000</f>
        <v>0</v>
      </c>
    </row>
    <row r="18" spans="1:31" s="6" customFormat="1" ht="26.25" customHeight="1">
      <c r="A18" s="258">
        <f>+'21'!A18</f>
        <v>2013</v>
      </c>
      <c r="B18" s="206">
        <v>1253</v>
      </c>
      <c r="C18" s="271">
        <f>+B18/'18'!B18*1000</f>
        <v>5.1775789756409987</v>
      </c>
      <c r="D18" s="260">
        <v>116</v>
      </c>
      <c r="E18" s="271">
        <f>+D18/'18'!D18*1000</f>
        <v>5.0157824188178317</v>
      </c>
      <c r="F18" s="206">
        <f>+J18+L18+N18+P18+T18+V18+X18+Z18+AB18+AD18</f>
        <v>17</v>
      </c>
      <c r="G18" s="270">
        <f>+F18/'18'!F18*1000</f>
        <v>4.5735808447672852</v>
      </c>
      <c r="H18" s="279">
        <f>+J18+L18+N18+P18</f>
        <v>6</v>
      </c>
      <c r="I18" s="273">
        <f>+H18/'18'!H18*1000</f>
        <v>3.9164490861618795</v>
      </c>
      <c r="J18" s="206">
        <v>4</v>
      </c>
      <c r="K18" s="270">
        <f>+J18/'18'!J18*1000</f>
        <v>4.2060988433228177</v>
      </c>
      <c r="L18" s="206">
        <v>1</v>
      </c>
      <c r="M18" s="259">
        <f>+L18/'18'!L18*1000</f>
        <v>3.7037037037037037</v>
      </c>
      <c r="N18" s="206">
        <v>0</v>
      </c>
      <c r="O18" s="270">
        <f>+N18/'18'!N18*1000</f>
        <v>0</v>
      </c>
      <c r="P18" s="206">
        <v>1</v>
      </c>
      <c r="Q18" s="259">
        <f>+P18/'18'!P18*1000</f>
        <v>6.9444444444444438</v>
      </c>
      <c r="R18" s="207">
        <f>+T18+V18+X18+Z18+AB18+AD18</f>
        <v>11</v>
      </c>
      <c r="S18" s="273">
        <f>+R18/'18'!R18*1000</f>
        <v>5.0343249427917618</v>
      </c>
      <c r="T18" s="206">
        <v>7</v>
      </c>
      <c r="U18" s="270">
        <f>+T18/'18'!T18*1000</f>
        <v>6.3176895306859198</v>
      </c>
      <c r="V18" s="206">
        <v>2</v>
      </c>
      <c r="W18" s="270">
        <f>+V18/'18'!V18*1000</f>
        <v>9.6153846153846168</v>
      </c>
      <c r="X18" s="206">
        <v>0</v>
      </c>
      <c r="Y18" s="270">
        <f>+X18/'18'!X18*1000</f>
        <v>0</v>
      </c>
      <c r="Z18" s="206">
        <v>1</v>
      </c>
      <c r="AA18" s="270">
        <f>+Z18/'18'!Z18*1000</f>
        <v>11.363636363636363</v>
      </c>
      <c r="AB18" s="206">
        <v>1</v>
      </c>
      <c r="AC18" s="259">
        <f>+AB18/'18'!AB18*1000</f>
        <v>2.6666666666666665</v>
      </c>
      <c r="AD18" s="206">
        <v>0</v>
      </c>
      <c r="AE18" s="259">
        <f>+AD18/'18'!AD18*1000</f>
        <v>0</v>
      </c>
    </row>
    <row r="19" spans="1:31" s="6" customFormat="1" ht="26.25" customHeight="1">
      <c r="A19" s="258">
        <f>+'21'!A19</f>
        <v>2014</v>
      </c>
      <c r="B19" s="262"/>
      <c r="C19" s="271"/>
      <c r="D19" s="260"/>
      <c r="E19" s="271"/>
      <c r="F19" s="206">
        <f>+J19+L19+N19+P19+T19+V19+X19+Z19+AB19+AD19</f>
        <v>20</v>
      </c>
      <c r="G19" s="270">
        <f>+F19/'18'!F19*1000</f>
        <v>5.329070077271516</v>
      </c>
      <c r="H19" s="279">
        <f>+J19+L19+N19+P19</f>
        <v>5</v>
      </c>
      <c r="I19" s="273">
        <f>+H19/'18'!H19*1000</f>
        <v>3.2030749519538757</v>
      </c>
      <c r="J19" s="206">
        <v>1</v>
      </c>
      <c r="K19" s="270">
        <f>+J19/'18'!J19*1000</f>
        <v>0.9765625</v>
      </c>
      <c r="L19" s="206">
        <v>2</v>
      </c>
      <c r="M19" s="259">
        <f>+L19/'18'!L19*1000</f>
        <v>7.8740157480314963</v>
      </c>
      <c r="N19" s="206">
        <v>0</v>
      </c>
      <c r="O19" s="270">
        <f>+N19/'18'!N19*1000</f>
        <v>0</v>
      </c>
      <c r="P19" s="206">
        <v>2</v>
      </c>
      <c r="Q19" s="259">
        <f>+P19/'18'!P19*1000</f>
        <v>15.151515151515152</v>
      </c>
      <c r="R19" s="207">
        <f>+T19+V19+X19+Z19+AB19+AD19</f>
        <v>15</v>
      </c>
      <c r="S19" s="273">
        <f>+R19/'18'!R19*1000</f>
        <v>6.8430656934306571</v>
      </c>
      <c r="T19" s="206">
        <v>10</v>
      </c>
      <c r="U19" s="270">
        <f>+T19/'18'!T19*1000</f>
        <v>9.0826521344232525</v>
      </c>
      <c r="V19" s="206">
        <v>2</v>
      </c>
      <c r="W19" s="270">
        <f>+V19/'18'!V19*1000</f>
        <v>10.309278350515465</v>
      </c>
      <c r="X19" s="206">
        <v>0</v>
      </c>
      <c r="Y19" s="270">
        <f>+X19/'18'!X19*1000</f>
        <v>0</v>
      </c>
      <c r="Z19" s="206">
        <v>1</v>
      </c>
      <c r="AA19" s="270">
        <f>+Z19/'18'!Z19*1000</f>
        <v>8.695652173913043</v>
      </c>
      <c r="AB19" s="206">
        <v>2</v>
      </c>
      <c r="AC19" s="259">
        <f>+AB19/'18'!AB19*1000</f>
        <v>5.1020408163265305</v>
      </c>
      <c r="AD19" s="206">
        <v>0</v>
      </c>
      <c r="AE19" s="259">
        <f>+AD19/'18'!AD19*1000</f>
        <v>0</v>
      </c>
    </row>
    <row r="20" spans="1:31" s="6" customFormat="1" ht="26.25" customHeight="1">
      <c r="A20" s="258">
        <f>+'21'!A20</f>
        <v>2015</v>
      </c>
      <c r="B20" s="262"/>
      <c r="C20" s="271"/>
      <c r="D20" s="260"/>
      <c r="E20" s="271"/>
      <c r="F20" s="206">
        <f>+J20+L20+N20+P20+T20+V20+X20+Z20+AB20+AD20</f>
        <v>21</v>
      </c>
      <c r="G20" s="270">
        <f>+F20/'18'!F20*1000</f>
        <v>5.8123443122059228</v>
      </c>
      <c r="H20" s="279">
        <f>+J20+L20+N20+P20</f>
        <v>6</v>
      </c>
      <c r="I20" s="273">
        <f>+H20/'18'!H20*1000</f>
        <v>4.10958904109589</v>
      </c>
      <c r="J20" s="206">
        <v>3</v>
      </c>
      <c r="K20" s="270">
        <f>+J20/'18'!J20*1000</f>
        <v>3.2467532467532472</v>
      </c>
      <c r="L20" s="206">
        <v>3</v>
      </c>
      <c r="M20" s="259">
        <f>+L20/'18'!L20*1000</f>
        <v>14.492753623188406</v>
      </c>
      <c r="N20" s="206">
        <v>0</v>
      </c>
      <c r="O20" s="270">
        <f>+N20/'18'!N20*1000</f>
        <v>0</v>
      </c>
      <c r="P20" s="206">
        <v>0</v>
      </c>
      <c r="Q20" s="259">
        <f>+P20/'18'!P20*1000</f>
        <v>0</v>
      </c>
      <c r="R20" s="207">
        <f>+T20+V20+X20+Z20+AB20+AD20</f>
        <v>15</v>
      </c>
      <c r="S20" s="273">
        <f>+R20/'18'!R20*1000</f>
        <v>6.9670227589410123</v>
      </c>
      <c r="T20" s="206">
        <v>9</v>
      </c>
      <c r="U20" s="270">
        <f>+T20/'18'!T20*1000</f>
        <v>8.064516129032258</v>
      </c>
      <c r="V20" s="206">
        <v>2</v>
      </c>
      <c r="W20" s="270">
        <f>+V20/'18'!V20*1000</f>
        <v>9.1743119266055047</v>
      </c>
      <c r="X20" s="206">
        <v>2</v>
      </c>
      <c r="Y20" s="270">
        <f>+X20/'18'!X20*1000</f>
        <v>9.7087378640776691</v>
      </c>
      <c r="Z20" s="206">
        <v>0</v>
      </c>
      <c r="AA20" s="270">
        <f>+Z20/'18'!Z20*1000</f>
        <v>0</v>
      </c>
      <c r="AB20" s="206">
        <v>2</v>
      </c>
      <c r="AC20" s="259">
        <f>+AB20/'18'!AB20*1000</f>
        <v>6.0060060060060056</v>
      </c>
      <c r="AD20" s="206">
        <v>0</v>
      </c>
      <c r="AE20" s="259">
        <f>+AD20/'18'!AD20*1000</f>
        <v>0</v>
      </c>
    </row>
    <row r="21" spans="1:31">
      <c r="A21" s="264"/>
      <c r="B21" s="209"/>
      <c r="C21" s="265"/>
      <c r="D21" s="209"/>
      <c r="E21" s="265"/>
      <c r="F21" s="212"/>
      <c r="G21" s="265"/>
      <c r="H21" s="282"/>
      <c r="I21" s="282"/>
      <c r="J21" s="209"/>
      <c r="K21" s="265"/>
      <c r="L21" s="209"/>
      <c r="M21" s="265"/>
      <c r="N21" s="209"/>
      <c r="O21" s="265"/>
      <c r="P21" s="209"/>
      <c r="Q21" s="265"/>
      <c r="R21" s="282"/>
      <c r="S21" s="282"/>
      <c r="T21" s="209"/>
      <c r="U21" s="265"/>
      <c r="V21" s="209"/>
      <c r="W21" s="265"/>
      <c r="X21" s="209"/>
      <c r="Y21" s="265"/>
      <c r="Z21" s="209"/>
      <c r="AA21" s="265"/>
      <c r="AB21" s="209"/>
      <c r="AC21" s="265"/>
      <c r="AD21" s="266"/>
      <c r="AE21" s="265"/>
    </row>
    <row r="22" spans="1:3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c r="A23" s="1"/>
      <c r="B23" s="220" t="str">
        <f>+'18'!B22</f>
        <v>AÑO   2015  :   DATOS POR OCURRENCIA   (Provisorios)</v>
      </c>
      <c r="C23" s="267"/>
      <c r="D23" s="267"/>
      <c r="E23" s="267"/>
      <c r="F23" s="267"/>
      <c r="G23" s="267"/>
      <c r="H23" s="267"/>
      <c r="I23" s="267"/>
      <c r="J23" s="267"/>
      <c r="K23" s="216"/>
      <c r="L23" s="1"/>
      <c r="M23" s="1"/>
      <c r="N23" s="1"/>
      <c r="O23" s="1"/>
      <c r="P23" s="1"/>
      <c r="Q23" s="1"/>
      <c r="R23" s="1"/>
      <c r="S23" s="1"/>
      <c r="T23" s="1"/>
      <c r="U23" s="1"/>
      <c r="V23" s="1"/>
      <c r="W23" s="1"/>
      <c r="X23" s="1"/>
      <c r="Y23" s="1"/>
      <c r="Z23" s="1"/>
      <c r="AA23" s="1"/>
      <c r="AB23" s="1"/>
      <c r="AC23" s="1"/>
      <c r="AD23" s="1"/>
      <c r="AE23" s="1"/>
    </row>
    <row r="24" spans="1:31">
      <c r="A24" s="1"/>
      <c r="B24" s="216"/>
      <c r="C24" s="220" t="s">
        <v>691</v>
      </c>
      <c r="D24" s="220"/>
      <c r="E24" s="216"/>
      <c r="F24" s="216"/>
      <c r="G24" s="216"/>
      <c r="H24" s="216"/>
      <c r="I24" s="216"/>
      <c r="J24" s="216"/>
      <c r="K24" s="216"/>
      <c r="L24" s="1"/>
      <c r="M24" s="1"/>
      <c r="N24" s="1"/>
      <c r="O24" s="1"/>
      <c r="P24" s="1"/>
      <c r="Q24" s="1"/>
      <c r="R24" s="1"/>
      <c r="S24" s="1"/>
      <c r="T24" s="1"/>
      <c r="U24" s="1"/>
      <c r="V24" s="1"/>
      <c r="W24" s="1"/>
      <c r="X24" s="1"/>
      <c r="Y24" s="1"/>
      <c r="Z24" s="1"/>
      <c r="AA24" s="1"/>
      <c r="AB24" s="1"/>
      <c r="AC24" s="1"/>
      <c r="AD24" s="1"/>
      <c r="AE24" s="1"/>
    </row>
    <row r="25" spans="1:31">
      <c r="A25" s="1"/>
      <c r="B25" s="216"/>
      <c r="C25" s="216"/>
      <c r="D25" s="216"/>
      <c r="E25" s="216"/>
      <c r="F25" s="216"/>
      <c r="G25" s="216"/>
      <c r="H25" s="216"/>
      <c r="I25" s="216"/>
      <c r="J25" s="216"/>
      <c r="K25" s="216"/>
      <c r="L25" s="1"/>
      <c r="M25" s="1"/>
      <c r="N25" s="1"/>
      <c r="O25" s="1"/>
      <c r="P25" s="1"/>
      <c r="Q25" s="1"/>
      <c r="R25" s="1"/>
      <c r="S25" s="1"/>
      <c r="T25" s="1"/>
      <c r="U25" s="1"/>
      <c r="V25" s="1"/>
      <c r="W25" s="1"/>
      <c r="X25" s="1"/>
      <c r="Y25" s="1"/>
      <c r="Z25" s="1"/>
      <c r="AA25" s="1"/>
      <c r="AB25" s="1"/>
      <c r="AC25" s="1"/>
      <c r="AD25" s="1"/>
      <c r="AE25" s="1"/>
    </row>
  </sheetData>
  <phoneticPr fontId="19" type="noConversion"/>
  <pageMargins left="0.78740157480314965"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
  <sheetViews>
    <sheetView topLeftCell="A9" workbookViewId="0">
      <selection activeCell="AC18" sqref="AC18"/>
    </sheetView>
  </sheetViews>
  <sheetFormatPr baseColWidth="10" defaultRowHeight="12.75"/>
  <cols>
    <col min="1" max="1" width="6.28515625" customWidth="1"/>
    <col min="2" max="2" width="6" customWidth="1"/>
    <col min="3" max="3" width="5" customWidth="1"/>
    <col min="4" max="4" width="5.42578125" customWidth="1"/>
    <col min="5" max="5" width="5.85546875" customWidth="1"/>
    <col min="6" max="6" width="5.7109375" customWidth="1"/>
    <col min="7" max="9" width="6.5703125" customWidth="1"/>
    <col min="10" max="10" width="4" customWidth="1"/>
    <col min="11" max="11" width="5.85546875" customWidth="1"/>
    <col min="12" max="12" width="4" customWidth="1"/>
    <col min="13" max="13" width="5.85546875" customWidth="1"/>
    <col min="14" max="14" width="4" customWidth="1"/>
    <col min="15" max="15" width="5.85546875" customWidth="1"/>
    <col min="16" max="16" width="4.140625" customWidth="1"/>
    <col min="17" max="19" width="5.85546875" customWidth="1"/>
    <col min="20" max="20" width="4.28515625" customWidth="1"/>
    <col min="21" max="21" width="5.85546875" customWidth="1"/>
    <col min="22" max="22" width="3.85546875" customWidth="1"/>
    <col min="23" max="23" width="5.85546875" customWidth="1"/>
    <col min="24" max="24" width="4.28515625" customWidth="1"/>
    <col min="25" max="25" width="5.85546875" customWidth="1"/>
    <col min="26" max="26" width="4.28515625" customWidth="1"/>
    <col min="27" max="27" width="5.85546875" customWidth="1"/>
    <col min="28" max="28" width="4.140625" customWidth="1"/>
    <col min="29" max="29" width="5.85546875" customWidth="1"/>
    <col min="30" max="30" width="4" customWidth="1"/>
    <col min="31" max="31" width="5.85546875" customWidth="1"/>
  </cols>
  <sheetData>
    <row r="1" spans="1:31">
      <c r="A1" s="148" t="s">
        <v>692</v>
      </c>
      <c r="B1" s="148"/>
      <c r="C1" s="116"/>
      <c r="D1" s="116"/>
      <c r="E1" s="116"/>
      <c r="F1" s="148"/>
      <c r="G1" s="148"/>
      <c r="H1" s="116"/>
      <c r="I1" s="116"/>
      <c r="J1" s="116"/>
      <c r="K1" s="116"/>
      <c r="L1" s="116"/>
      <c r="M1" s="116"/>
      <c r="N1" s="116"/>
      <c r="O1" s="116"/>
      <c r="P1" s="116"/>
      <c r="Q1" s="116"/>
      <c r="R1" s="116"/>
      <c r="S1" s="116"/>
      <c r="T1" s="116"/>
      <c r="U1" s="116"/>
      <c r="V1" s="116"/>
      <c r="W1" s="116"/>
      <c r="X1" s="116"/>
      <c r="Y1" s="116"/>
      <c r="Z1" s="116"/>
      <c r="AA1" s="116"/>
      <c r="AB1" s="116"/>
      <c r="AC1" s="116"/>
      <c r="AD1" s="116"/>
      <c r="AE1" s="116"/>
    </row>
    <row r="2" spans="1:31">
      <c r="A2" s="148"/>
      <c r="B2" s="148"/>
      <c r="C2" s="116"/>
      <c r="D2" s="116"/>
      <c r="E2" s="116"/>
      <c r="F2" s="148"/>
      <c r="G2" s="148"/>
      <c r="H2" s="116"/>
      <c r="I2" s="116"/>
      <c r="J2" s="116"/>
      <c r="K2" s="116"/>
      <c r="L2" s="116"/>
      <c r="M2" s="116"/>
      <c r="N2" s="116"/>
      <c r="O2" s="116"/>
      <c r="P2" s="116"/>
      <c r="Q2" s="116"/>
      <c r="R2" s="116"/>
      <c r="S2" s="116"/>
      <c r="T2" s="116"/>
      <c r="U2" s="116"/>
      <c r="V2" s="116"/>
      <c r="W2" s="116"/>
      <c r="X2" s="116"/>
      <c r="Y2" s="116"/>
      <c r="Z2" s="116"/>
      <c r="AA2" s="116"/>
      <c r="AB2" s="116"/>
      <c r="AC2" s="116"/>
      <c r="AD2" s="116"/>
      <c r="AE2" s="116"/>
    </row>
    <row r="3" spans="1:31">
      <c r="A3" s="148" t="str">
        <f>+'22'!A3</f>
        <v>AÑOS   2006  - 2015</v>
      </c>
      <c r="B3" s="148"/>
      <c r="C3" s="116"/>
      <c r="D3" s="116"/>
      <c r="E3" s="116"/>
      <c r="F3" s="148"/>
      <c r="G3" s="148"/>
      <c r="H3" s="116"/>
      <c r="I3" s="116"/>
      <c r="J3" s="116"/>
      <c r="K3" s="116"/>
      <c r="L3" s="116"/>
      <c r="M3" s="116"/>
      <c r="N3" s="116"/>
      <c r="O3" s="116"/>
      <c r="P3" s="116"/>
      <c r="Q3" s="116"/>
      <c r="R3" s="116"/>
      <c r="S3" s="116"/>
      <c r="T3" s="116"/>
      <c r="U3" s="116"/>
      <c r="V3" s="116"/>
      <c r="W3" s="116"/>
      <c r="X3" s="116"/>
      <c r="Y3" s="116"/>
      <c r="Z3" s="116"/>
      <c r="AA3" s="116"/>
      <c r="AB3" s="116"/>
      <c r="AC3" s="116"/>
      <c r="AD3" s="116"/>
      <c r="AE3" s="116"/>
    </row>
    <row r="4" spans="1:31">
      <c r="A4" s="116"/>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row>
    <row r="5" spans="1:31">
      <c r="A5" s="1"/>
      <c r="B5" s="116"/>
      <c r="C5" s="11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row>
    <row r="6" spans="1:31" ht="19.5" customHeight="1">
      <c r="A6" s="89"/>
      <c r="B6" s="283"/>
      <c r="C6" s="284"/>
      <c r="D6" s="283"/>
      <c r="E6" s="284"/>
      <c r="F6" s="283"/>
      <c r="G6" s="284"/>
      <c r="H6" s="243"/>
      <c r="I6" s="86"/>
      <c r="J6" s="121" t="s">
        <v>658</v>
      </c>
      <c r="K6" s="121"/>
      <c r="L6" s="121"/>
      <c r="M6" s="121"/>
      <c r="N6" s="121"/>
      <c r="O6" s="121"/>
      <c r="P6" s="121"/>
      <c r="Q6" s="121"/>
      <c r="R6" s="121"/>
      <c r="S6" s="121"/>
      <c r="T6" s="121"/>
      <c r="U6" s="121"/>
      <c r="V6" s="121"/>
      <c r="W6" s="121"/>
      <c r="X6" s="121"/>
      <c r="Y6" s="121"/>
      <c r="Z6" s="121"/>
      <c r="AA6" s="121"/>
      <c r="AB6" s="121"/>
      <c r="AC6" s="121"/>
      <c r="AD6" s="86"/>
      <c r="AE6" s="87"/>
    </row>
    <row r="7" spans="1:31">
      <c r="A7" s="249"/>
      <c r="B7" s="203"/>
      <c r="C7" s="250"/>
      <c r="D7" s="203"/>
      <c r="E7" s="252"/>
      <c r="F7" s="216" t="s">
        <v>666</v>
      </c>
      <c r="G7" s="278"/>
      <c r="H7" s="186" t="s">
        <v>667</v>
      </c>
      <c r="I7" s="246"/>
      <c r="J7" s="247"/>
      <c r="K7" s="248"/>
      <c r="L7" s="247"/>
      <c r="M7" s="248"/>
      <c r="N7" s="247"/>
      <c r="O7" s="248"/>
      <c r="P7" s="247"/>
      <c r="Q7" s="248"/>
      <c r="R7" s="186" t="s">
        <v>667</v>
      </c>
      <c r="S7" s="246"/>
      <c r="T7" s="247"/>
      <c r="U7" s="248"/>
      <c r="V7" s="247"/>
      <c r="W7" s="248"/>
      <c r="X7" s="247"/>
      <c r="Y7" s="248"/>
      <c r="Z7" s="220"/>
      <c r="AA7" s="248"/>
      <c r="AB7" s="247"/>
      <c r="AC7" s="248"/>
      <c r="AD7" s="247"/>
      <c r="AE7" s="248"/>
    </row>
    <row r="8" spans="1:31" ht="18" customHeight="1">
      <c r="A8" s="249" t="s">
        <v>659</v>
      </c>
      <c r="B8" s="203" t="s">
        <v>664</v>
      </c>
      <c r="C8" s="203"/>
      <c r="D8" s="203" t="s">
        <v>665</v>
      </c>
      <c r="E8" s="250"/>
      <c r="F8" s="203" t="s">
        <v>668</v>
      </c>
      <c r="G8" s="250"/>
      <c r="H8" s="203" t="s">
        <v>649</v>
      </c>
      <c r="I8" s="250"/>
      <c r="J8" s="203" t="s">
        <v>649</v>
      </c>
      <c r="K8" s="250"/>
      <c r="L8" s="251" t="s">
        <v>444</v>
      </c>
      <c r="M8" s="252"/>
      <c r="N8" s="203" t="s">
        <v>670</v>
      </c>
      <c r="O8" s="250"/>
      <c r="P8" s="203" t="s">
        <v>447</v>
      </c>
      <c r="Q8" s="250"/>
      <c r="R8" s="203" t="s">
        <v>671</v>
      </c>
      <c r="S8" s="250"/>
      <c r="T8" s="203" t="s">
        <v>671</v>
      </c>
      <c r="U8" s="250"/>
      <c r="V8" s="203" t="s">
        <v>411</v>
      </c>
      <c r="W8" s="250"/>
      <c r="X8" s="203" t="s">
        <v>429</v>
      </c>
      <c r="Y8" s="250"/>
      <c r="Z8" s="203" t="s">
        <v>434</v>
      </c>
      <c r="AA8" s="250"/>
      <c r="AB8" s="203" t="s">
        <v>672</v>
      </c>
      <c r="AC8" s="250"/>
      <c r="AD8" s="203" t="s">
        <v>436</v>
      </c>
      <c r="AE8" s="250"/>
    </row>
    <row r="9" spans="1:31" ht="18.75" customHeight="1">
      <c r="A9" s="253"/>
      <c r="B9" s="254" t="s">
        <v>681</v>
      </c>
      <c r="C9" s="256" t="s">
        <v>682</v>
      </c>
      <c r="D9" s="254" t="s">
        <v>681</v>
      </c>
      <c r="E9" s="256" t="s">
        <v>682</v>
      </c>
      <c r="F9" s="254" t="s">
        <v>681</v>
      </c>
      <c r="G9" s="256" t="s">
        <v>682</v>
      </c>
      <c r="H9" s="254" t="s">
        <v>681</v>
      </c>
      <c r="I9" s="255" t="s">
        <v>682</v>
      </c>
      <c r="J9" s="254" t="s">
        <v>681</v>
      </c>
      <c r="K9" s="255" t="s">
        <v>682</v>
      </c>
      <c r="L9" s="254" t="s">
        <v>681</v>
      </c>
      <c r="M9" s="256" t="s">
        <v>682</v>
      </c>
      <c r="N9" s="254" t="s">
        <v>681</v>
      </c>
      <c r="O9" s="256" t="s">
        <v>682</v>
      </c>
      <c r="P9" s="254" t="s">
        <v>681</v>
      </c>
      <c r="Q9" s="256" t="s">
        <v>682</v>
      </c>
      <c r="R9" s="254" t="s">
        <v>681</v>
      </c>
      <c r="S9" s="255" t="s">
        <v>682</v>
      </c>
      <c r="T9" s="254" t="s">
        <v>681</v>
      </c>
      <c r="U9" s="256" t="s">
        <v>682</v>
      </c>
      <c r="V9" s="254" t="s">
        <v>681</v>
      </c>
      <c r="W9" s="256" t="s">
        <v>682</v>
      </c>
      <c r="X9" s="254" t="s">
        <v>681</v>
      </c>
      <c r="Y9" s="256" t="s">
        <v>682</v>
      </c>
      <c r="Z9" s="254" t="s">
        <v>681</v>
      </c>
      <c r="AA9" s="256" t="s">
        <v>682</v>
      </c>
      <c r="AB9" s="254" t="s">
        <v>681</v>
      </c>
      <c r="AC9" s="256" t="s">
        <v>682</v>
      </c>
      <c r="AD9" s="254" t="s">
        <v>681</v>
      </c>
      <c r="AE9" s="256" t="s">
        <v>682</v>
      </c>
    </row>
    <row r="10" spans="1:31">
      <c r="A10" s="89"/>
      <c r="B10" s="283"/>
      <c r="C10" s="284"/>
      <c r="D10" s="283"/>
      <c r="E10" s="284"/>
      <c r="F10" s="283"/>
      <c r="G10" s="284"/>
      <c r="H10" s="285"/>
      <c r="I10" s="285"/>
      <c r="J10" s="283"/>
      <c r="K10" s="284"/>
      <c r="L10" s="283"/>
      <c r="M10" s="284"/>
      <c r="N10" s="283"/>
      <c r="O10" s="284"/>
      <c r="P10" s="283"/>
      <c r="Q10" s="284"/>
      <c r="R10" s="285"/>
      <c r="S10" s="285"/>
      <c r="T10" s="283"/>
      <c r="U10" s="284"/>
      <c r="V10" s="283"/>
      <c r="W10" s="284"/>
      <c r="X10" s="283"/>
      <c r="Y10" s="284"/>
      <c r="Z10" s="283"/>
      <c r="AA10" s="284"/>
      <c r="AB10" s="283"/>
      <c r="AC10" s="284"/>
      <c r="AD10" s="285"/>
      <c r="AE10" s="284"/>
    </row>
    <row r="11" spans="1:31" s="6" customFormat="1" ht="26.25" customHeight="1">
      <c r="A11" s="258">
        <f>+'22'!A11</f>
        <v>2006</v>
      </c>
      <c r="B11" s="206">
        <v>590</v>
      </c>
      <c r="C11" s="271">
        <f>+B11/'18'!B11*1000</f>
        <v>2.4223911053083209</v>
      </c>
      <c r="D11" s="260">
        <v>56</v>
      </c>
      <c r="E11" s="271">
        <f>+D11/'18'!D11*1000</f>
        <v>2.4547407180116601</v>
      </c>
      <c r="F11" s="206">
        <f t="shared" ref="F11:F16" si="0">+J11+L11+N11+P11+T11+V11+X11+Z11+AB11+AD11</f>
        <v>12</v>
      </c>
      <c r="G11" s="270">
        <f>+F11/'18'!F11*1000</f>
        <v>3.3917467495760318</v>
      </c>
      <c r="H11" s="279">
        <f t="shared" ref="H11:H17" si="1">+J11+L11+N11+P11</f>
        <v>4</v>
      </c>
      <c r="I11" s="273">
        <f>+H11/'18'!H11*1000</f>
        <v>2.834868887313962</v>
      </c>
      <c r="J11" s="206">
        <v>2</v>
      </c>
      <c r="K11" s="273">
        <f>+J11/'18'!J11*1000</f>
        <v>2.1482277121374866</v>
      </c>
      <c r="L11" s="206">
        <v>1</v>
      </c>
      <c r="M11" s="259">
        <f>+L11/'18'!L11*1000</f>
        <v>4.4247787610619467</v>
      </c>
      <c r="N11" s="206">
        <v>0</v>
      </c>
      <c r="O11" s="270">
        <f>+N11/'18'!N11*1000</f>
        <v>0</v>
      </c>
      <c r="P11" s="206">
        <v>1</v>
      </c>
      <c r="Q11" s="270">
        <f>+P11/'18'!P11*1000</f>
        <v>9.7087378640776691</v>
      </c>
      <c r="R11" s="206">
        <f t="shared" ref="R11:R15" si="2">+T11+V11+X11+Z11+AB11+AD11</f>
        <v>8</v>
      </c>
      <c r="S11" s="273">
        <f>+R11/'18'!R11*1000</f>
        <v>3.7611659614480488</v>
      </c>
      <c r="T11" s="206">
        <v>3</v>
      </c>
      <c r="U11" s="270">
        <f>+T11/'18'!T11*1000</f>
        <v>2.6737967914438503</v>
      </c>
      <c r="V11" s="206">
        <v>0</v>
      </c>
      <c r="W11" s="270">
        <f>+V11/'18'!V11*1000</f>
        <v>0</v>
      </c>
      <c r="X11" s="206">
        <v>0</v>
      </c>
      <c r="Y11" s="270">
        <f>+X11/'18'!X11*1000</f>
        <v>0</v>
      </c>
      <c r="Z11" s="206">
        <v>1</v>
      </c>
      <c r="AA11" s="270">
        <f>+Z11/'18'!Z11*1000</f>
        <v>8.8495575221238933</v>
      </c>
      <c r="AB11" s="206">
        <v>3</v>
      </c>
      <c r="AC11" s="259">
        <f>+AB11/'18'!AB11*1000</f>
        <v>8.9285714285714288</v>
      </c>
      <c r="AD11" s="206">
        <v>1</v>
      </c>
      <c r="AE11" s="259">
        <f>+AD11/'18'!AD11*1000</f>
        <v>5.1546391752577323</v>
      </c>
    </row>
    <row r="12" spans="1:31" s="6" customFormat="1" ht="26.25" customHeight="1">
      <c r="A12" s="258">
        <f>+'22'!A12</f>
        <v>2007</v>
      </c>
      <c r="B12" s="206">
        <v>653</v>
      </c>
      <c r="C12" s="271">
        <f>+B12/'18'!B12*1000</f>
        <v>2.697745131251704</v>
      </c>
      <c r="D12" s="260">
        <v>58</v>
      </c>
      <c r="E12" s="271">
        <f>+D12/'18'!D12*1000</f>
        <v>2.5425214799228479</v>
      </c>
      <c r="F12" s="206">
        <f t="shared" si="0"/>
        <v>3</v>
      </c>
      <c r="G12" s="270">
        <f>+F12/'18'!F12*1000</f>
        <v>0.83102493074792239</v>
      </c>
      <c r="H12" s="279">
        <f t="shared" si="1"/>
        <v>1</v>
      </c>
      <c r="I12" s="273">
        <f>+H12/'18'!H12*1000</f>
        <v>0.69348127600554788</v>
      </c>
      <c r="J12" s="206">
        <v>1</v>
      </c>
      <c r="K12" s="273">
        <f>+J12/'18'!J12*1000</f>
        <v>1.0183299389002036</v>
      </c>
      <c r="L12" s="206">
        <v>0</v>
      </c>
      <c r="M12" s="259">
        <f>+L12/'18'!L12*1000</f>
        <v>0</v>
      </c>
      <c r="N12" s="206">
        <v>0</v>
      </c>
      <c r="O12" s="270">
        <f>+N12/'18'!N12*1000</f>
        <v>0</v>
      </c>
      <c r="P12" s="206">
        <v>0</v>
      </c>
      <c r="Q12" s="270">
        <f>+P12/'18'!P12*1000</f>
        <v>0</v>
      </c>
      <c r="R12" s="206">
        <f t="shared" si="2"/>
        <v>2</v>
      </c>
      <c r="S12" s="273">
        <f>+R12/'18'!R12*1000</f>
        <v>0.92250922509225086</v>
      </c>
      <c r="T12" s="206">
        <v>2</v>
      </c>
      <c r="U12" s="270">
        <f>+T12/'18'!T12*1000</f>
        <v>1.6556291390728477</v>
      </c>
      <c r="V12" s="206">
        <v>0</v>
      </c>
      <c r="W12" s="270">
        <f>+V12/'18'!V12*1000</f>
        <v>0</v>
      </c>
      <c r="X12" s="206">
        <v>0</v>
      </c>
      <c r="Y12" s="270">
        <f>+X12/'18'!X12*1000</f>
        <v>0</v>
      </c>
      <c r="Z12" s="206">
        <v>0</v>
      </c>
      <c r="AA12" s="270">
        <f>+Z12/'18'!Z12*1000</f>
        <v>0</v>
      </c>
      <c r="AB12" s="206">
        <v>0</v>
      </c>
      <c r="AC12" s="259">
        <f>+AB12/'18'!AB12*1000</f>
        <v>0</v>
      </c>
      <c r="AD12" s="206">
        <v>0</v>
      </c>
      <c r="AE12" s="259">
        <f>+AD12/'18'!AD12*1000</f>
        <v>0</v>
      </c>
    </row>
    <row r="13" spans="1:31" s="6" customFormat="1" ht="26.25" customHeight="1">
      <c r="A13" s="258">
        <f>+'22'!A13</f>
        <v>2008</v>
      </c>
      <c r="B13" s="206">
        <v>579</v>
      </c>
      <c r="C13" s="271">
        <f>+B13/'18'!B13*1000</f>
        <v>2.3312369648019455</v>
      </c>
      <c r="D13" s="260">
        <v>49</v>
      </c>
      <c r="E13" s="271">
        <f>+D13/'18'!D13*1000</f>
        <v>2.1117958884626988</v>
      </c>
      <c r="F13" s="206">
        <f t="shared" si="0"/>
        <v>4</v>
      </c>
      <c r="G13" s="270">
        <f>+F13/'18'!F13*1000</f>
        <v>1.0908099263703299</v>
      </c>
      <c r="H13" s="279">
        <f t="shared" si="1"/>
        <v>2</v>
      </c>
      <c r="I13" s="273">
        <f>+H13/'18'!H13*1000</f>
        <v>1.3577732518669381</v>
      </c>
      <c r="J13" s="206">
        <v>2</v>
      </c>
      <c r="K13" s="273">
        <f>+J13/'18'!J13*1000</f>
        <v>2.0725388601036268</v>
      </c>
      <c r="L13" s="206">
        <v>0</v>
      </c>
      <c r="M13" s="259">
        <f>+L13/'18'!L13*1000</f>
        <v>0</v>
      </c>
      <c r="N13" s="206">
        <v>0</v>
      </c>
      <c r="O13" s="270">
        <f>+N13/'18'!N13*1000</f>
        <v>0</v>
      </c>
      <c r="P13" s="206">
        <v>0</v>
      </c>
      <c r="Q13" s="270">
        <f>+P13/'18'!P13*1000</f>
        <v>0</v>
      </c>
      <c r="R13" s="206">
        <f t="shared" si="2"/>
        <v>2</v>
      </c>
      <c r="S13" s="273">
        <f>+R13/'18'!R13*1000</f>
        <v>0.91157702825888787</v>
      </c>
      <c r="T13" s="206">
        <v>1</v>
      </c>
      <c r="U13" s="270">
        <f>+T13/'18'!T13*1000</f>
        <v>0.83892617449664431</v>
      </c>
      <c r="V13" s="206">
        <v>0</v>
      </c>
      <c r="W13" s="270">
        <f>+V13/'18'!V13*1000</f>
        <v>0</v>
      </c>
      <c r="X13" s="206">
        <v>0</v>
      </c>
      <c r="Y13" s="270">
        <f>+X13/'18'!X13*1000</f>
        <v>0</v>
      </c>
      <c r="Z13" s="206">
        <v>1</v>
      </c>
      <c r="AA13" s="270">
        <f>+Z13/'18'!Z13*1000</f>
        <v>7.9365079365079358</v>
      </c>
      <c r="AB13" s="206">
        <v>0</v>
      </c>
      <c r="AC13" s="259">
        <f>+AB13/'18'!AB13*1000</f>
        <v>0</v>
      </c>
      <c r="AD13" s="206">
        <v>0</v>
      </c>
      <c r="AE13" s="259">
        <f>+AD13/'18'!AD13*1000</f>
        <v>0</v>
      </c>
    </row>
    <row r="14" spans="1:31" s="6" customFormat="1" ht="26.25" customHeight="1">
      <c r="A14" s="258">
        <f>+'22'!A14</f>
        <v>2009</v>
      </c>
      <c r="B14" s="206">
        <v>638</v>
      </c>
      <c r="C14" s="271">
        <f>+B14/'18'!B14*1000</f>
        <v>2.529337139232477</v>
      </c>
      <c r="D14" s="260">
        <v>62</v>
      </c>
      <c r="E14" s="271">
        <f>+D14/'18'!D14*1000</f>
        <v>2.6121761112281443</v>
      </c>
      <c r="F14" s="206">
        <f t="shared" si="0"/>
        <v>9</v>
      </c>
      <c r="G14" s="270">
        <f>+F14/'18'!F14*1000</f>
        <v>2.4311183144246353</v>
      </c>
      <c r="H14" s="279">
        <f t="shared" si="1"/>
        <v>2</v>
      </c>
      <c r="I14" s="273">
        <f>+H14/'18'!H14*1000</f>
        <v>1.3037809647979139</v>
      </c>
      <c r="J14" s="206">
        <v>0</v>
      </c>
      <c r="K14" s="273">
        <f>+J14/'18'!J14*1000</f>
        <v>0</v>
      </c>
      <c r="L14" s="206">
        <v>0</v>
      </c>
      <c r="M14" s="259">
        <f>+L14/'18'!L14*1000</f>
        <v>0</v>
      </c>
      <c r="N14" s="206">
        <v>1</v>
      </c>
      <c r="O14" s="270">
        <f>+N14/'18'!N14*1000</f>
        <v>6.4102564102564097</v>
      </c>
      <c r="P14" s="206">
        <v>1</v>
      </c>
      <c r="Q14" s="270">
        <f>+P14/'18'!P14*1000</f>
        <v>7.518796992481203</v>
      </c>
      <c r="R14" s="206">
        <f t="shared" si="2"/>
        <v>7</v>
      </c>
      <c r="S14" s="273">
        <f>+R14/'18'!R14*1000</f>
        <v>3.2287822878228782</v>
      </c>
      <c r="T14" s="206">
        <v>3</v>
      </c>
      <c r="U14" s="270">
        <f>+T14/'18'!T14*1000</f>
        <v>2.5662959794696323</v>
      </c>
      <c r="V14" s="206">
        <v>1</v>
      </c>
      <c r="W14" s="270">
        <f>+V14/'18'!V14*1000</f>
        <v>4.9261083743842367</v>
      </c>
      <c r="X14" s="206">
        <v>0</v>
      </c>
      <c r="Y14" s="270">
        <f>+X14/'18'!X14*1000</f>
        <v>0</v>
      </c>
      <c r="Z14" s="206">
        <v>2</v>
      </c>
      <c r="AA14" s="270">
        <f>+Z14/'18'!Z14*1000</f>
        <v>19.801980198019802</v>
      </c>
      <c r="AB14" s="206">
        <v>0</v>
      </c>
      <c r="AC14" s="259">
        <f>+AB14/'18'!AB14*1000</f>
        <v>0</v>
      </c>
      <c r="AD14" s="206">
        <v>1</v>
      </c>
      <c r="AE14" s="259">
        <f>+AD14/'18'!AD14*1000</f>
        <v>5.5248618784530388</v>
      </c>
    </row>
    <row r="15" spans="1:31" s="6" customFormat="1" ht="26.25" customHeight="1">
      <c r="A15" s="258">
        <f>+'22'!A15</f>
        <v>2010</v>
      </c>
      <c r="B15" s="206">
        <v>579</v>
      </c>
      <c r="C15" s="271">
        <f>+B15/'18'!B15*1000</f>
        <v>2.3049454814708659</v>
      </c>
      <c r="D15" s="260">
        <v>56</v>
      </c>
      <c r="E15" s="271">
        <f>+D15/'18'!D15*1000</f>
        <v>2.3509655751469354</v>
      </c>
      <c r="F15" s="206">
        <f t="shared" si="0"/>
        <v>8</v>
      </c>
      <c r="G15" s="270">
        <f>+F15/'18'!F15*1000</f>
        <v>2.0376974019358127</v>
      </c>
      <c r="H15" s="279">
        <f t="shared" si="1"/>
        <v>2</v>
      </c>
      <c r="I15" s="273">
        <f>+H15/'18'!H15*1000</f>
        <v>1.2040939193257074</v>
      </c>
      <c r="J15" s="206">
        <v>0</v>
      </c>
      <c r="K15" s="273">
        <f>+J15/'18'!J15*1000</f>
        <v>0</v>
      </c>
      <c r="L15" s="206">
        <v>2</v>
      </c>
      <c r="M15" s="259">
        <f>+L15/'18'!L15*1000</f>
        <v>8.0321285140562235</v>
      </c>
      <c r="N15" s="206">
        <v>0</v>
      </c>
      <c r="O15" s="270">
        <f>+N15/'18'!N15*1000</f>
        <v>0</v>
      </c>
      <c r="P15" s="206">
        <v>0</v>
      </c>
      <c r="Q15" s="270">
        <f>+P15/'18'!P15*1000</f>
        <v>0</v>
      </c>
      <c r="R15" s="206">
        <f t="shared" si="2"/>
        <v>6</v>
      </c>
      <c r="S15" s="273">
        <f>+R15/'18'!R15*1000</f>
        <v>2.6490066225165565</v>
      </c>
      <c r="T15" s="206">
        <v>3</v>
      </c>
      <c r="U15" s="270">
        <f>+T15/'18'!T15*1000</f>
        <v>2.4650780608052587</v>
      </c>
      <c r="V15" s="206">
        <v>0</v>
      </c>
      <c r="W15" s="270">
        <f>+V15/'18'!V15*1000</f>
        <v>0</v>
      </c>
      <c r="X15" s="206">
        <v>2</v>
      </c>
      <c r="Y15" s="270">
        <f>+X15/'18'!X15*1000</f>
        <v>10.362694300518134</v>
      </c>
      <c r="Z15" s="206">
        <v>0</v>
      </c>
      <c r="AA15" s="270">
        <f>+Z15/'18'!Z15*1000</f>
        <v>0</v>
      </c>
      <c r="AB15" s="206">
        <v>1</v>
      </c>
      <c r="AC15" s="259">
        <f>+AB15/'18'!AB15*1000</f>
        <v>3.0303030303030303</v>
      </c>
      <c r="AD15" s="206">
        <v>0</v>
      </c>
      <c r="AE15" s="259">
        <f>+AD15/'18'!AD15*1000</f>
        <v>0</v>
      </c>
    </row>
    <row r="16" spans="1:31" s="6" customFormat="1" ht="26.25" customHeight="1">
      <c r="A16" s="258">
        <f>+'22'!A16</f>
        <v>2011</v>
      </c>
      <c r="B16" s="206">
        <v>562</v>
      </c>
      <c r="C16" s="271">
        <f>+B16/'18'!B16*1000</f>
        <v>2.2581254344480648</v>
      </c>
      <c r="D16" s="260">
        <v>60</v>
      </c>
      <c r="E16" s="271">
        <f>+D16/'18'!D16*1000</f>
        <v>2.5322866548493286</v>
      </c>
      <c r="F16" s="206">
        <f t="shared" si="0"/>
        <v>6</v>
      </c>
      <c r="G16" s="270">
        <f>+F16/'18'!F16*1000</f>
        <v>1.6224986479177934</v>
      </c>
      <c r="H16" s="279">
        <f t="shared" si="1"/>
        <v>1</v>
      </c>
      <c r="I16" s="273">
        <f>+H16/'18'!H16*1000</f>
        <v>0.66181336863004636</v>
      </c>
      <c r="J16" s="206">
        <v>1</v>
      </c>
      <c r="K16" s="273">
        <f>+J16/'18'!J16*1000</f>
        <v>1.0319917440660473</v>
      </c>
      <c r="L16" s="206">
        <v>0</v>
      </c>
      <c r="M16" s="259">
        <f>+L16/'18'!L16*1000</f>
        <v>0</v>
      </c>
      <c r="N16" s="206">
        <v>0</v>
      </c>
      <c r="O16" s="270">
        <f>+N16/'18'!N16*1000</f>
        <v>0</v>
      </c>
      <c r="P16" s="206">
        <v>0</v>
      </c>
      <c r="Q16" s="270">
        <f>+P16/'18'!P16*1000</f>
        <v>0</v>
      </c>
      <c r="R16" s="206">
        <f>+T16+V16+X16+Z16+AB16+AD16</f>
        <v>5</v>
      </c>
      <c r="S16" s="273">
        <f>+R16/'18'!R16*1000</f>
        <v>2.2862368541380889</v>
      </c>
      <c r="T16" s="206">
        <v>1</v>
      </c>
      <c r="U16" s="270">
        <f>+T16/'18'!T16*1000</f>
        <v>0.89285714285714279</v>
      </c>
      <c r="V16" s="206">
        <v>0</v>
      </c>
      <c r="W16" s="270">
        <f>+V16/'18'!V16*1000</f>
        <v>0</v>
      </c>
      <c r="X16" s="206">
        <v>1</v>
      </c>
      <c r="Y16" s="270">
        <f>+X16/'18'!X16*1000</f>
        <v>3.9682539682539679</v>
      </c>
      <c r="Z16" s="206">
        <v>0</v>
      </c>
      <c r="AA16" s="270">
        <f>+Z16/'18'!Z16*1000</f>
        <v>0</v>
      </c>
      <c r="AB16" s="206">
        <v>3</v>
      </c>
      <c r="AC16" s="259">
        <f>+AB16/'18'!AB16*1000</f>
        <v>9.2592592592592595</v>
      </c>
      <c r="AD16" s="206">
        <v>0</v>
      </c>
      <c r="AE16" s="259">
        <f>+AD16/'18'!AD16*1000</f>
        <v>0</v>
      </c>
    </row>
    <row r="17" spans="1:31" s="6" customFormat="1" ht="26.25" customHeight="1">
      <c r="A17" s="258">
        <f>+'22'!A17</f>
        <v>2012</v>
      </c>
      <c r="B17" s="206">
        <v>505</v>
      </c>
      <c r="C17" s="271">
        <f>+B17/'18'!B17*1000</f>
        <v>2.0708773138465828</v>
      </c>
      <c r="D17" s="260">
        <v>53</v>
      </c>
      <c r="E17" s="271">
        <f>+D17/'18'!D17*1000</f>
        <v>2.243956137008341</v>
      </c>
      <c r="F17" s="206">
        <f>+J17+L17+N17+P17+T17+V17+X17+Z17+AB17+AD17</f>
        <v>6</v>
      </c>
      <c r="G17" s="270">
        <f>+F17/'18'!F17*1000</f>
        <v>1.5748031496062991</v>
      </c>
      <c r="H17" s="279">
        <f t="shared" si="1"/>
        <v>5</v>
      </c>
      <c r="I17" s="263">
        <f>+H17/'18'!H17*1000</f>
        <v>3.2425421530479897</v>
      </c>
      <c r="J17" s="206">
        <v>5</v>
      </c>
      <c r="K17" s="273">
        <f>+J17/'18'!J17*1000</f>
        <v>5.2246603970741905</v>
      </c>
      <c r="L17" s="206">
        <v>0</v>
      </c>
      <c r="M17" s="259">
        <f>+L17/'18'!L17*1000</f>
        <v>0</v>
      </c>
      <c r="N17" s="206">
        <v>0</v>
      </c>
      <c r="O17" s="270">
        <f>+N17/'18'!N17*1000</f>
        <v>0</v>
      </c>
      <c r="P17" s="206">
        <v>0</v>
      </c>
      <c r="Q17" s="270">
        <f>+P17/'18'!P17*1000</f>
        <v>0</v>
      </c>
      <c r="R17" s="206">
        <f>+T17+V17+X17+Z17+AB17+AD17</f>
        <v>1</v>
      </c>
      <c r="S17" s="273">
        <f>+R17/'18'!R17*1000</f>
        <v>0.44091710758377423</v>
      </c>
      <c r="T17" s="206">
        <v>1</v>
      </c>
      <c r="U17" s="270">
        <f>+T17/'18'!T17*1000</f>
        <v>0.82987551867219911</v>
      </c>
      <c r="V17" s="206">
        <v>0</v>
      </c>
      <c r="W17" s="270">
        <f>+V17/'18'!V17*1000</f>
        <v>0</v>
      </c>
      <c r="X17" s="206">
        <v>0</v>
      </c>
      <c r="Y17" s="270">
        <f>+X17/'18'!X17*1000</f>
        <v>0</v>
      </c>
      <c r="Z17" s="206">
        <v>0</v>
      </c>
      <c r="AA17" s="270">
        <f>+Z17/'18'!Z17*1000</f>
        <v>0</v>
      </c>
      <c r="AB17" s="206">
        <v>0</v>
      </c>
      <c r="AC17" s="259">
        <f>+AB17/'18'!AB17*1000</f>
        <v>0</v>
      </c>
      <c r="AD17" s="206">
        <v>0</v>
      </c>
      <c r="AE17" s="259">
        <f>+AD17/'18'!AD17*1000</f>
        <v>0</v>
      </c>
    </row>
    <row r="18" spans="1:31" s="6" customFormat="1" ht="26.25" customHeight="1">
      <c r="A18" s="258">
        <f>+'22'!A18</f>
        <v>2013</v>
      </c>
      <c r="B18" s="206">
        <v>439</v>
      </c>
      <c r="C18" s="271">
        <f>+B18/'18'!B18*1000</f>
        <v>1.8140121071878681</v>
      </c>
      <c r="D18" s="260">
        <v>40</v>
      </c>
      <c r="E18" s="271">
        <f>+D18/'18'!D18*1000</f>
        <v>1.7295801444199421</v>
      </c>
      <c r="F18" s="206">
        <f>+J18+L18+N18+P18+T18+V18+X18+Z18+AB18+AD18</f>
        <v>6</v>
      </c>
      <c r="G18" s="270">
        <f>+F18/'18'!F18*1000</f>
        <v>1.6142050040355125</v>
      </c>
      <c r="H18" s="279">
        <f>+J18+L18+N18+P18</f>
        <v>2</v>
      </c>
      <c r="I18" s="263">
        <f>+H18/'18'!H18*1000</f>
        <v>1.3054830287206267</v>
      </c>
      <c r="J18" s="206">
        <v>1</v>
      </c>
      <c r="K18" s="273">
        <f>+J18/'18'!J18*1000</f>
        <v>1.0515247108307044</v>
      </c>
      <c r="L18" s="206">
        <v>1</v>
      </c>
      <c r="M18" s="259">
        <f>+L18/'18'!L18*1000</f>
        <v>3.7037037037037037</v>
      </c>
      <c r="N18" s="206">
        <v>0</v>
      </c>
      <c r="O18" s="270">
        <f>+N18/'18'!N18*1000</f>
        <v>0</v>
      </c>
      <c r="P18" s="206">
        <v>0</v>
      </c>
      <c r="Q18" s="270">
        <f>+P18/'18'!P18*1000</f>
        <v>0</v>
      </c>
      <c r="R18" s="206">
        <f>+T18+V18+X18+Z18+AB18+AD18</f>
        <v>4</v>
      </c>
      <c r="S18" s="273">
        <f>+R18/'18'!R18*1000</f>
        <v>1.8306636155606408</v>
      </c>
      <c r="T18" s="206">
        <v>3</v>
      </c>
      <c r="U18" s="270">
        <f>+T18/'18'!T18*1000</f>
        <v>2.7075812274368229</v>
      </c>
      <c r="V18" s="206">
        <v>0</v>
      </c>
      <c r="W18" s="270">
        <f>+V18/'18'!V18*1000</f>
        <v>0</v>
      </c>
      <c r="X18" s="206">
        <v>0</v>
      </c>
      <c r="Y18" s="270">
        <f>+X18/'18'!X18*1000</f>
        <v>0</v>
      </c>
      <c r="Z18" s="206">
        <v>0</v>
      </c>
      <c r="AA18" s="270">
        <f>+Z18/'18'!Z18*1000</f>
        <v>0</v>
      </c>
      <c r="AB18" s="206">
        <v>0</v>
      </c>
      <c r="AC18" s="259">
        <f>+AB18/'18'!AB18*1000</f>
        <v>0</v>
      </c>
      <c r="AD18" s="206">
        <v>1</v>
      </c>
      <c r="AE18" s="259">
        <f>+AD18/'18'!AD18*1000</f>
        <v>5.1546391752577323</v>
      </c>
    </row>
    <row r="19" spans="1:31" s="6" customFormat="1" ht="26.25" customHeight="1">
      <c r="A19" s="258">
        <f>+'22'!A19</f>
        <v>2014</v>
      </c>
      <c r="B19" s="262"/>
      <c r="C19" s="271"/>
      <c r="D19" s="260"/>
      <c r="E19" s="271"/>
      <c r="F19" s="206">
        <f>+J19+L19+N19+P19+T19+V19+X19+Z19+AB19+AD19</f>
        <v>8</v>
      </c>
      <c r="G19" s="270">
        <f>+F19/'18'!F19*1000</f>
        <v>2.1316280309086064</v>
      </c>
      <c r="H19" s="279">
        <f>+J19+L19+N19+P19</f>
        <v>3</v>
      </c>
      <c r="I19" s="263">
        <f>+H19/'18'!H19*1000</f>
        <v>1.9218449711723256</v>
      </c>
      <c r="J19" s="206">
        <v>3</v>
      </c>
      <c r="K19" s="273">
        <f>+J19/'18'!J19*1000</f>
        <v>2.9296875</v>
      </c>
      <c r="L19" s="206"/>
      <c r="M19" s="259">
        <f>+L19/'18'!L19*1000</f>
        <v>0</v>
      </c>
      <c r="N19" s="206">
        <v>0</v>
      </c>
      <c r="O19" s="270">
        <f>+N19/'18'!N19*1000</f>
        <v>0</v>
      </c>
      <c r="P19" s="206">
        <v>0</v>
      </c>
      <c r="Q19" s="270">
        <f>+P19/'18'!P19*1000</f>
        <v>0</v>
      </c>
      <c r="R19" s="206">
        <f>+T19+V19+X19+Z19+AB19+AD19</f>
        <v>5</v>
      </c>
      <c r="S19" s="273">
        <f>+R19/'18'!R19*1000</f>
        <v>2.2810218978102186</v>
      </c>
      <c r="T19" s="206">
        <v>3</v>
      </c>
      <c r="U19" s="270">
        <f>+T19/'18'!T19*1000</f>
        <v>2.7247956403269753</v>
      </c>
      <c r="V19" s="206">
        <v>0</v>
      </c>
      <c r="W19" s="270">
        <f>+V19/'18'!V19*1000</f>
        <v>0</v>
      </c>
      <c r="X19" s="206">
        <v>0</v>
      </c>
      <c r="Y19" s="270">
        <f>+X19/'18'!X19*1000</f>
        <v>0</v>
      </c>
      <c r="Z19" s="206">
        <v>1</v>
      </c>
      <c r="AA19" s="270">
        <f>+Z19/'18'!Z19*1000</f>
        <v>8.695652173913043</v>
      </c>
      <c r="AB19" s="206">
        <v>0</v>
      </c>
      <c r="AC19" s="259">
        <f>+AB19/'18'!AB19*1000</f>
        <v>0</v>
      </c>
      <c r="AD19" s="206">
        <v>1</v>
      </c>
      <c r="AE19" s="259">
        <f>+AD19/'18'!AD19*1000</f>
        <v>5.0761421319796947</v>
      </c>
    </row>
    <row r="20" spans="1:31" s="6" customFormat="1" ht="26.25" customHeight="1">
      <c r="A20" s="258">
        <f>+'22'!A20</f>
        <v>2015</v>
      </c>
      <c r="B20" s="262"/>
      <c r="C20" s="271"/>
      <c r="D20" s="260"/>
      <c r="E20" s="271"/>
      <c r="F20" s="206">
        <f>+J20+L20+N20+P20+T20+V20+X20+Z20+AB20+AD20</f>
        <v>7</v>
      </c>
      <c r="G20" s="270">
        <f>+F20/'18'!F20*1000</f>
        <v>1.9374481040686411</v>
      </c>
      <c r="H20" s="279">
        <f>+J20+L20+N20+P20</f>
        <v>4</v>
      </c>
      <c r="I20" s="263">
        <f>+H20/'18'!H20*1000</f>
        <v>2.7397260273972601</v>
      </c>
      <c r="J20" s="206">
        <v>2</v>
      </c>
      <c r="K20" s="273">
        <f>+J20/'18'!J20*1000</f>
        <v>2.1645021645021645</v>
      </c>
      <c r="L20" s="206">
        <v>1</v>
      </c>
      <c r="M20" s="259">
        <f>+L20/'18'!L20*1000</f>
        <v>4.8309178743961354</v>
      </c>
      <c r="N20" s="206">
        <v>1</v>
      </c>
      <c r="O20" s="270">
        <f>+N20/'18'!N20*1000</f>
        <v>5.2910052910052912</v>
      </c>
      <c r="P20" s="206">
        <v>0</v>
      </c>
      <c r="Q20" s="270">
        <f>+P20/'18'!P20*1000</f>
        <v>0</v>
      </c>
      <c r="R20" s="206">
        <f>+T20+V20+X20+Z20+AB20+AD20</f>
        <v>3</v>
      </c>
      <c r="S20" s="273">
        <f>+R20/'18'!R20*1000</f>
        <v>1.3934045517882026</v>
      </c>
      <c r="T20" s="206">
        <v>1</v>
      </c>
      <c r="U20" s="270">
        <f>+T20/'18'!T20*1000</f>
        <v>0.89605734767025091</v>
      </c>
      <c r="V20" s="206">
        <v>1</v>
      </c>
      <c r="W20" s="270">
        <f>+V20/'18'!V20*1000</f>
        <v>4.5871559633027523</v>
      </c>
      <c r="X20" s="206">
        <v>1</v>
      </c>
      <c r="Y20" s="270">
        <f>+X20/'18'!X20*1000</f>
        <v>4.8543689320388346</v>
      </c>
      <c r="Z20" s="206">
        <v>0</v>
      </c>
      <c r="AA20" s="270">
        <f>+Z20/'18'!Z20*1000</f>
        <v>0</v>
      </c>
      <c r="AB20" s="206">
        <v>0</v>
      </c>
      <c r="AC20" s="259">
        <f>+AB20/'18'!AB20*1000</f>
        <v>0</v>
      </c>
      <c r="AD20" s="206">
        <v>0</v>
      </c>
      <c r="AE20" s="259">
        <f>+AD20/'18'!AD20*1000</f>
        <v>0</v>
      </c>
    </row>
    <row r="21" spans="1:31">
      <c r="A21" s="264"/>
      <c r="B21" s="209"/>
      <c r="C21" s="281"/>
      <c r="D21" s="280"/>
      <c r="E21" s="281"/>
      <c r="F21" s="212"/>
      <c r="G21" s="265"/>
      <c r="H21" s="266"/>
      <c r="I21" s="265"/>
      <c r="J21" s="1095"/>
      <c r="K21" s="1096"/>
      <c r="L21" s="209"/>
      <c r="M21" s="265"/>
      <c r="N21" s="209"/>
      <c r="O21" s="265"/>
      <c r="P21" s="209"/>
      <c r="Q21" s="265"/>
      <c r="R21" s="266"/>
      <c r="S21" s="266"/>
      <c r="T21" s="209"/>
      <c r="U21" s="265"/>
      <c r="V21" s="209"/>
      <c r="W21" s="265"/>
      <c r="X21" s="209"/>
      <c r="Y21" s="265"/>
      <c r="Z21" s="209"/>
      <c r="AA21" s="265"/>
      <c r="AB21" s="209"/>
      <c r="AC21" s="265"/>
      <c r="AD21" s="266"/>
      <c r="AE21" s="265"/>
    </row>
    <row r="22" spans="1:31">
      <c r="A22" s="1"/>
      <c r="B22" s="1"/>
      <c r="C22" s="1"/>
      <c r="D22" s="1"/>
      <c r="E22" s="1"/>
      <c r="F22" s="1"/>
      <c r="G22" s="1"/>
      <c r="H22" s="1"/>
      <c r="I22" s="1"/>
      <c r="J22" s="216"/>
      <c r="K22" s="1"/>
      <c r="L22" s="1"/>
      <c r="M22" s="1"/>
      <c r="N22" s="1"/>
      <c r="O22" s="1"/>
      <c r="P22" s="1"/>
      <c r="Q22" s="1"/>
      <c r="R22" s="1"/>
      <c r="S22" s="1"/>
      <c r="T22" s="1"/>
      <c r="U22" s="1"/>
      <c r="V22" s="1"/>
      <c r="W22" s="1"/>
      <c r="X22" s="1"/>
      <c r="Y22" s="1"/>
      <c r="Z22" s="1"/>
      <c r="AA22" s="1"/>
      <c r="AB22" s="1"/>
      <c r="AC22" s="1"/>
      <c r="AD22" s="1"/>
      <c r="AE22" s="1"/>
    </row>
    <row r="23" spans="1:31">
      <c r="A23" s="1"/>
      <c r="B23" s="220" t="str">
        <f>+'21'!B23</f>
        <v>AÑO   2015  :   DATOS POR OCURRENCIA   (Provisorios)</v>
      </c>
      <c r="C23" s="267"/>
      <c r="D23" s="216"/>
      <c r="E23" s="216"/>
      <c r="F23" s="216"/>
      <c r="G23" s="216"/>
      <c r="H23" s="216"/>
      <c r="I23" s="216"/>
      <c r="J23" s="216"/>
      <c r="K23" s="216"/>
      <c r="L23" s="216"/>
      <c r="M23" s="216"/>
      <c r="N23" s="1"/>
      <c r="O23" s="1"/>
      <c r="P23" s="1"/>
      <c r="Q23" s="1"/>
      <c r="R23" s="1"/>
      <c r="S23" s="1"/>
      <c r="T23" s="1"/>
      <c r="U23" s="1"/>
      <c r="V23" s="1"/>
      <c r="W23" s="1"/>
      <c r="X23" s="1"/>
      <c r="Y23" s="1"/>
      <c r="Z23" s="1"/>
      <c r="AA23" s="1"/>
      <c r="AB23" s="1"/>
      <c r="AC23" s="1"/>
      <c r="AD23" s="1"/>
      <c r="AE23" s="1"/>
    </row>
    <row r="24" spans="1:31">
      <c r="A24" s="1"/>
      <c r="B24" s="216"/>
      <c r="C24" s="220" t="s">
        <v>691</v>
      </c>
      <c r="D24" s="220"/>
      <c r="E24" s="216"/>
      <c r="F24" s="216"/>
      <c r="G24" s="216"/>
      <c r="H24" s="216"/>
      <c r="I24" s="216"/>
      <c r="J24" s="216"/>
      <c r="K24" s="216"/>
      <c r="L24" s="216"/>
      <c r="M24" s="216"/>
      <c r="N24" s="1"/>
      <c r="O24" s="1"/>
      <c r="P24" s="1"/>
      <c r="Q24" s="1"/>
      <c r="R24" s="1"/>
      <c r="S24" s="1"/>
      <c r="T24" s="1"/>
      <c r="U24" s="1"/>
      <c r="V24" s="1"/>
      <c r="W24" s="1"/>
      <c r="X24" s="1"/>
      <c r="Y24" s="1"/>
      <c r="Z24" s="1"/>
      <c r="AA24" s="1"/>
      <c r="AB24" s="1"/>
      <c r="AC24" s="1"/>
      <c r="AD24" s="1"/>
      <c r="AE24" s="1"/>
    </row>
    <row r="25" spans="1:31">
      <c r="A25" s="1"/>
      <c r="B25" s="216"/>
      <c r="C25" s="216"/>
      <c r="D25" s="216"/>
      <c r="E25" s="216"/>
      <c r="F25" s="216"/>
      <c r="G25" s="216"/>
      <c r="H25" s="216"/>
      <c r="I25" s="216"/>
      <c r="K25" s="216"/>
      <c r="L25" s="216"/>
      <c r="M25" s="216"/>
      <c r="N25" s="1"/>
      <c r="O25" s="1"/>
      <c r="P25" s="1"/>
      <c r="Q25" s="1"/>
      <c r="R25" s="1"/>
      <c r="S25" s="1"/>
      <c r="T25" s="1"/>
      <c r="U25" s="1"/>
      <c r="V25" s="1"/>
      <c r="W25" s="1"/>
      <c r="X25" s="1"/>
      <c r="Y25" s="1"/>
      <c r="Z25" s="1"/>
      <c r="AA25" s="1"/>
      <c r="AB25" s="1"/>
      <c r="AC25" s="1"/>
      <c r="AD25" s="1"/>
      <c r="AE25" s="1"/>
    </row>
  </sheetData>
  <phoneticPr fontId="19" type="noConversion"/>
  <pageMargins left="0.78740157480314965"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6"/>
  <sheetViews>
    <sheetView topLeftCell="A18" zoomScaleNormal="100" workbookViewId="0">
      <selection activeCell="M7" sqref="M7"/>
    </sheetView>
  </sheetViews>
  <sheetFormatPr baseColWidth="10" defaultRowHeight="12.75"/>
  <cols>
    <col min="1" max="2" width="5.42578125" customWidth="1"/>
    <col min="3" max="3" width="5.28515625" customWidth="1"/>
    <col min="4" max="4" width="5.7109375" customWidth="1"/>
    <col min="5" max="5" width="6.42578125" customWidth="1"/>
    <col min="6" max="6" width="5.42578125" customWidth="1"/>
    <col min="7" max="7" width="5.28515625" customWidth="1"/>
    <col min="8" max="8" width="5.85546875" customWidth="1"/>
    <col min="9" max="9" width="5.42578125" customWidth="1"/>
    <col min="10" max="10" width="4.7109375" customWidth="1"/>
    <col min="11" max="11" width="5.42578125" customWidth="1"/>
    <col min="12" max="12" width="4.7109375" customWidth="1"/>
    <col min="13" max="13" width="6" customWidth="1"/>
    <col min="14" max="14" width="4.7109375" customWidth="1"/>
    <col min="15" max="15" width="5.5703125" customWidth="1"/>
    <col min="16" max="16" width="4.7109375" customWidth="1"/>
    <col min="17" max="17" width="5.5703125" customWidth="1"/>
    <col min="18" max="19" width="5.28515625" customWidth="1"/>
    <col min="20" max="20" width="4.7109375" customWidth="1"/>
    <col min="21" max="21" width="6.28515625" customWidth="1"/>
    <col min="22" max="22" width="4.7109375" customWidth="1"/>
    <col min="23" max="23" width="5" customWidth="1"/>
    <col min="24" max="24" width="4.7109375" customWidth="1"/>
    <col min="25" max="25" width="6.28515625" customWidth="1"/>
    <col min="26" max="26" width="4.7109375" customWidth="1"/>
    <col min="27" max="27" width="5.7109375" customWidth="1"/>
    <col min="28" max="28" width="3.5703125" customWidth="1"/>
    <col min="29" max="29" width="6.28515625" customWidth="1"/>
    <col min="30" max="30" width="4.7109375" customWidth="1"/>
    <col min="31" max="31" width="5.42578125" customWidth="1"/>
  </cols>
  <sheetData>
    <row r="1" spans="1:31">
      <c r="A1" s="148" t="s">
        <v>693</v>
      </c>
      <c r="B1" s="1"/>
      <c r="C1" s="116"/>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row>
    <row r="2" spans="1:31">
      <c r="A2" s="148"/>
      <c r="B2" s="116"/>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row>
    <row r="3" spans="1:31">
      <c r="A3" s="148" t="str">
        <f>+'23'!A3</f>
        <v>AÑOS   2006  - 2015</v>
      </c>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row>
    <row r="4" spans="1:31">
      <c r="A4" s="116"/>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row>
    <row r="5" spans="1:31">
      <c r="A5" s="1"/>
      <c r="B5" s="116"/>
      <c r="C5" s="11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row>
    <row r="6" spans="1:31" ht="18.75" customHeight="1">
      <c r="A6" s="286"/>
      <c r="B6" s="287"/>
      <c r="C6" s="288"/>
      <c r="D6" s="287"/>
      <c r="E6" s="288"/>
      <c r="F6" s="287"/>
      <c r="G6" s="288"/>
      <c r="H6" s="243"/>
      <c r="I6" s="86"/>
      <c r="J6" s="121" t="s">
        <v>658</v>
      </c>
      <c r="K6" s="121"/>
      <c r="L6" s="121"/>
      <c r="M6" s="121"/>
      <c r="N6" s="121"/>
      <c r="O6" s="121"/>
      <c r="P6" s="121"/>
      <c r="Q6" s="121"/>
      <c r="R6" s="121"/>
      <c r="S6" s="121"/>
      <c r="T6" s="121"/>
      <c r="U6" s="121"/>
      <c r="V6" s="121"/>
      <c r="W6" s="121"/>
      <c r="X6" s="121"/>
      <c r="Y6" s="121"/>
      <c r="Z6" s="121"/>
      <c r="AA6" s="121"/>
      <c r="AB6" s="121"/>
      <c r="AC6" s="121"/>
      <c r="AD6" s="86"/>
      <c r="AE6" s="87"/>
    </row>
    <row r="7" spans="1:31">
      <c r="A7" s="249"/>
      <c r="B7" s="203"/>
      <c r="C7" s="250"/>
      <c r="D7" s="203"/>
      <c r="E7" s="252"/>
      <c r="F7" s="216" t="s">
        <v>666</v>
      </c>
      <c r="G7" s="278"/>
      <c r="H7" s="186" t="s">
        <v>667</v>
      </c>
      <c r="I7" s="246"/>
      <c r="J7" s="247"/>
      <c r="K7" s="248"/>
      <c r="L7" s="247"/>
      <c r="M7" s="248"/>
      <c r="N7" s="247"/>
      <c r="O7" s="248"/>
      <c r="P7" s="247"/>
      <c r="Q7" s="248"/>
      <c r="R7" s="186" t="s">
        <v>667</v>
      </c>
      <c r="S7" s="246"/>
      <c r="T7" s="247"/>
      <c r="U7" s="248"/>
      <c r="V7" s="247"/>
      <c r="W7" s="248"/>
      <c r="X7" s="247"/>
      <c r="Y7" s="248"/>
      <c r="Z7" s="220"/>
      <c r="AA7" s="248"/>
      <c r="AB7" s="247"/>
      <c r="AC7" s="248"/>
      <c r="AD7" s="247"/>
      <c r="AE7" s="248"/>
    </row>
    <row r="8" spans="1:31" ht="17.25" customHeight="1">
      <c r="A8" s="249" t="s">
        <v>659</v>
      </c>
      <c r="B8" s="203" t="s">
        <v>664</v>
      </c>
      <c r="C8" s="203"/>
      <c r="D8" s="203" t="s">
        <v>665</v>
      </c>
      <c r="E8" s="250"/>
      <c r="F8" s="203" t="s">
        <v>668</v>
      </c>
      <c r="G8" s="250"/>
      <c r="H8" s="203" t="s">
        <v>649</v>
      </c>
      <c r="I8" s="250"/>
      <c r="J8" s="203" t="s">
        <v>649</v>
      </c>
      <c r="K8" s="250"/>
      <c r="L8" s="251" t="s">
        <v>444</v>
      </c>
      <c r="M8" s="252"/>
      <c r="N8" s="203" t="s">
        <v>670</v>
      </c>
      <c r="O8" s="250"/>
      <c r="P8" s="203" t="s">
        <v>447</v>
      </c>
      <c r="Q8" s="250"/>
      <c r="R8" s="203" t="s">
        <v>671</v>
      </c>
      <c r="S8" s="250"/>
      <c r="T8" s="203" t="s">
        <v>671</v>
      </c>
      <c r="U8" s="250"/>
      <c r="V8" s="203" t="s">
        <v>411</v>
      </c>
      <c r="W8" s="250"/>
      <c r="X8" s="203" t="s">
        <v>429</v>
      </c>
      <c r="Y8" s="250"/>
      <c r="Z8" s="203" t="s">
        <v>434</v>
      </c>
      <c r="AA8" s="250"/>
      <c r="AB8" s="203" t="s">
        <v>672</v>
      </c>
      <c r="AC8" s="250"/>
      <c r="AD8" s="203" t="s">
        <v>436</v>
      </c>
      <c r="AE8" s="250"/>
    </row>
    <row r="9" spans="1:31" ht="18.75" customHeight="1">
      <c r="A9" s="253"/>
      <c r="B9" s="254" t="s">
        <v>681</v>
      </c>
      <c r="C9" s="256" t="s">
        <v>682</v>
      </c>
      <c r="D9" s="254" t="s">
        <v>681</v>
      </c>
      <c r="E9" s="256" t="s">
        <v>682</v>
      </c>
      <c r="F9" s="254" t="s">
        <v>681</v>
      </c>
      <c r="G9" s="256" t="s">
        <v>682</v>
      </c>
      <c r="H9" s="254" t="s">
        <v>681</v>
      </c>
      <c r="I9" s="255" t="s">
        <v>682</v>
      </c>
      <c r="J9" s="254" t="s">
        <v>681</v>
      </c>
      <c r="K9" s="255" t="s">
        <v>682</v>
      </c>
      <c r="L9" s="254" t="s">
        <v>681</v>
      </c>
      <c r="M9" s="256" t="s">
        <v>682</v>
      </c>
      <c r="N9" s="254" t="s">
        <v>681</v>
      </c>
      <c r="O9" s="256" t="s">
        <v>682</v>
      </c>
      <c r="P9" s="254" t="s">
        <v>681</v>
      </c>
      <c r="Q9" s="256" t="s">
        <v>682</v>
      </c>
      <c r="R9" s="254" t="s">
        <v>681</v>
      </c>
      <c r="S9" s="255" t="s">
        <v>682</v>
      </c>
      <c r="T9" s="254" t="s">
        <v>681</v>
      </c>
      <c r="U9" s="256" t="s">
        <v>682</v>
      </c>
      <c r="V9" s="254" t="s">
        <v>681</v>
      </c>
      <c r="W9" s="256" t="s">
        <v>682</v>
      </c>
      <c r="X9" s="254" t="s">
        <v>681</v>
      </c>
      <c r="Y9" s="256" t="s">
        <v>682</v>
      </c>
      <c r="Z9" s="254" t="s">
        <v>681</v>
      </c>
      <c r="AA9" s="256" t="s">
        <v>682</v>
      </c>
      <c r="AB9" s="254" t="s">
        <v>681</v>
      </c>
      <c r="AC9" s="256" t="s">
        <v>682</v>
      </c>
      <c r="AD9" s="254" t="s">
        <v>681</v>
      </c>
      <c r="AE9" s="256" t="s">
        <v>682</v>
      </c>
    </row>
    <row r="10" spans="1:31">
      <c r="A10" s="89"/>
      <c r="B10" s="283"/>
      <c r="C10" s="284"/>
      <c r="D10" s="283"/>
      <c r="E10" s="284"/>
      <c r="F10" s="283"/>
      <c r="G10" s="284"/>
      <c r="H10" s="285"/>
      <c r="I10" s="285"/>
      <c r="J10" s="283"/>
      <c r="K10" s="284"/>
      <c r="L10" s="283"/>
      <c r="M10" s="284"/>
      <c r="N10" s="283"/>
      <c r="O10" s="284"/>
      <c r="P10" s="283"/>
      <c r="Q10" s="284"/>
      <c r="R10" s="285"/>
      <c r="S10" s="285"/>
      <c r="T10" s="283"/>
      <c r="U10" s="284"/>
      <c r="V10" s="283"/>
      <c r="W10" s="284"/>
      <c r="X10" s="283"/>
      <c r="Y10" s="284"/>
      <c r="Z10" s="283"/>
      <c r="AA10" s="284"/>
      <c r="AB10" s="283"/>
      <c r="AC10" s="284"/>
      <c r="AD10" s="285"/>
      <c r="AE10" s="284"/>
    </row>
    <row r="11" spans="1:31" s="6" customFormat="1" ht="27.75" customHeight="1">
      <c r="A11" s="258">
        <f>+'23'!A11</f>
        <v>2006</v>
      </c>
      <c r="B11" s="274">
        <f>+'23'!B11+'22'!B11</f>
        <v>1839</v>
      </c>
      <c r="C11" s="270">
        <f>+B11/'18'!B11*1000</f>
        <v>7.5504699028169542</v>
      </c>
      <c r="D11" s="274">
        <f>+'23'!D11+'22'!D11</f>
        <v>173</v>
      </c>
      <c r="E11" s="270">
        <f>+D11/'18'!D11*1000</f>
        <v>7.5833954324288779</v>
      </c>
      <c r="F11" s="206">
        <f t="shared" ref="F11:F18" si="0">+J11+L11+N11+P11+T11+V11+X11+Z11+AB11+AD11</f>
        <v>31</v>
      </c>
      <c r="G11" s="259">
        <f>+F11/'18'!F11*1000</f>
        <v>8.7620124364047491</v>
      </c>
      <c r="H11" s="272">
        <f t="shared" ref="H11:H18" si="1">+J11+L11+N11+P11</f>
        <v>11</v>
      </c>
      <c r="I11" s="273">
        <f>+H11/'18'!H11*1000</f>
        <v>7.7958894401133945</v>
      </c>
      <c r="J11" s="274">
        <f>+'23'!J11+'22'!J11</f>
        <v>8</v>
      </c>
      <c r="K11" s="270">
        <f>+J11/'18'!J11*1000</f>
        <v>8.5929108485499466</v>
      </c>
      <c r="L11" s="274">
        <f>+'23'!L11+'22'!L11</f>
        <v>1</v>
      </c>
      <c r="M11" s="270">
        <f>+L11/'18'!L11*1000</f>
        <v>4.4247787610619467</v>
      </c>
      <c r="N11" s="274">
        <f>+'23'!N11+'22'!N11</f>
        <v>1</v>
      </c>
      <c r="O11" s="270">
        <f>+N11/'18'!N11*1000</f>
        <v>6.6225165562913908</v>
      </c>
      <c r="P11" s="274">
        <f>+'23'!P11+'22'!P11</f>
        <v>1</v>
      </c>
      <c r="Q11" s="270">
        <f>+P11/'18'!P11*1000</f>
        <v>9.7087378640776691</v>
      </c>
      <c r="R11" s="206">
        <f t="shared" ref="R11:R18" si="2">+T11+V11+X11+Z11+AB11+AD11</f>
        <v>20</v>
      </c>
      <c r="S11" s="273">
        <f>+R11/'18'!R11*1000</f>
        <v>9.4029149036201218</v>
      </c>
      <c r="T11" s="274">
        <f>+'23'!T11+'22'!T11</f>
        <v>7</v>
      </c>
      <c r="U11" s="270">
        <f>+T11/'18'!T11*1000</f>
        <v>6.238859180035651</v>
      </c>
      <c r="V11" s="274">
        <f>+'23'!V11+'22'!V11</f>
        <v>4</v>
      </c>
      <c r="W11" s="270">
        <f>+V11/'18'!V11*1000</f>
        <v>21.164021164021165</v>
      </c>
      <c r="X11" s="274">
        <f>+'23'!X11+'22'!X11</f>
        <v>0</v>
      </c>
      <c r="Y11" s="270">
        <f>+X11/'18'!X11*1000</f>
        <v>0</v>
      </c>
      <c r="Z11" s="274">
        <f>+'23'!Z11+'22'!Z11</f>
        <v>1</v>
      </c>
      <c r="AA11" s="270">
        <f>+Z11/'18'!Z11*1000</f>
        <v>8.8495575221238933</v>
      </c>
      <c r="AB11" s="274">
        <f>+'23'!AB11+'22'!AB11</f>
        <v>6</v>
      </c>
      <c r="AC11" s="270">
        <f>+AB11/'18'!AB11*1000</f>
        <v>17.857142857142858</v>
      </c>
      <c r="AD11" s="274">
        <f>+'23'!AD11+'22'!AD11</f>
        <v>2</v>
      </c>
      <c r="AE11" s="259">
        <f>+AD11/'18'!AD11*1000</f>
        <v>10.309278350515465</v>
      </c>
    </row>
    <row r="12" spans="1:31" s="6" customFormat="1" ht="27.75" customHeight="1">
      <c r="A12" s="258">
        <f>+'23'!A12</f>
        <v>2007</v>
      </c>
      <c r="B12" s="274">
        <f>+'23'!B12+'22'!B12</f>
        <v>2009</v>
      </c>
      <c r="C12" s="270">
        <f>+B12/'18'!B12*1000</f>
        <v>8.2998008708800519</v>
      </c>
      <c r="D12" s="274">
        <f>+'23'!D12+'22'!D12</f>
        <v>201</v>
      </c>
      <c r="E12" s="270">
        <f>+D12/'18'!D12*1000</f>
        <v>8.8111520252498696</v>
      </c>
      <c r="F12" s="206">
        <f t="shared" si="0"/>
        <v>33</v>
      </c>
      <c r="G12" s="259">
        <f>+F12/'18'!F12*1000</f>
        <v>9.1412742382271475</v>
      </c>
      <c r="H12" s="272">
        <f t="shared" si="1"/>
        <v>8</v>
      </c>
      <c r="I12" s="273">
        <f>+H12/'18'!H12*1000</f>
        <v>5.547850208044383</v>
      </c>
      <c r="J12" s="274">
        <f>+'23'!J12+'22'!J12</f>
        <v>5</v>
      </c>
      <c r="K12" s="270">
        <f>+J12/'18'!J12*1000</f>
        <v>5.0916496945010188</v>
      </c>
      <c r="L12" s="274">
        <f>+'23'!L12+'22'!L12</f>
        <v>2</v>
      </c>
      <c r="M12" s="270">
        <f>+L12/'18'!L12*1000</f>
        <v>9.5238095238095255</v>
      </c>
      <c r="N12" s="274">
        <f>+'23'!N12+'22'!N12</f>
        <v>1</v>
      </c>
      <c r="O12" s="270">
        <f>+N12/'18'!N12*1000</f>
        <v>6.666666666666667</v>
      </c>
      <c r="P12" s="274">
        <f>+'23'!P12+'22'!P12</f>
        <v>0</v>
      </c>
      <c r="Q12" s="270">
        <f>+P12/'18'!P12*1000</f>
        <v>0</v>
      </c>
      <c r="R12" s="206">
        <f t="shared" si="2"/>
        <v>25</v>
      </c>
      <c r="S12" s="273">
        <f>+R12/'18'!R12*1000</f>
        <v>11.531365313653136</v>
      </c>
      <c r="T12" s="274">
        <f>+'23'!T12+'22'!T12</f>
        <v>15</v>
      </c>
      <c r="U12" s="270">
        <f>+T12/'18'!T12*1000</f>
        <v>12.417218543046356</v>
      </c>
      <c r="V12" s="274">
        <f>+'23'!V12+'22'!V12</f>
        <v>3</v>
      </c>
      <c r="W12" s="270">
        <f>+V12/'18'!V12*1000</f>
        <v>15.789473684210527</v>
      </c>
      <c r="X12" s="274">
        <f>+'23'!X12+'22'!X12</f>
        <v>1</v>
      </c>
      <c r="Y12" s="270">
        <f>+X12/'18'!X12*1000</f>
        <v>4.9751243781094523</v>
      </c>
      <c r="Z12" s="274">
        <f>+'23'!Z12+'22'!Z12</f>
        <v>0</v>
      </c>
      <c r="AA12" s="270">
        <f>+Z12/'18'!Z12*1000</f>
        <v>0</v>
      </c>
      <c r="AB12" s="274">
        <f>+'23'!AB12+'22'!AB12</f>
        <v>4</v>
      </c>
      <c r="AC12" s="270">
        <f>+AB12/'18'!AB12*1000</f>
        <v>13.029315960912053</v>
      </c>
      <c r="AD12" s="274">
        <f>+'23'!AD12+'22'!AD12</f>
        <v>2</v>
      </c>
      <c r="AE12" s="259">
        <f>+AD12/'18'!AD12*1000</f>
        <v>11.494252873563218</v>
      </c>
    </row>
    <row r="13" spans="1:31" s="6" customFormat="1" ht="27.75" customHeight="1">
      <c r="A13" s="258">
        <f>+'23'!A13</f>
        <v>2008</v>
      </c>
      <c r="B13" s="274">
        <f>+'23'!B13+'22'!B13</f>
        <v>1948</v>
      </c>
      <c r="C13" s="270">
        <f>+B13/'18'!B13*1000</f>
        <v>7.843263570698082</v>
      </c>
      <c r="D13" s="274">
        <f>+'23'!D13+'22'!D13</f>
        <v>169</v>
      </c>
      <c r="E13" s="270">
        <f>+D13/'18'!D13*1000</f>
        <v>7.2835409214325733</v>
      </c>
      <c r="F13" s="206">
        <f t="shared" si="0"/>
        <v>22</v>
      </c>
      <c r="G13" s="259">
        <f>+F13/'18'!F13*1000</f>
        <v>5.9994545950368146</v>
      </c>
      <c r="H13" s="272">
        <f t="shared" si="1"/>
        <v>14</v>
      </c>
      <c r="I13" s="273">
        <f>+H13/'18'!H13*1000</f>
        <v>9.5044127630685669</v>
      </c>
      <c r="J13" s="274">
        <f>+'23'!J13+'22'!J13</f>
        <v>9</v>
      </c>
      <c r="K13" s="270">
        <f>+J13/'18'!J13*1000</f>
        <v>9.3264248704663206</v>
      </c>
      <c r="L13" s="274">
        <f>+'23'!L13+'22'!L13</f>
        <v>2</v>
      </c>
      <c r="M13" s="270">
        <f>+L13/'18'!L13*1000</f>
        <v>8.1967213114754109</v>
      </c>
      <c r="N13" s="274">
        <f>+'23'!N13+'22'!N13</f>
        <v>3</v>
      </c>
      <c r="O13" s="270">
        <f>+N13/'18'!N13*1000</f>
        <v>19.736842105263158</v>
      </c>
      <c r="P13" s="274">
        <f>+'23'!P13+'22'!P13</f>
        <v>0</v>
      </c>
      <c r="Q13" s="270">
        <f>+P13/'18'!P13*1000</f>
        <v>0</v>
      </c>
      <c r="R13" s="206">
        <f t="shared" si="2"/>
        <v>8</v>
      </c>
      <c r="S13" s="273">
        <f>+R13/'18'!R13*1000</f>
        <v>3.6463081130355515</v>
      </c>
      <c r="T13" s="274">
        <f>+'23'!T13+'22'!T13</f>
        <v>5</v>
      </c>
      <c r="U13" s="270">
        <f>+T13/'18'!T13*1000</f>
        <v>4.1946308724832218</v>
      </c>
      <c r="V13" s="274">
        <f>+'23'!V13+'22'!V13</f>
        <v>0</v>
      </c>
      <c r="W13" s="270">
        <f>+V13/'18'!V13*1000</f>
        <v>0</v>
      </c>
      <c r="X13" s="274">
        <f>+'23'!X13+'22'!X13</f>
        <v>0</v>
      </c>
      <c r="Y13" s="270">
        <f>+X13/'18'!X13*1000</f>
        <v>0</v>
      </c>
      <c r="Z13" s="274">
        <f>+'23'!Z13+'22'!Z13</f>
        <v>1</v>
      </c>
      <c r="AA13" s="270">
        <f>+Z13/'18'!Z13*1000</f>
        <v>7.9365079365079358</v>
      </c>
      <c r="AB13" s="274">
        <f>+'23'!AB13+'22'!AB13</f>
        <v>0</v>
      </c>
      <c r="AC13" s="270">
        <f>+AB13/'18'!AB13*1000</f>
        <v>0</v>
      </c>
      <c r="AD13" s="274">
        <f>+'23'!AD13+'22'!AD13</f>
        <v>2</v>
      </c>
      <c r="AE13" s="259">
        <f>+AD13/'18'!AD13*1000</f>
        <v>10.256410256410257</v>
      </c>
    </row>
    <row r="14" spans="1:31" s="6" customFormat="1" ht="27.75" customHeight="1">
      <c r="A14" s="258">
        <f>+'23'!A14</f>
        <v>2009</v>
      </c>
      <c r="B14" s="274">
        <f>+'23'!B14+'22'!B14</f>
        <v>1997</v>
      </c>
      <c r="C14" s="270">
        <f>+B14/'18'!B14*1000</f>
        <v>7.917063114494133</v>
      </c>
      <c r="D14" s="274">
        <f>+'23'!D14+'22'!D14</f>
        <v>200</v>
      </c>
      <c r="E14" s="270">
        <f>+D14/'18'!D14*1000</f>
        <v>8.4263745523488502</v>
      </c>
      <c r="F14" s="206">
        <f t="shared" si="0"/>
        <v>32</v>
      </c>
      <c r="G14" s="259">
        <f>+F14/'18'!F14*1000</f>
        <v>8.6439762290653697</v>
      </c>
      <c r="H14" s="272">
        <f t="shared" si="1"/>
        <v>12</v>
      </c>
      <c r="I14" s="273">
        <f>+H14/'18'!H14*1000</f>
        <v>7.8226857887874841</v>
      </c>
      <c r="J14" s="274">
        <f>+'23'!J14+'22'!J14</f>
        <v>7</v>
      </c>
      <c r="K14" s="270">
        <f>+J14/'18'!J14*1000</f>
        <v>7.1065989847715736</v>
      </c>
      <c r="L14" s="274">
        <f>+'23'!L14+'22'!L14</f>
        <v>0</v>
      </c>
      <c r="M14" s="270">
        <f>+L14/'18'!L14*1000</f>
        <v>0</v>
      </c>
      <c r="N14" s="274">
        <f>+'23'!N14+'22'!N14</f>
        <v>3</v>
      </c>
      <c r="O14" s="270">
        <f>+N14/'18'!N14*1000</f>
        <v>19.230769230769234</v>
      </c>
      <c r="P14" s="274">
        <f>+'23'!P14+'22'!P14</f>
        <v>2</v>
      </c>
      <c r="Q14" s="270">
        <f>+P14/'18'!P14*1000</f>
        <v>15.037593984962406</v>
      </c>
      <c r="R14" s="206">
        <f t="shared" si="2"/>
        <v>20</v>
      </c>
      <c r="S14" s="273">
        <f>+R14/'18'!R14*1000</f>
        <v>9.2250922509225095</v>
      </c>
      <c r="T14" s="274">
        <f>+'23'!T14+'22'!T14</f>
        <v>11</v>
      </c>
      <c r="U14" s="270">
        <f>+T14/'18'!T14*1000</f>
        <v>9.4097519247219843</v>
      </c>
      <c r="V14" s="274">
        <f>+'23'!V14+'22'!V14</f>
        <v>2</v>
      </c>
      <c r="W14" s="270">
        <f>+V14/'18'!V14*1000</f>
        <v>9.8522167487684733</v>
      </c>
      <c r="X14" s="274">
        <f>+'23'!X14+'22'!X14</f>
        <v>1</v>
      </c>
      <c r="Y14" s="270">
        <f>+X14/'18'!X14*1000</f>
        <v>5.8823529411764701</v>
      </c>
      <c r="Z14" s="274">
        <f>+'23'!Z14+'22'!Z14</f>
        <v>3</v>
      </c>
      <c r="AA14" s="270">
        <f>+Z14/'18'!Z14*1000</f>
        <v>29.702970297029701</v>
      </c>
      <c r="AB14" s="274">
        <f>+'23'!AB14+'22'!AB14</f>
        <v>0</v>
      </c>
      <c r="AC14" s="270">
        <f>+AB14/'18'!AB14*1000</f>
        <v>0</v>
      </c>
      <c r="AD14" s="274">
        <f>+'23'!AD14+'22'!AD14</f>
        <v>3</v>
      </c>
      <c r="AE14" s="259">
        <f>+AD14/'18'!AD14*1000</f>
        <v>16.574585635359114</v>
      </c>
    </row>
    <row r="15" spans="1:31" s="6" customFormat="1" ht="27.75" customHeight="1">
      <c r="A15" s="258">
        <f>+'23'!A15</f>
        <v>2010</v>
      </c>
      <c r="B15" s="274">
        <f>+'23'!B15+'22'!B15</f>
        <v>1862</v>
      </c>
      <c r="C15" s="270">
        <f>+B15/'18'!B15*1000</f>
        <v>7.4124498903259965</v>
      </c>
      <c r="D15" s="274">
        <f>+'23'!D15+'22'!D15</f>
        <v>176</v>
      </c>
      <c r="E15" s="270">
        <f>+D15/'18'!D15*1000</f>
        <v>7.3887489504617969</v>
      </c>
      <c r="F15" s="206">
        <f t="shared" si="0"/>
        <v>37</v>
      </c>
      <c r="G15" s="259">
        <f>+F15/'18'!F15*1000</f>
        <v>9.4243504839531322</v>
      </c>
      <c r="H15" s="272">
        <f t="shared" si="1"/>
        <v>14</v>
      </c>
      <c r="I15" s="273">
        <f>+H15/'18'!H15*1000</f>
        <v>8.4286574352799519</v>
      </c>
      <c r="J15" s="274">
        <f>+'23'!J15+'22'!J15</f>
        <v>7</v>
      </c>
      <c r="K15" s="270">
        <f>+J15/'18'!J15*1000</f>
        <v>6.5851364063969902</v>
      </c>
      <c r="L15" s="274">
        <f>+'23'!L15+'22'!L15</f>
        <v>3</v>
      </c>
      <c r="M15" s="270">
        <f>+L15/'18'!L15*1000</f>
        <v>12.048192771084338</v>
      </c>
      <c r="N15" s="274">
        <f>+'23'!N15+'22'!N15</f>
        <v>3</v>
      </c>
      <c r="O15" s="270">
        <f>+N15/'18'!N15*1000</f>
        <v>16.129032258064516</v>
      </c>
      <c r="P15" s="274">
        <f>+'23'!P15+'22'!P15</f>
        <v>1</v>
      </c>
      <c r="Q15" s="270">
        <f>+P15/'18'!P15*1000</f>
        <v>6.1349693251533743</v>
      </c>
      <c r="R15" s="206">
        <f t="shared" si="2"/>
        <v>23</v>
      </c>
      <c r="S15" s="273">
        <f>+R15/'18'!R15*1000</f>
        <v>10.154525386313466</v>
      </c>
      <c r="T15" s="274">
        <f>+'23'!T15+'22'!T15</f>
        <v>11</v>
      </c>
      <c r="U15" s="270">
        <f>+T15/'18'!T15*1000</f>
        <v>9.0386195562859495</v>
      </c>
      <c r="V15" s="274">
        <f>+'23'!V15+'22'!V15</f>
        <v>1</v>
      </c>
      <c r="W15" s="270">
        <f>+V15/'18'!V15*1000</f>
        <v>5.2631578947368416</v>
      </c>
      <c r="X15" s="274">
        <f>+'23'!X15+'22'!X15</f>
        <v>4</v>
      </c>
      <c r="Y15" s="270">
        <f>+X15/'18'!X15*1000</f>
        <v>20.725388601036268</v>
      </c>
      <c r="Z15" s="274">
        <f>+'23'!Z15+'22'!Z15</f>
        <v>1</v>
      </c>
      <c r="AA15" s="270">
        <f>+Z15/'18'!Z15*1000</f>
        <v>9.5238095238095255</v>
      </c>
      <c r="AB15" s="274">
        <f>+'23'!AB15+'22'!AB15</f>
        <v>4</v>
      </c>
      <c r="AC15" s="270">
        <f>+AB15/'18'!AB15*1000</f>
        <v>12.121212121212121</v>
      </c>
      <c r="AD15" s="274">
        <f>+'23'!AD15+'22'!AD15</f>
        <v>2</v>
      </c>
      <c r="AE15" s="259">
        <f>+AD15/'18'!AD15*1000</f>
        <v>8.695652173913043</v>
      </c>
    </row>
    <row r="16" spans="1:31" s="6" customFormat="1" ht="27.75" customHeight="1">
      <c r="A16" s="258">
        <f>+'23'!A16</f>
        <v>2011</v>
      </c>
      <c r="B16" s="274">
        <f>+'23'!B16+'22'!B16</f>
        <v>1908</v>
      </c>
      <c r="C16" s="270">
        <f>+B16/'18'!B16*1000</f>
        <v>7.6663760301190536</v>
      </c>
      <c r="D16" s="274">
        <f>+'23'!D16+'22'!D16</f>
        <v>168</v>
      </c>
      <c r="E16" s="270">
        <f>+D16/'18'!D16*1000</f>
        <v>7.0904026335781216</v>
      </c>
      <c r="F16" s="206">
        <f t="shared" si="0"/>
        <v>29</v>
      </c>
      <c r="G16" s="259">
        <f>+F16/'18'!F16*1000</f>
        <v>7.8420767982693338</v>
      </c>
      <c r="H16" s="272">
        <f t="shared" si="1"/>
        <v>11</v>
      </c>
      <c r="I16" s="273">
        <f>+H16/'18'!H16*1000</f>
        <v>7.2799470549305099</v>
      </c>
      <c r="J16" s="274">
        <f>+'23'!J16+'22'!J16</f>
        <v>7</v>
      </c>
      <c r="K16" s="270">
        <f>+J16/'18'!J16*1000</f>
        <v>7.2239422084623319</v>
      </c>
      <c r="L16" s="274">
        <f>+'23'!L16+'22'!L16</f>
        <v>3</v>
      </c>
      <c r="M16" s="270">
        <f>+L16/'18'!L16*1000</f>
        <v>12.931034482758621</v>
      </c>
      <c r="N16" s="274">
        <f>+'23'!N16+'22'!N16</f>
        <v>0</v>
      </c>
      <c r="O16" s="270">
        <f>+N16/'18'!N16*1000</f>
        <v>0</v>
      </c>
      <c r="P16" s="274">
        <f>+'23'!P16+'22'!P16</f>
        <v>1</v>
      </c>
      <c r="Q16" s="270">
        <f>+P16/'18'!P16*1000</f>
        <v>6.9930069930069934</v>
      </c>
      <c r="R16" s="206">
        <f t="shared" si="2"/>
        <v>18</v>
      </c>
      <c r="S16" s="273">
        <f>+R16/'18'!R16*1000</f>
        <v>8.2304526748971192</v>
      </c>
      <c r="T16" s="274">
        <f>+'23'!T16+'22'!T16</f>
        <v>8</v>
      </c>
      <c r="U16" s="270">
        <f>+T16/'18'!T16*1000</f>
        <v>7.1428571428571423</v>
      </c>
      <c r="V16" s="274">
        <f>+'23'!V16+'22'!V16</f>
        <v>2</v>
      </c>
      <c r="W16" s="270">
        <f>+V16/'18'!V16*1000</f>
        <v>9.3896713615023479</v>
      </c>
      <c r="X16" s="274">
        <f>+'23'!X16+'22'!X16</f>
        <v>2</v>
      </c>
      <c r="Y16" s="270">
        <f>+X16/'18'!X16*1000</f>
        <v>7.9365079365079358</v>
      </c>
      <c r="Z16" s="274">
        <f>+'23'!Z16+'22'!Z16</f>
        <v>0</v>
      </c>
      <c r="AA16" s="270">
        <f>+Z16/'18'!Z16*1000</f>
        <v>0</v>
      </c>
      <c r="AB16" s="274">
        <f>+'23'!AB16+'22'!AB16</f>
        <v>6</v>
      </c>
      <c r="AC16" s="270">
        <f>+AB16/'18'!AB16*1000</f>
        <v>18.518518518518519</v>
      </c>
      <c r="AD16" s="274">
        <f>+'23'!AD16+'22'!AD16</f>
        <v>0</v>
      </c>
      <c r="AE16" s="259">
        <f>+AD16/'18'!AD16*1000</f>
        <v>0</v>
      </c>
    </row>
    <row r="17" spans="1:31" s="6" customFormat="1" ht="27.75" customHeight="1">
      <c r="A17" s="258">
        <f>+'23'!A17</f>
        <v>2012</v>
      </c>
      <c r="B17" s="274">
        <f>+'23'!B17+'22'!B17</f>
        <v>1812</v>
      </c>
      <c r="C17" s="270">
        <f>+B17/'18'!B17*1000</f>
        <v>7.4305538469109074</v>
      </c>
      <c r="D17" s="274">
        <f>+'23'!D17+'22'!D17</f>
        <v>179</v>
      </c>
      <c r="E17" s="270">
        <f>+D17/'18'!D17*1000</f>
        <v>7.5786443117828863</v>
      </c>
      <c r="F17" s="206">
        <f t="shared" si="0"/>
        <v>34</v>
      </c>
      <c r="G17" s="259">
        <f>+F17/'18'!F17*1000</f>
        <v>8.9238845144356951</v>
      </c>
      <c r="H17" s="272">
        <f t="shared" si="1"/>
        <v>17</v>
      </c>
      <c r="I17" s="273">
        <f>+H17/'18'!H17*1000</f>
        <v>11.024643320363165</v>
      </c>
      <c r="J17" s="274">
        <f>+'23'!J17+'22'!J17</f>
        <v>14</v>
      </c>
      <c r="K17" s="270">
        <f>+J17/'18'!J17*1000</f>
        <v>14.629049111807733</v>
      </c>
      <c r="L17" s="274">
        <f>+'23'!L17+'22'!L17</f>
        <v>0</v>
      </c>
      <c r="M17" s="270">
        <f>+L17/'18'!L17*1000</f>
        <v>0</v>
      </c>
      <c r="N17" s="274">
        <f>+'23'!N17+'22'!N17</f>
        <v>3</v>
      </c>
      <c r="O17" s="270">
        <f>+N17/'18'!N17*1000</f>
        <v>15.625</v>
      </c>
      <c r="P17" s="274">
        <f>+'23'!P17+'22'!P17</f>
        <v>0</v>
      </c>
      <c r="Q17" s="270">
        <f>+P17/'18'!P17*1000</f>
        <v>0</v>
      </c>
      <c r="R17" s="206">
        <f t="shared" si="2"/>
        <v>17</v>
      </c>
      <c r="S17" s="273">
        <f>+R17/'18'!R17*1000</f>
        <v>7.4955908289241622</v>
      </c>
      <c r="T17" s="274">
        <f>+'23'!T17+'22'!T17</f>
        <v>13</v>
      </c>
      <c r="U17" s="270">
        <f>+T17/'18'!T17*1000</f>
        <v>10.788381742738588</v>
      </c>
      <c r="V17" s="274">
        <f>+'23'!V17+'22'!V17</f>
        <v>1</v>
      </c>
      <c r="W17" s="270">
        <f>+V17/'18'!V17*1000</f>
        <v>4.9504950495049505</v>
      </c>
      <c r="X17" s="274">
        <f>+'23'!X17+'22'!X17</f>
        <v>2</v>
      </c>
      <c r="Y17" s="270">
        <f>+X17/'18'!X17*1000</f>
        <v>10.101010101010102</v>
      </c>
      <c r="Z17" s="274">
        <f>+'23'!Z17+'22'!Z17</f>
        <v>0</v>
      </c>
      <c r="AA17" s="270">
        <f>+Z17/'18'!Z17*1000</f>
        <v>0</v>
      </c>
      <c r="AB17" s="274">
        <f>+'23'!AB17+'22'!AB17</f>
        <v>1</v>
      </c>
      <c r="AC17" s="270">
        <f>+AB17/'18'!AB16*1000</f>
        <v>3.0864197530864197</v>
      </c>
      <c r="AD17" s="274">
        <f>+'23'!AD17+'22'!AD17</f>
        <v>0</v>
      </c>
      <c r="AE17" s="259">
        <f>+AD17/'18'!AD16*1000</f>
        <v>0</v>
      </c>
    </row>
    <row r="18" spans="1:31" s="6" customFormat="1" ht="27.75" customHeight="1">
      <c r="A18" s="258">
        <f>+'23'!A18</f>
        <v>2013</v>
      </c>
      <c r="B18" s="274">
        <f>+'23'!B18+'22'!B18</f>
        <v>1692</v>
      </c>
      <c r="C18" s="270">
        <f>+B18/'18'!B18*1000</f>
        <v>6.991591082828867</v>
      </c>
      <c r="D18" s="274">
        <f>+'23'!D18+'22'!D18</f>
        <v>156</v>
      </c>
      <c r="E18" s="270">
        <f>+D18/'18'!D18*1000</f>
        <v>6.7453625632377738</v>
      </c>
      <c r="F18" s="206">
        <f t="shared" si="0"/>
        <v>23</v>
      </c>
      <c r="G18" s="259">
        <f>+F18/'18'!F18*1000</f>
        <v>6.1877858488027986</v>
      </c>
      <c r="H18" s="272">
        <f t="shared" si="1"/>
        <v>8</v>
      </c>
      <c r="I18" s="273">
        <f>+H18/'18'!H18*1000</f>
        <v>5.2219321148825069</v>
      </c>
      <c r="J18" s="274">
        <f>+'23'!J18+'22'!J18</f>
        <v>5</v>
      </c>
      <c r="K18" s="270">
        <f>+J18/'18'!J18*1000</f>
        <v>5.2576235541535228</v>
      </c>
      <c r="L18" s="274">
        <f>+'23'!L18+'22'!L18</f>
        <v>2</v>
      </c>
      <c r="M18" s="270">
        <f>+L18/'18'!L18*1000</f>
        <v>7.4074074074074074</v>
      </c>
      <c r="N18" s="274">
        <f>+'23'!N18+'22'!N18</f>
        <v>0</v>
      </c>
      <c r="O18" s="270">
        <f>+N18/'18'!N18*1000</f>
        <v>0</v>
      </c>
      <c r="P18" s="274">
        <f>+'23'!P18+'22'!P18</f>
        <v>1</v>
      </c>
      <c r="Q18" s="270">
        <f>+P18/'18'!P18*1000</f>
        <v>6.9444444444444438</v>
      </c>
      <c r="R18" s="206">
        <f t="shared" si="2"/>
        <v>15</v>
      </c>
      <c r="S18" s="273">
        <f>+R18/'18'!R18*1000</f>
        <v>6.864988558352402</v>
      </c>
      <c r="T18" s="274">
        <f>+'23'!T18+'22'!T18</f>
        <v>10</v>
      </c>
      <c r="U18" s="270">
        <f>+T18/'18'!T18*1000</f>
        <v>9.025270758122744</v>
      </c>
      <c r="V18" s="274">
        <f>+'23'!V18+'22'!V18</f>
        <v>2</v>
      </c>
      <c r="W18" s="270">
        <f>+V18/'18'!V18*1000</f>
        <v>9.6153846153846168</v>
      </c>
      <c r="X18" s="274">
        <f>+'23'!X18+'22'!X18</f>
        <v>0</v>
      </c>
      <c r="Y18" s="270">
        <f>+X18/'18'!X18*1000</f>
        <v>0</v>
      </c>
      <c r="Z18" s="274">
        <f>+'23'!Z18+'22'!Z18</f>
        <v>1</v>
      </c>
      <c r="AA18" s="270">
        <f>+Z18/'18'!Z18*1000</f>
        <v>11.363636363636363</v>
      </c>
      <c r="AB18" s="274">
        <f>+'23'!AB18+'22'!AB18</f>
        <v>1</v>
      </c>
      <c r="AC18" s="270">
        <f>+AB18/'18'!AB18*1000</f>
        <v>2.6666666666666665</v>
      </c>
      <c r="AD18" s="274">
        <f>+'23'!AD18+'22'!AD18</f>
        <v>1</v>
      </c>
      <c r="AE18" s="259">
        <f>+AD18/'18'!AD18*1000</f>
        <v>5.1546391752577323</v>
      </c>
    </row>
    <row r="19" spans="1:31" s="6" customFormat="1" ht="27.75" customHeight="1">
      <c r="A19" s="258">
        <f>+'23'!A19</f>
        <v>2014</v>
      </c>
      <c r="B19" s="206"/>
      <c r="C19" s="271"/>
      <c r="D19" s="206"/>
      <c r="E19" s="271"/>
      <c r="F19" s="206">
        <f>+J19+L19+N19+P19+T19+V19+X19+Z19+AB19+AD19</f>
        <v>28</v>
      </c>
      <c r="G19" s="259">
        <f>+F19/'18'!F19*1000</f>
        <v>7.4606981081801225</v>
      </c>
      <c r="H19" s="272">
        <f>+J19+L19+N19+P19</f>
        <v>8</v>
      </c>
      <c r="I19" s="273">
        <f>+H19/'18'!H19*1000</f>
        <v>5.1249199231262006</v>
      </c>
      <c r="J19" s="274">
        <f>+'23'!J19+'22'!J19</f>
        <v>4</v>
      </c>
      <c r="K19" s="270">
        <f>+J19/'18'!J19*1000</f>
        <v>3.90625</v>
      </c>
      <c r="L19" s="274">
        <f>+'23'!L19+'22'!L19</f>
        <v>2</v>
      </c>
      <c r="M19" s="270">
        <f>+L19/'18'!L19*1000</f>
        <v>7.8740157480314963</v>
      </c>
      <c r="N19" s="274">
        <f>+'23'!N19+'22'!N19</f>
        <v>0</v>
      </c>
      <c r="O19" s="270">
        <f>+N19/'18'!N19*1000</f>
        <v>0</v>
      </c>
      <c r="P19" s="274">
        <f>+'23'!P19+'22'!P19</f>
        <v>2</v>
      </c>
      <c r="Q19" s="270">
        <f>+P19/'18'!P19*1000</f>
        <v>15.151515151515152</v>
      </c>
      <c r="R19" s="206">
        <f>+T19+V19+X19+Z19+AB19+AD19</f>
        <v>20</v>
      </c>
      <c r="S19" s="273">
        <f>+R19/'18'!R19*1000</f>
        <v>9.1240875912408743</v>
      </c>
      <c r="T19" s="274">
        <f>+'23'!T19+'22'!T19</f>
        <v>13</v>
      </c>
      <c r="U19" s="270">
        <f>+T19/'18'!T19*1000</f>
        <v>11.807447774750226</v>
      </c>
      <c r="V19" s="274">
        <f>+'23'!V19+'22'!V19</f>
        <v>2</v>
      </c>
      <c r="W19" s="270">
        <f>+V19/'18'!V19*1000</f>
        <v>10.309278350515465</v>
      </c>
      <c r="X19" s="274">
        <f>+'23'!X19+'22'!X19</f>
        <v>0</v>
      </c>
      <c r="Y19" s="270">
        <f>+X19/'18'!X19*1000</f>
        <v>0</v>
      </c>
      <c r="Z19" s="274">
        <f>+'23'!Z19+'22'!Z19</f>
        <v>2</v>
      </c>
      <c r="AA19" s="270">
        <f>+Z19/'18'!Z19*1000</f>
        <v>17.391304347826086</v>
      </c>
      <c r="AB19" s="274">
        <f>+'23'!AB19+'22'!AB19</f>
        <v>2</v>
      </c>
      <c r="AC19" s="270">
        <f>+AB19/'18'!AB19*1000</f>
        <v>5.1020408163265305</v>
      </c>
      <c r="AD19" s="274">
        <f>+'23'!AD19+'22'!AD19</f>
        <v>1</v>
      </c>
      <c r="AE19" s="259">
        <f>+AD19/'18'!AD19*1000</f>
        <v>5.0761421319796947</v>
      </c>
    </row>
    <row r="20" spans="1:31" s="6" customFormat="1" ht="27.75" customHeight="1">
      <c r="A20" s="258">
        <f>+'23'!A20</f>
        <v>2015</v>
      </c>
      <c r="B20" s="206"/>
      <c r="C20" s="271"/>
      <c r="D20" s="206"/>
      <c r="E20" s="271"/>
      <c r="F20" s="206">
        <f>+J20+L20+N20+P20+T20+V20+X20+Z20+AB20+AD20</f>
        <v>28</v>
      </c>
      <c r="G20" s="259">
        <f>+F20/'18'!F20*1000</f>
        <v>7.7497924162745644</v>
      </c>
      <c r="H20" s="272">
        <f>+J20+L20+N20+P20</f>
        <v>10</v>
      </c>
      <c r="I20" s="273">
        <f>+H20/'18'!H20*1000</f>
        <v>6.8493150684931505</v>
      </c>
      <c r="J20" s="274">
        <f>+'23'!J20+'22'!J20</f>
        <v>5</v>
      </c>
      <c r="K20" s="270">
        <f>+J20/'18'!J20*1000</f>
        <v>5.4112554112554108</v>
      </c>
      <c r="L20" s="274">
        <f>+'23'!L20+'22'!L20</f>
        <v>4</v>
      </c>
      <c r="M20" s="270">
        <f>+L20/'18'!L20*1000</f>
        <v>19.323671497584542</v>
      </c>
      <c r="N20" s="274">
        <f>+'23'!N20+'22'!N20</f>
        <v>1</v>
      </c>
      <c r="O20" s="270">
        <f>+N20/'18'!N20*1000</f>
        <v>5.2910052910052912</v>
      </c>
      <c r="P20" s="274">
        <f>+'23'!P20+'22'!P20</f>
        <v>0</v>
      </c>
      <c r="Q20" s="270">
        <f>+P20/'18'!P20*1000</f>
        <v>0</v>
      </c>
      <c r="R20" s="206">
        <f>+T20+V20+X20+Z20+AB20+AD20</f>
        <v>18</v>
      </c>
      <c r="S20" s="273">
        <f>+R20/'18'!R20*1000</f>
        <v>8.3604273107292144</v>
      </c>
      <c r="T20" s="274">
        <f>+'23'!T20+'22'!T20</f>
        <v>10</v>
      </c>
      <c r="U20" s="270">
        <f>+T20/'18'!T20*1000</f>
        <v>8.9605734767025087</v>
      </c>
      <c r="V20" s="274">
        <f>+'23'!V20+'22'!V20</f>
        <v>3</v>
      </c>
      <c r="W20" s="270">
        <f>+V20/'18'!V20*1000</f>
        <v>13.761467889908257</v>
      </c>
      <c r="X20" s="274">
        <f>+'23'!X20+'22'!X20</f>
        <v>3</v>
      </c>
      <c r="Y20" s="270">
        <f>+X20/'18'!X20*1000</f>
        <v>14.563106796116505</v>
      </c>
      <c r="Z20" s="274">
        <f>+'23'!Z20+'22'!Z20</f>
        <v>0</v>
      </c>
      <c r="AA20" s="270">
        <f>+Z20/'18'!Z20*1000</f>
        <v>0</v>
      </c>
      <c r="AB20" s="274">
        <f>+'23'!AB20+'22'!AB20</f>
        <v>2</v>
      </c>
      <c r="AC20" s="270">
        <f>+AB20/'18'!AB20*1000</f>
        <v>6.0060060060060056</v>
      </c>
      <c r="AD20" s="274">
        <f>+'23'!AD20+'22'!AD20</f>
        <v>0</v>
      </c>
      <c r="AE20" s="259">
        <f>+AD20/'18'!AD20*1000</f>
        <v>0</v>
      </c>
    </row>
    <row r="21" spans="1:31">
      <c r="A21" s="264"/>
      <c r="B21" s="209"/>
      <c r="C21" s="265"/>
      <c r="D21" s="209"/>
      <c r="E21" s="265"/>
      <c r="F21" s="215"/>
      <c r="G21" s="1065"/>
      <c r="H21" s="266"/>
      <c r="I21" s="266"/>
      <c r="J21" s="209"/>
      <c r="K21" s="265"/>
      <c r="L21" s="209"/>
      <c r="M21" s="265"/>
      <c r="N21" s="209"/>
      <c r="O21" s="265"/>
      <c r="P21" s="209"/>
      <c r="Q21" s="265"/>
      <c r="R21" s="266"/>
      <c r="S21" s="266"/>
      <c r="T21" s="209"/>
      <c r="U21" s="265"/>
      <c r="V21" s="209"/>
      <c r="W21" s="265"/>
      <c r="X21" s="209"/>
      <c r="Y21" s="265"/>
      <c r="Z21" s="209"/>
      <c r="AA21" s="265"/>
      <c r="AB21" s="209"/>
      <c r="AC21" s="265"/>
      <c r="AD21" s="266"/>
      <c r="AE21" s="265"/>
    </row>
    <row r="22" spans="1:31">
      <c r="A22" s="1"/>
      <c r="B22" s="220"/>
      <c r="C22" s="216"/>
      <c r="D22" s="216"/>
      <c r="E22" s="216"/>
      <c r="F22" s="216"/>
      <c r="G22" s="216"/>
      <c r="H22" s="216"/>
      <c r="I22" s="216"/>
      <c r="J22" s="216"/>
      <c r="K22" s="1"/>
      <c r="L22" s="1"/>
      <c r="M22" s="1"/>
      <c r="N22" s="1"/>
      <c r="O22" s="1"/>
      <c r="P22" s="1"/>
      <c r="Q22" s="1"/>
      <c r="R22" s="1"/>
      <c r="S22" s="1"/>
      <c r="T22" s="1"/>
      <c r="U22" s="1"/>
      <c r="V22" s="1"/>
      <c r="W22" s="1"/>
      <c r="X22" s="1"/>
      <c r="Y22" s="1"/>
      <c r="Z22" s="1"/>
      <c r="AA22" s="1"/>
      <c r="AB22" s="1"/>
      <c r="AC22" s="1"/>
      <c r="AD22" s="1"/>
      <c r="AE22" s="1"/>
    </row>
    <row r="23" spans="1:31">
      <c r="A23" s="1"/>
      <c r="B23" s="220" t="str">
        <f>+'21'!B23</f>
        <v>AÑO   2015  :   DATOS POR OCURRENCIA   (Provisorios)</v>
      </c>
      <c r="C23" s="220"/>
      <c r="D23" s="220"/>
      <c r="E23" s="220"/>
      <c r="F23" s="220"/>
      <c r="G23" s="220"/>
      <c r="H23" s="220"/>
      <c r="I23" s="220"/>
      <c r="J23" s="220"/>
      <c r="M23" s="1"/>
      <c r="N23" s="1"/>
      <c r="O23" s="1"/>
      <c r="P23" s="1"/>
      <c r="Q23" s="1"/>
      <c r="R23" s="1"/>
      <c r="S23" s="1"/>
      <c r="T23" s="1"/>
      <c r="U23" s="1"/>
      <c r="V23" s="1"/>
      <c r="W23" s="1"/>
      <c r="X23" s="1"/>
      <c r="Y23" s="1"/>
      <c r="Z23" s="1"/>
      <c r="AA23" s="1"/>
      <c r="AB23" s="1"/>
      <c r="AC23" s="1"/>
      <c r="AD23" s="1"/>
      <c r="AE23" s="1"/>
    </row>
    <row r="24" spans="1:31">
      <c r="A24" s="1"/>
      <c r="B24" s="216"/>
      <c r="C24" s="220" t="s">
        <v>694</v>
      </c>
      <c r="D24" s="220"/>
      <c r="E24" s="216"/>
      <c r="F24" s="216"/>
      <c r="G24" s="216"/>
      <c r="H24" s="216"/>
      <c r="I24" s="216"/>
      <c r="J24" s="216"/>
      <c r="K24" s="1"/>
      <c r="L24" s="1"/>
      <c r="M24" s="1"/>
      <c r="N24" s="1"/>
      <c r="O24" s="1"/>
      <c r="P24" s="1"/>
      <c r="Q24" s="1"/>
      <c r="R24" s="1"/>
      <c r="S24" s="1"/>
      <c r="T24" s="1"/>
      <c r="U24" s="1"/>
      <c r="V24" s="1"/>
      <c r="W24" s="1"/>
      <c r="X24" s="1"/>
      <c r="Y24" s="1"/>
      <c r="Z24" s="1"/>
      <c r="AA24" s="1"/>
      <c r="AB24" s="1"/>
      <c r="AC24" s="1"/>
      <c r="AD24" s="1"/>
      <c r="AE24" s="1"/>
    </row>
    <row r="25" spans="1:31">
      <c r="A25" s="1"/>
      <c r="B25" s="216"/>
      <c r="C25" s="216"/>
      <c r="D25" s="216"/>
      <c r="E25" s="216"/>
      <c r="F25" s="216"/>
      <c r="G25" s="216"/>
      <c r="H25" s="216"/>
      <c r="I25" s="216"/>
      <c r="J25" s="216"/>
      <c r="K25" s="1"/>
      <c r="L25" s="1"/>
      <c r="M25" s="1"/>
      <c r="N25" s="1"/>
      <c r="O25" s="1"/>
      <c r="P25" s="1"/>
      <c r="Q25" s="1"/>
      <c r="R25" s="1"/>
      <c r="S25" s="1"/>
      <c r="T25" s="1"/>
      <c r="U25" s="1"/>
      <c r="V25" s="1"/>
      <c r="W25" s="1"/>
      <c r="X25" s="1"/>
      <c r="Y25" s="1"/>
      <c r="Z25" s="1"/>
      <c r="AA25" s="1"/>
      <c r="AB25" s="1"/>
      <c r="AC25" s="1"/>
      <c r="AD25" s="1"/>
      <c r="AE25" s="1"/>
    </row>
    <row r="26" spans="1:31">
      <c r="B26" s="220"/>
      <c r="C26" s="220"/>
      <c r="D26" s="220"/>
      <c r="E26" s="220"/>
      <c r="F26" s="220"/>
      <c r="G26" s="220"/>
      <c r="H26" s="220"/>
      <c r="I26" s="220"/>
      <c r="J26" s="220"/>
    </row>
  </sheetData>
  <phoneticPr fontId="19" type="noConversion"/>
  <pageMargins left="0.78740157480314965" right="0.59055118110236227" top="1.7716535433070868" bottom="0.59055118110236227" header="0.51181102362204722" footer="0.51181102362204722"/>
  <pageSetup paperSize="5" scale="90" orientation="landscape" horizontalDpi="300" verticalDpi="3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
  <sheetViews>
    <sheetView topLeftCell="A18" zoomScaleNormal="100" workbookViewId="0">
      <selection activeCell="G13" sqref="G13"/>
    </sheetView>
  </sheetViews>
  <sheetFormatPr baseColWidth="10" defaultRowHeight="12.75"/>
  <cols>
    <col min="1" max="3" width="5.5703125" customWidth="1"/>
    <col min="4" max="4" width="4.5703125" customWidth="1"/>
    <col min="5" max="5" width="5.140625" customWidth="1"/>
    <col min="6" max="6" width="5.85546875" customWidth="1"/>
    <col min="7" max="7" width="5.28515625" customWidth="1"/>
    <col min="8" max="9" width="5.140625" customWidth="1"/>
    <col min="10" max="10" width="4.7109375" customWidth="1"/>
    <col min="11" max="11" width="5.85546875" customWidth="1"/>
    <col min="12" max="12" width="4.42578125" customWidth="1"/>
    <col min="13" max="13" width="5.85546875" customWidth="1"/>
    <col min="14" max="14" width="4.140625" customWidth="1"/>
    <col min="15" max="15" width="5.28515625" customWidth="1"/>
    <col min="16" max="16" width="4.28515625" customWidth="1"/>
    <col min="17" max="18" width="5.85546875" customWidth="1"/>
    <col min="19" max="19" width="5.28515625" customWidth="1"/>
    <col min="20" max="21" width="5" customWidth="1"/>
    <col min="22" max="22" width="4.28515625" customWidth="1"/>
    <col min="23" max="23" width="5.85546875" customWidth="1"/>
    <col min="24" max="24" width="4.28515625" customWidth="1"/>
    <col min="25" max="25" width="5.140625" customWidth="1"/>
    <col min="26" max="26" width="4.7109375" customWidth="1"/>
    <col min="27" max="27" width="5.28515625" customWidth="1"/>
    <col min="28" max="28" width="4.28515625" customWidth="1"/>
    <col min="29" max="29" width="5.140625" customWidth="1"/>
    <col min="30" max="30" width="4.5703125" customWidth="1"/>
    <col min="31" max="31" width="5" customWidth="1"/>
  </cols>
  <sheetData>
    <row r="1" spans="1:31">
      <c r="A1" s="148" t="s">
        <v>695</v>
      </c>
      <c r="B1" s="148"/>
      <c r="C1" s="148"/>
      <c r="D1" s="148"/>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row>
    <row r="2" spans="1:31">
      <c r="A2" s="148"/>
      <c r="B2" s="148"/>
      <c r="C2" s="148"/>
      <c r="D2" s="148"/>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row>
    <row r="3" spans="1:31">
      <c r="A3" s="148" t="str">
        <f>+'24'!A3</f>
        <v>AÑOS   2006  - 2015</v>
      </c>
      <c r="B3" s="148"/>
      <c r="C3" s="148"/>
      <c r="D3" s="148"/>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row>
    <row r="4" spans="1:31">
      <c r="A4" s="116"/>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row>
    <row r="5" spans="1:31">
      <c r="A5" s="1"/>
      <c r="B5" s="116"/>
      <c r="C5" s="11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row>
    <row r="6" spans="1:31" ht="18.75" customHeight="1">
      <c r="A6" s="286"/>
      <c r="B6" s="287"/>
      <c r="C6" s="288"/>
      <c r="D6" s="287"/>
      <c r="E6" s="288"/>
      <c r="F6" s="287"/>
      <c r="G6" s="288"/>
      <c r="H6" s="243"/>
      <c r="I6" s="86"/>
      <c r="J6" s="121" t="s">
        <v>658</v>
      </c>
      <c r="K6" s="121"/>
      <c r="L6" s="121"/>
      <c r="M6" s="121"/>
      <c r="N6" s="121"/>
      <c r="O6" s="121"/>
      <c r="P6" s="121"/>
      <c r="Q6" s="121"/>
      <c r="R6" s="121"/>
      <c r="S6" s="121"/>
      <c r="T6" s="121"/>
      <c r="U6" s="121"/>
      <c r="V6" s="121"/>
      <c r="W6" s="121"/>
      <c r="X6" s="121"/>
      <c r="Y6" s="121"/>
      <c r="Z6" s="121"/>
      <c r="AA6" s="121"/>
      <c r="AB6" s="121"/>
      <c r="AC6" s="121"/>
      <c r="AD6" s="86"/>
      <c r="AE6" s="87"/>
    </row>
    <row r="7" spans="1:31">
      <c r="A7" s="249"/>
      <c r="B7" s="203"/>
      <c r="C7" s="250"/>
      <c r="D7" s="203"/>
      <c r="E7" s="252"/>
      <c r="F7" s="216" t="s">
        <v>666</v>
      </c>
      <c r="G7" s="278"/>
      <c r="H7" s="186" t="s">
        <v>667</v>
      </c>
      <c r="I7" s="246"/>
      <c r="J7" s="247"/>
      <c r="K7" s="248"/>
      <c r="L7" s="247"/>
      <c r="M7" s="248"/>
      <c r="N7" s="247"/>
      <c r="O7" s="248"/>
      <c r="P7" s="247"/>
      <c r="Q7" s="248"/>
      <c r="R7" s="186" t="s">
        <v>667</v>
      </c>
      <c r="S7" s="246"/>
      <c r="T7" s="247"/>
      <c r="U7" s="248"/>
      <c r="V7" s="247"/>
      <c r="W7" s="248"/>
      <c r="X7" s="247"/>
      <c r="Y7" s="248"/>
      <c r="Z7" s="220"/>
      <c r="AA7" s="248"/>
      <c r="AB7" s="247"/>
      <c r="AC7" s="248"/>
      <c r="AD7" s="247"/>
      <c r="AE7" s="248"/>
    </row>
    <row r="8" spans="1:31" ht="18.75" customHeight="1">
      <c r="A8" s="249" t="s">
        <v>659</v>
      </c>
      <c r="B8" s="203" t="s">
        <v>664</v>
      </c>
      <c r="C8" s="203"/>
      <c r="D8" s="203" t="s">
        <v>665</v>
      </c>
      <c r="E8" s="250"/>
      <c r="F8" s="203" t="s">
        <v>668</v>
      </c>
      <c r="G8" s="250"/>
      <c r="H8" s="203" t="s">
        <v>649</v>
      </c>
      <c r="I8" s="250"/>
      <c r="J8" s="203" t="s">
        <v>649</v>
      </c>
      <c r="K8" s="250"/>
      <c r="L8" s="251" t="s">
        <v>444</v>
      </c>
      <c r="M8" s="252"/>
      <c r="N8" s="203" t="s">
        <v>670</v>
      </c>
      <c r="O8" s="250"/>
      <c r="P8" s="203" t="s">
        <v>447</v>
      </c>
      <c r="Q8" s="250"/>
      <c r="R8" s="203" t="s">
        <v>671</v>
      </c>
      <c r="S8" s="250"/>
      <c r="T8" s="203" t="s">
        <v>671</v>
      </c>
      <c r="U8" s="250"/>
      <c r="V8" s="203" t="s">
        <v>411</v>
      </c>
      <c r="W8" s="250"/>
      <c r="X8" s="203" t="s">
        <v>429</v>
      </c>
      <c r="Y8" s="250"/>
      <c r="Z8" s="203" t="s">
        <v>434</v>
      </c>
      <c r="AA8" s="250"/>
      <c r="AB8" s="203" t="s">
        <v>672</v>
      </c>
      <c r="AC8" s="250"/>
      <c r="AD8" s="203" t="s">
        <v>436</v>
      </c>
      <c r="AE8" s="250"/>
    </row>
    <row r="9" spans="1:31" ht="20.25" customHeight="1">
      <c r="A9" s="253"/>
      <c r="B9" s="254" t="s">
        <v>681</v>
      </c>
      <c r="C9" s="256" t="s">
        <v>682</v>
      </c>
      <c r="D9" s="254" t="s">
        <v>681</v>
      </c>
      <c r="E9" s="256" t="s">
        <v>682</v>
      </c>
      <c r="F9" s="254" t="s">
        <v>681</v>
      </c>
      <c r="G9" s="256" t="s">
        <v>682</v>
      </c>
      <c r="H9" s="254" t="s">
        <v>681</v>
      </c>
      <c r="I9" s="255" t="s">
        <v>682</v>
      </c>
      <c r="J9" s="254" t="s">
        <v>681</v>
      </c>
      <c r="K9" s="255" t="s">
        <v>682</v>
      </c>
      <c r="L9" s="254" t="s">
        <v>681</v>
      </c>
      <c r="M9" s="256" t="s">
        <v>682</v>
      </c>
      <c r="N9" s="254" t="s">
        <v>681</v>
      </c>
      <c r="O9" s="256" t="s">
        <v>682</v>
      </c>
      <c r="P9" s="254" t="s">
        <v>681</v>
      </c>
      <c r="Q9" s="256" t="s">
        <v>682</v>
      </c>
      <c r="R9" s="254" t="s">
        <v>681</v>
      </c>
      <c r="S9" s="255" t="s">
        <v>682</v>
      </c>
      <c r="T9" s="254" t="s">
        <v>681</v>
      </c>
      <c r="U9" s="256" t="s">
        <v>682</v>
      </c>
      <c r="V9" s="254" t="s">
        <v>681</v>
      </c>
      <c r="W9" s="256" t="s">
        <v>682</v>
      </c>
      <c r="X9" s="254" t="s">
        <v>681</v>
      </c>
      <c r="Y9" s="256" t="s">
        <v>682</v>
      </c>
      <c r="Z9" s="254" t="s">
        <v>681</v>
      </c>
      <c r="AA9" s="256" t="s">
        <v>682</v>
      </c>
      <c r="AB9" s="254" t="s">
        <v>681</v>
      </c>
      <c r="AC9" s="256" t="s">
        <v>682</v>
      </c>
      <c r="AD9" s="254" t="s">
        <v>681</v>
      </c>
      <c r="AE9" s="256" t="s">
        <v>682</v>
      </c>
    </row>
    <row r="10" spans="1:31">
      <c r="A10" s="89"/>
      <c r="B10" s="283"/>
      <c r="C10" s="284"/>
      <c r="D10" s="283"/>
      <c r="E10" s="284"/>
      <c r="F10" s="283"/>
      <c r="G10" s="284"/>
      <c r="H10" s="285"/>
      <c r="I10" s="285"/>
      <c r="J10" s="283"/>
      <c r="K10" s="284"/>
      <c r="L10" s="283"/>
      <c r="M10" s="284"/>
      <c r="N10" s="283"/>
      <c r="O10" s="284"/>
      <c r="P10" s="283"/>
      <c r="Q10" s="284"/>
      <c r="R10" s="285"/>
      <c r="S10" s="285"/>
      <c r="T10" s="283"/>
      <c r="U10" s="284"/>
      <c r="V10" s="283"/>
      <c r="W10" s="284"/>
      <c r="X10" s="283"/>
      <c r="Y10" s="284"/>
      <c r="Z10" s="283"/>
      <c r="AA10" s="284"/>
      <c r="AB10" s="283"/>
      <c r="AC10" s="284"/>
      <c r="AD10" s="285"/>
      <c r="AE10" s="284"/>
    </row>
    <row r="11" spans="1:31" s="6" customFormat="1" ht="26.25" customHeight="1">
      <c r="A11" s="258">
        <f>+'24'!A11</f>
        <v>2006</v>
      </c>
      <c r="B11" s="206">
        <v>47</v>
      </c>
      <c r="C11" s="271">
        <f>+B11/'18'!B11*10000</f>
        <v>1.9297013889744252</v>
      </c>
      <c r="D11" s="260">
        <v>11</v>
      </c>
      <c r="E11" s="271">
        <f>+D11/'18'!D11*10000</f>
        <v>4.8218121246657608</v>
      </c>
      <c r="F11" s="206">
        <f t="shared" ref="F11:F15" si="0">+J11+L11+N11+P11+T11+V11+X11+Z11+AB11+AD11</f>
        <v>3</v>
      </c>
      <c r="G11" s="270">
        <f>+F11/'18'!F11*10000</f>
        <v>8.4793668739400783</v>
      </c>
      <c r="H11" s="206">
        <f t="shared" ref="H11:H15" si="1">+J11+L11+N11+P11</f>
        <v>2</v>
      </c>
      <c r="I11" s="273">
        <f>+H11/'18'!H11*10000</f>
        <v>14.174344436569809</v>
      </c>
      <c r="J11" s="206">
        <v>2</v>
      </c>
      <c r="K11" s="270">
        <f>+J11/'18'!J11*10000</f>
        <v>21.482277121374864</v>
      </c>
      <c r="L11" s="260">
        <v>0</v>
      </c>
      <c r="M11" s="263">
        <f>+L11/'18'!L11*10000</f>
        <v>0</v>
      </c>
      <c r="N11" s="260">
        <v>0</v>
      </c>
      <c r="O11" s="263">
        <f>+N11/'18'!N11*10000</f>
        <v>0</v>
      </c>
      <c r="P11" s="260">
        <v>0</v>
      </c>
      <c r="Q11" s="263">
        <f>+P11/'18'!P11*10000</f>
        <v>0</v>
      </c>
      <c r="R11" s="207">
        <f t="shared" ref="R11:R15" si="2">+T11+V11+X11+Z11+AB11+AD11</f>
        <v>1</v>
      </c>
      <c r="S11" s="273">
        <f>+R11/'18'!R11*10000</f>
        <v>4.7014574518100609</v>
      </c>
      <c r="T11" s="206">
        <v>1</v>
      </c>
      <c r="U11" s="263">
        <f>+T11/'18'!T11*10000</f>
        <v>8.9126559714795004</v>
      </c>
      <c r="V11" s="260">
        <v>0</v>
      </c>
      <c r="W11" s="263">
        <f>+V11/'18'!V11*10000</f>
        <v>0</v>
      </c>
      <c r="X11" s="260">
        <v>0</v>
      </c>
      <c r="Y11" s="263">
        <f>+X11/'18'!X11*10000</f>
        <v>0</v>
      </c>
      <c r="Z11" s="260">
        <v>0</v>
      </c>
      <c r="AA11" s="263">
        <f>+Z11/'18'!Z11*10000</f>
        <v>0</v>
      </c>
      <c r="AB11" s="260">
        <v>0</v>
      </c>
      <c r="AC11" s="263">
        <f>+AB11/'18'!AB11*10000</f>
        <v>0</v>
      </c>
      <c r="AD11" s="261">
        <v>0</v>
      </c>
      <c r="AE11" s="263">
        <f>+AD11/'18'!AD11*10000</f>
        <v>0</v>
      </c>
    </row>
    <row r="12" spans="1:31" s="6" customFormat="1" ht="26.25" customHeight="1">
      <c r="A12" s="258">
        <f>+'24'!A12</f>
        <v>2007</v>
      </c>
      <c r="B12" s="206">
        <v>44</v>
      </c>
      <c r="C12" s="271">
        <f>+B12/'18'!B12*10000</f>
        <v>1.8177761986994638</v>
      </c>
      <c r="D12" s="260">
        <v>4</v>
      </c>
      <c r="E12" s="271">
        <f>+D12/'18'!D12*10000</f>
        <v>1.7534630896019641</v>
      </c>
      <c r="F12" s="206">
        <f t="shared" si="0"/>
        <v>0</v>
      </c>
      <c r="G12" s="270">
        <f>+F12/'18'!F12*10000</f>
        <v>0</v>
      </c>
      <c r="H12" s="206">
        <f t="shared" si="1"/>
        <v>0</v>
      </c>
      <c r="I12" s="273">
        <f>+H12/'18'!H12*10000</f>
        <v>0</v>
      </c>
      <c r="J12" s="206">
        <v>0</v>
      </c>
      <c r="K12" s="270">
        <f>+J12/'18'!J12*10000</f>
        <v>0</v>
      </c>
      <c r="L12" s="260">
        <v>0</v>
      </c>
      <c r="M12" s="263">
        <f>+L12/'18'!L12*10000</f>
        <v>0</v>
      </c>
      <c r="N12" s="260">
        <v>0</v>
      </c>
      <c r="O12" s="263">
        <f>+N12/'18'!N12*10000</f>
        <v>0</v>
      </c>
      <c r="P12" s="260">
        <v>0</v>
      </c>
      <c r="Q12" s="263">
        <f>+P12/'18'!P12*10000</f>
        <v>0</v>
      </c>
      <c r="R12" s="207">
        <f t="shared" si="2"/>
        <v>0</v>
      </c>
      <c r="S12" s="273">
        <f>+R12/'18'!R12*10000</f>
        <v>0</v>
      </c>
      <c r="T12" s="206">
        <v>0</v>
      </c>
      <c r="U12" s="263">
        <f>+T12/'18'!T12*10000</f>
        <v>0</v>
      </c>
      <c r="V12" s="260">
        <v>0</v>
      </c>
      <c r="W12" s="263">
        <f>+V12/'18'!V12*10000</f>
        <v>0</v>
      </c>
      <c r="X12" s="260">
        <v>0</v>
      </c>
      <c r="Y12" s="263">
        <f>+X12/'18'!X12*10000</f>
        <v>0</v>
      </c>
      <c r="Z12" s="260">
        <v>0</v>
      </c>
      <c r="AA12" s="263">
        <f>+Z12/'18'!Z12*10000</f>
        <v>0</v>
      </c>
      <c r="AB12" s="260">
        <v>0</v>
      </c>
      <c r="AC12" s="263">
        <f>+AB12/'18'!AB12*10000</f>
        <v>0</v>
      </c>
      <c r="AD12" s="261">
        <v>0</v>
      </c>
      <c r="AE12" s="263">
        <f>+AD12/'18'!AD12*10000</f>
        <v>0</v>
      </c>
    </row>
    <row r="13" spans="1:31" s="6" customFormat="1" ht="26.25" customHeight="1">
      <c r="A13" s="258">
        <f>+'24'!A13</f>
        <v>2008</v>
      </c>
      <c r="B13" s="206">
        <v>41</v>
      </c>
      <c r="C13" s="271">
        <f>+B13/'18'!B13*10000</f>
        <v>1.6507895605678715</v>
      </c>
      <c r="D13" s="260">
        <v>3</v>
      </c>
      <c r="E13" s="271">
        <f>+D13/'18'!D13*10000</f>
        <v>1.2929362582424686</v>
      </c>
      <c r="F13" s="206">
        <f t="shared" si="0"/>
        <v>0</v>
      </c>
      <c r="G13" s="270">
        <f>+F13/'18'!F13*10000</f>
        <v>0</v>
      </c>
      <c r="H13" s="206">
        <f t="shared" si="1"/>
        <v>0</v>
      </c>
      <c r="I13" s="273">
        <f>+H13/'18'!H13*10000</f>
        <v>0</v>
      </c>
      <c r="J13" s="206">
        <v>0</v>
      </c>
      <c r="K13" s="270">
        <f>+J13/'18'!J13*10000</f>
        <v>0</v>
      </c>
      <c r="L13" s="260">
        <v>0</v>
      </c>
      <c r="M13" s="263">
        <f>+L13/'18'!L13*10000</f>
        <v>0</v>
      </c>
      <c r="N13" s="260">
        <v>0</v>
      </c>
      <c r="O13" s="263">
        <f>+N13/'18'!N13*10000</f>
        <v>0</v>
      </c>
      <c r="P13" s="260">
        <v>0</v>
      </c>
      <c r="Q13" s="263">
        <f>+P13/'18'!P13*10000</f>
        <v>0</v>
      </c>
      <c r="R13" s="207">
        <f t="shared" si="2"/>
        <v>0</v>
      </c>
      <c r="S13" s="273">
        <f>+R13/'18'!R13*10000</f>
        <v>0</v>
      </c>
      <c r="T13" s="206">
        <v>0</v>
      </c>
      <c r="U13" s="263">
        <f>+T13/'18'!T13*10000</f>
        <v>0</v>
      </c>
      <c r="V13" s="260">
        <v>0</v>
      </c>
      <c r="W13" s="263">
        <f>+V13/'18'!V13*10000</f>
        <v>0</v>
      </c>
      <c r="X13" s="260">
        <v>0</v>
      </c>
      <c r="Y13" s="263">
        <f>+X13/'18'!X13*10000</f>
        <v>0</v>
      </c>
      <c r="Z13" s="260">
        <v>0</v>
      </c>
      <c r="AA13" s="263">
        <f>+Z13/'18'!Z13*10000</f>
        <v>0</v>
      </c>
      <c r="AB13" s="260">
        <v>0</v>
      </c>
      <c r="AC13" s="263">
        <f>+AB13/'18'!AB13*10000</f>
        <v>0</v>
      </c>
      <c r="AD13" s="261">
        <v>0</v>
      </c>
      <c r="AE13" s="263">
        <f>+AD13/'18'!AD13*10000</f>
        <v>0</v>
      </c>
    </row>
    <row r="14" spans="1:31" s="6" customFormat="1" ht="26.25" customHeight="1">
      <c r="A14" s="258">
        <f>+'24'!A14</f>
        <v>2009</v>
      </c>
      <c r="B14" s="206">
        <v>50</v>
      </c>
      <c r="C14" s="271">
        <f>+B14/'18'!B14*10000</f>
        <v>1.9822391373295274</v>
      </c>
      <c r="D14" s="260">
        <v>5</v>
      </c>
      <c r="E14" s="271">
        <f>+D14/'18'!D14*10000</f>
        <v>2.106593638087213</v>
      </c>
      <c r="F14" s="206">
        <f t="shared" si="0"/>
        <v>2</v>
      </c>
      <c r="G14" s="270">
        <f>+F14/'18'!F14*10000</f>
        <v>5.4024851431658565</v>
      </c>
      <c r="H14" s="206">
        <f t="shared" si="1"/>
        <v>1</v>
      </c>
      <c r="I14" s="273">
        <f>+H14/'18'!H14*10000</f>
        <v>6.5189048239895699</v>
      </c>
      <c r="J14" s="206">
        <v>0</v>
      </c>
      <c r="K14" s="270">
        <f>+J14/'18'!J14*10000</f>
        <v>0</v>
      </c>
      <c r="L14" s="260">
        <v>0</v>
      </c>
      <c r="M14" s="263">
        <f>+L14/'18'!L14*10000</f>
        <v>0</v>
      </c>
      <c r="N14" s="260">
        <v>0</v>
      </c>
      <c r="O14" s="263">
        <f>+N14/'18'!N14*10000</f>
        <v>0</v>
      </c>
      <c r="P14" s="260">
        <v>1</v>
      </c>
      <c r="Q14" s="263">
        <f>+P14/'18'!P14*10000</f>
        <v>75.187969924812023</v>
      </c>
      <c r="R14" s="207">
        <f t="shared" si="2"/>
        <v>1</v>
      </c>
      <c r="S14" s="273">
        <f>+R14/'18'!R14*10000</f>
        <v>4.6125461254612548</v>
      </c>
      <c r="T14" s="206">
        <v>0</v>
      </c>
      <c r="U14" s="263">
        <f>+T14/'18'!T14*10000</f>
        <v>0</v>
      </c>
      <c r="V14" s="260">
        <v>0</v>
      </c>
      <c r="W14" s="263">
        <f>+V14/'18'!V14*10000</f>
        <v>0</v>
      </c>
      <c r="X14" s="260">
        <v>1</v>
      </c>
      <c r="Y14" s="263">
        <f>+X14/'18'!X14*10000</f>
        <v>58.823529411764703</v>
      </c>
      <c r="Z14" s="260">
        <v>0</v>
      </c>
      <c r="AA14" s="263">
        <f>+Z14/'18'!Z14*10000</f>
        <v>0</v>
      </c>
      <c r="AB14" s="260">
        <v>0</v>
      </c>
      <c r="AC14" s="263">
        <f>+AB14/'18'!AB14*10000</f>
        <v>0</v>
      </c>
      <c r="AD14" s="261">
        <v>0</v>
      </c>
      <c r="AE14" s="263">
        <f>+AD14/'18'!AD14*10000</f>
        <v>0</v>
      </c>
    </row>
    <row r="15" spans="1:31" s="6" customFormat="1" ht="26.25" customHeight="1">
      <c r="A15" s="258">
        <f>+'24'!A15</f>
        <v>2010</v>
      </c>
      <c r="B15" s="206">
        <v>46</v>
      </c>
      <c r="C15" s="271">
        <f>+B15/'18'!B15*10000</f>
        <v>1.8312174809613095</v>
      </c>
      <c r="D15" s="260">
        <v>4</v>
      </c>
      <c r="E15" s="271">
        <f>+D15/'18'!D15*10000</f>
        <v>1.6792611251049538</v>
      </c>
      <c r="F15" s="206">
        <f t="shared" si="0"/>
        <v>0</v>
      </c>
      <c r="G15" s="270">
        <f>+F15/'18'!F15*10000</f>
        <v>0</v>
      </c>
      <c r="H15" s="206">
        <f t="shared" si="1"/>
        <v>0</v>
      </c>
      <c r="I15" s="273">
        <f>+H15/'18'!H15*10000</f>
        <v>0</v>
      </c>
      <c r="J15" s="206">
        <v>0</v>
      </c>
      <c r="K15" s="270">
        <f>+J15/'18'!J15*10000</f>
        <v>0</v>
      </c>
      <c r="L15" s="260">
        <v>0</v>
      </c>
      <c r="M15" s="263">
        <f>+L15/'18'!L15*10000</f>
        <v>0</v>
      </c>
      <c r="N15" s="260">
        <v>0</v>
      </c>
      <c r="O15" s="263">
        <f>+N15/'18'!N15*10000</f>
        <v>0</v>
      </c>
      <c r="P15" s="260">
        <v>0</v>
      </c>
      <c r="Q15" s="263">
        <f>+P15/'18'!P15*10000</f>
        <v>0</v>
      </c>
      <c r="R15" s="207">
        <f t="shared" si="2"/>
        <v>0</v>
      </c>
      <c r="S15" s="273">
        <f>+R15/'18'!R15*10000</f>
        <v>0</v>
      </c>
      <c r="T15" s="206">
        <v>0</v>
      </c>
      <c r="U15" s="263">
        <f>+T15/'18'!T15*10000</f>
        <v>0</v>
      </c>
      <c r="V15" s="260">
        <v>0</v>
      </c>
      <c r="W15" s="263">
        <f>+V15/'18'!V15*10000</f>
        <v>0</v>
      </c>
      <c r="X15" s="260"/>
      <c r="Y15" s="263">
        <f>+X15/'18'!X15*10000</f>
        <v>0</v>
      </c>
      <c r="Z15" s="260">
        <v>0</v>
      </c>
      <c r="AA15" s="263">
        <f>+Z15/'18'!Z15*10000</f>
        <v>0</v>
      </c>
      <c r="AB15" s="260">
        <v>0</v>
      </c>
      <c r="AC15" s="263">
        <f>+AB15/'18'!AB15*10000</f>
        <v>0</v>
      </c>
      <c r="AD15" s="261">
        <v>0</v>
      </c>
      <c r="AE15" s="263">
        <f>+AD15/'18'!AD15*10000</f>
        <v>0</v>
      </c>
    </row>
    <row r="16" spans="1:31" s="6" customFormat="1" ht="26.25" customHeight="1">
      <c r="A16" s="258">
        <f>+'24'!A16</f>
        <v>2011</v>
      </c>
      <c r="B16" s="206">
        <v>46</v>
      </c>
      <c r="C16" s="271">
        <f>+B16/'18'!B16*10000</f>
        <v>1.8482877221461032</v>
      </c>
      <c r="D16" s="260">
        <v>0</v>
      </c>
      <c r="E16" s="271">
        <v>0</v>
      </c>
      <c r="F16" s="206">
        <f>+J16+L16+N16+P16+T16+V16+X16+Z16+AB16+AD16</f>
        <v>0</v>
      </c>
      <c r="G16" s="270">
        <f>+F16/'18'!F16*10000</f>
        <v>0</v>
      </c>
      <c r="H16" s="206">
        <f>+J16+L16+N16+P16</f>
        <v>0</v>
      </c>
      <c r="I16" s="273">
        <f>+H16/'18'!H16*10000</f>
        <v>0</v>
      </c>
      <c r="J16" s="206">
        <v>0</v>
      </c>
      <c r="K16" s="270">
        <f>+J16/'18'!J16*10000</f>
        <v>0</v>
      </c>
      <c r="L16" s="260">
        <v>0</v>
      </c>
      <c r="M16" s="263">
        <f>+L16/'18'!L16*10000</f>
        <v>0</v>
      </c>
      <c r="N16" s="260">
        <v>0</v>
      </c>
      <c r="O16" s="263">
        <f>+N16/'18'!N16*10000</f>
        <v>0</v>
      </c>
      <c r="P16" s="260">
        <v>0</v>
      </c>
      <c r="Q16" s="263">
        <f>+P16/'18'!P16*10000</f>
        <v>0</v>
      </c>
      <c r="R16" s="207">
        <f>+T16+V16+X16+Z16+AB16+AD16</f>
        <v>0</v>
      </c>
      <c r="S16" s="273">
        <f>+R16/'18'!R16*10000</f>
        <v>0</v>
      </c>
      <c r="T16" s="206">
        <v>0</v>
      </c>
      <c r="U16" s="263">
        <f>+T16/'18'!T16*10000</f>
        <v>0</v>
      </c>
      <c r="V16" s="260">
        <v>0</v>
      </c>
      <c r="W16" s="263">
        <f>+V16/'18'!V16*10000</f>
        <v>0</v>
      </c>
      <c r="X16" s="260"/>
      <c r="Y16" s="263">
        <f>+X16/'18'!X16*10000</f>
        <v>0</v>
      </c>
      <c r="Z16" s="260">
        <v>0</v>
      </c>
      <c r="AA16" s="263">
        <f>+Z16/'18'!Z16*10000</f>
        <v>0</v>
      </c>
      <c r="AB16" s="260">
        <v>0</v>
      </c>
      <c r="AC16" s="263">
        <f>+AB16/'18'!AB16*10000</f>
        <v>0</v>
      </c>
      <c r="AD16" s="261">
        <v>0</v>
      </c>
      <c r="AE16" s="263">
        <f>+AD16/'18'!AD16*10000</f>
        <v>0</v>
      </c>
    </row>
    <row r="17" spans="1:31" s="6" customFormat="1" ht="26.25" customHeight="1">
      <c r="A17" s="258">
        <f>+'24'!A17</f>
        <v>2012</v>
      </c>
      <c r="B17" s="206">
        <v>54</v>
      </c>
      <c r="C17" s="271">
        <f>+B17/'18'!B17*10000</f>
        <v>2.2144034643111974</v>
      </c>
      <c r="D17" s="260"/>
      <c r="E17" s="271"/>
      <c r="F17" s="206">
        <f>+J17+L17+N17+P17+T17+V17+X17+Z17+AB17+AD17</f>
        <v>1</v>
      </c>
      <c r="G17" s="270">
        <f>+F17/'18'!F17*10000</f>
        <v>2.6246719160104988</v>
      </c>
      <c r="H17" s="206">
        <f>+J17+L17+N17+P17</f>
        <v>1</v>
      </c>
      <c r="I17" s="273">
        <f>+H17/'18'!H17*10000</f>
        <v>6.4850843060959793</v>
      </c>
      <c r="J17" s="206"/>
      <c r="K17" s="270">
        <f>+J17/'18'!J17*10000</f>
        <v>0</v>
      </c>
      <c r="L17" s="260">
        <v>1</v>
      </c>
      <c r="M17" s="263">
        <f>+L17/'18'!L17*10000</f>
        <v>40.48582995951417</v>
      </c>
      <c r="N17" s="260"/>
      <c r="O17" s="263">
        <f>+N17/'18'!N17*10000</f>
        <v>0</v>
      </c>
      <c r="P17" s="260"/>
      <c r="Q17" s="263">
        <f>+P17/'18'!P17*10000</f>
        <v>0</v>
      </c>
      <c r="R17" s="207">
        <f>+T17+V17+X17+Z17+AB17+AD17</f>
        <v>0</v>
      </c>
      <c r="S17" s="273">
        <f>+R17/'18'!R17*10000</f>
        <v>0</v>
      </c>
      <c r="T17" s="206"/>
      <c r="U17" s="263">
        <f>+T17/'18'!T17*10000</f>
        <v>0</v>
      </c>
      <c r="V17" s="260"/>
      <c r="W17" s="263">
        <f>+V17/'18'!V17*10000</f>
        <v>0</v>
      </c>
      <c r="X17" s="260"/>
      <c r="Y17" s="263">
        <f>+X17/'18'!X17*10000</f>
        <v>0</v>
      </c>
      <c r="Z17" s="260"/>
      <c r="AA17" s="263">
        <f>+Z17/'18'!Z17*10000</f>
        <v>0</v>
      </c>
      <c r="AB17" s="260"/>
      <c r="AC17" s="263">
        <f>+AB17/'18'!AB17*10000</f>
        <v>0</v>
      </c>
      <c r="AD17" s="261"/>
      <c r="AE17" s="263">
        <f>+AD17/'18'!AD17*10000</f>
        <v>0</v>
      </c>
    </row>
    <row r="18" spans="1:31" s="6" customFormat="1" ht="26.25" customHeight="1">
      <c r="A18" s="258">
        <f>+'24'!A18</f>
        <v>2013</v>
      </c>
      <c r="B18" s="206">
        <v>52</v>
      </c>
      <c r="C18" s="271">
        <f>+B18/'18'!B18*10000</f>
        <v>2.1487159356211647</v>
      </c>
      <c r="D18" s="260"/>
      <c r="E18" s="271"/>
      <c r="F18" s="206">
        <f>+J18+L18+N18+P18+T18+V18+X18+Z18+AB18+AD18</f>
        <v>0</v>
      </c>
      <c r="G18" s="270">
        <f>+F18/'18'!F18*10000</f>
        <v>0</v>
      </c>
      <c r="H18" s="206">
        <f>+J18+L18+N18+P18</f>
        <v>0</v>
      </c>
      <c r="I18" s="273">
        <f>+H18/'18'!H18*10000</f>
        <v>0</v>
      </c>
      <c r="J18" s="206"/>
      <c r="K18" s="270">
        <f>+J18/'18'!J18*10000</f>
        <v>0</v>
      </c>
      <c r="L18" s="260"/>
      <c r="M18" s="263">
        <f>+L18/'18'!L18*10000</f>
        <v>0</v>
      </c>
      <c r="N18" s="260"/>
      <c r="O18" s="263">
        <f>+N18/'18'!N18*10000</f>
        <v>0</v>
      </c>
      <c r="P18" s="260"/>
      <c r="Q18" s="263">
        <f>+P18/'18'!P18*10000</f>
        <v>0</v>
      </c>
      <c r="R18" s="207">
        <f>+T18+V18+X18+Z18+AB18+AD18</f>
        <v>0</v>
      </c>
      <c r="S18" s="273">
        <f>+R18/'18'!R18*10000</f>
        <v>0</v>
      </c>
      <c r="T18" s="206"/>
      <c r="U18" s="263">
        <f>+T18/'18'!T18*10000</f>
        <v>0</v>
      </c>
      <c r="V18" s="260"/>
      <c r="W18" s="263">
        <f>+V18/'18'!V18*10000</f>
        <v>0</v>
      </c>
      <c r="X18" s="260"/>
      <c r="Y18" s="263">
        <f>+X18/'18'!X18*10000</f>
        <v>0</v>
      </c>
      <c r="Z18" s="260"/>
      <c r="AA18" s="263">
        <f>+Z18/'18'!Z18*10000</f>
        <v>0</v>
      </c>
      <c r="AB18" s="260"/>
      <c r="AC18" s="263">
        <f>+AB18/'18'!AB18*10000</f>
        <v>0</v>
      </c>
      <c r="AD18" s="261"/>
      <c r="AE18" s="263">
        <f>+AD18/'18'!AD18*10000</f>
        <v>0</v>
      </c>
    </row>
    <row r="19" spans="1:31" s="6" customFormat="1" ht="26.25" customHeight="1">
      <c r="A19" s="258">
        <f>+'24'!A19</f>
        <v>2014</v>
      </c>
      <c r="B19" s="262"/>
      <c r="C19" s="271"/>
      <c r="D19" s="260"/>
      <c r="E19" s="271"/>
      <c r="F19" s="206">
        <f>+J19+L19+N19+P19+T19+V19+X19+Z19+AB19+AD19</f>
        <v>2</v>
      </c>
      <c r="G19" s="270">
        <f>+F19/'18'!F19*10000</f>
        <v>5.329070077271516</v>
      </c>
      <c r="H19" s="206">
        <f>+J19+L19+N19+P19</f>
        <v>1</v>
      </c>
      <c r="I19" s="273">
        <f>+H19/'18'!H19*10000</f>
        <v>6.4061499039077514</v>
      </c>
      <c r="J19" s="206"/>
      <c r="K19" s="270">
        <f>+J19/'18'!J19*10000</f>
        <v>0</v>
      </c>
      <c r="L19" s="260">
        <v>1</v>
      </c>
      <c r="M19" s="263">
        <f>+L19/'18'!L19*10000</f>
        <v>39.370078740157481</v>
      </c>
      <c r="N19" s="260"/>
      <c r="O19" s="263">
        <f>+N19/'18'!N19*10000</f>
        <v>0</v>
      </c>
      <c r="P19" s="260"/>
      <c r="Q19" s="263">
        <f>+P19/'18'!P19*10000</f>
        <v>0</v>
      </c>
      <c r="R19" s="207">
        <f>+T19+V19+X19+Z19+AB19+AD19</f>
        <v>1</v>
      </c>
      <c r="S19" s="273">
        <f>+R19/'18'!R19*10000</f>
        <v>4.562043795620438</v>
      </c>
      <c r="T19" s="206">
        <v>1</v>
      </c>
      <c r="U19" s="263">
        <f>+T19/'18'!T19*10000</f>
        <v>9.0826521344232507</v>
      </c>
      <c r="V19" s="260"/>
      <c r="W19" s="263">
        <f>+V19/'18'!V19*10000</f>
        <v>0</v>
      </c>
      <c r="X19" s="260"/>
      <c r="Y19" s="263">
        <f>+X19/'18'!X19*10000</f>
        <v>0</v>
      </c>
      <c r="Z19" s="260"/>
      <c r="AA19" s="263">
        <f>+Z19/'18'!Z19*10000</f>
        <v>0</v>
      </c>
      <c r="AB19" s="260"/>
      <c r="AC19" s="263">
        <f>+AB19/'18'!AB19*10000</f>
        <v>0</v>
      </c>
      <c r="AD19" s="261"/>
      <c r="AE19" s="263">
        <f>+AD19/'18'!AD19*10000</f>
        <v>0</v>
      </c>
    </row>
    <row r="20" spans="1:31" s="6" customFormat="1" ht="26.25" customHeight="1">
      <c r="A20" s="258">
        <f>+'24'!A20</f>
        <v>2015</v>
      </c>
      <c r="B20" s="262"/>
      <c r="C20" s="271"/>
      <c r="D20" s="260"/>
      <c r="E20" s="271"/>
      <c r="F20" s="206">
        <f>+J20+L20+N20+P20+T20+V20+X20+Z20+AB20+AD20</f>
        <v>1</v>
      </c>
      <c r="G20" s="270">
        <f>+F20/'18'!F20*10000</f>
        <v>2.767783005812344</v>
      </c>
      <c r="H20" s="206">
        <f>+J20+L20+N20+P20</f>
        <v>1</v>
      </c>
      <c r="I20" s="273">
        <f>+H20/'18'!H20*10000</f>
        <v>6.8493150684931505</v>
      </c>
      <c r="J20" s="206">
        <v>1</v>
      </c>
      <c r="K20" s="270">
        <f>+J20/'18'!J20*10000</f>
        <v>10.822510822510823</v>
      </c>
      <c r="L20" s="260"/>
      <c r="M20" s="263">
        <f>+L20/'18'!L20*10000</f>
        <v>0</v>
      </c>
      <c r="N20" s="260"/>
      <c r="O20" s="263">
        <f>+N20/'18'!N20*10000</f>
        <v>0</v>
      </c>
      <c r="P20" s="260"/>
      <c r="Q20" s="263">
        <f>+P20/'18'!P20*10000</f>
        <v>0</v>
      </c>
      <c r="R20" s="207">
        <f>+T20+V20+X20+Z20+AB20+AD20</f>
        <v>0</v>
      </c>
      <c r="S20" s="273">
        <f>+R20/'18'!R20*10000</f>
        <v>0</v>
      </c>
      <c r="T20" s="206"/>
      <c r="U20" s="263">
        <f>+T20/'18'!T20*10000</f>
        <v>0</v>
      </c>
      <c r="V20" s="260"/>
      <c r="W20" s="263">
        <f>+V20/'18'!V20*10000</f>
        <v>0</v>
      </c>
      <c r="X20" s="260"/>
      <c r="Y20" s="263">
        <f>+X20/'18'!X20*10000</f>
        <v>0</v>
      </c>
      <c r="Z20" s="260"/>
      <c r="AA20" s="263">
        <f>+Z20/'18'!Z20*10000</f>
        <v>0</v>
      </c>
      <c r="AB20" s="260"/>
      <c r="AC20" s="263">
        <f>+AB20/'18'!AB20*10000</f>
        <v>0</v>
      </c>
      <c r="AD20" s="261"/>
      <c r="AE20" s="263">
        <f>+AD20/'18'!AD20*10000</f>
        <v>0</v>
      </c>
    </row>
    <row r="21" spans="1:31">
      <c r="A21" s="264"/>
      <c r="B21" s="209"/>
      <c r="C21" s="265"/>
      <c r="D21" s="209"/>
      <c r="E21" s="265"/>
      <c r="F21" s="215"/>
      <c r="G21" s="265"/>
      <c r="H21" s="266"/>
      <c r="I21" s="266"/>
      <c r="J21" s="209"/>
      <c r="K21" s="265"/>
      <c r="L21" s="209"/>
      <c r="M21" s="265"/>
      <c r="N21" s="209"/>
      <c r="O21" s="265"/>
      <c r="P21" s="209"/>
      <c r="Q21" s="265"/>
      <c r="R21" s="266"/>
      <c r="S21" s="266"/>
      <c r="T21" s="209"/>
      <c r="U21" s="265"/>
      <c r="V21" s="209"/>
      <c r="W21" s="265"/>
      <c r="X21" s="209"/>
      <c r="Y21" s="265"/>
      <c r="Z21" s="209"/>
      <c r="AA21" s="265"/>
      <c r="AB21" s="209"/>
      <c r="AC21" s="265"/>
      <c r="AD21" s="266"/>
      <c r="AE21" s="265"/>
    </row>
    <row r="22" spans="1:3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c r="A23" s="1"/>
      <c r="B23" s="220" t="str">
        <f>+'21'!B23</f>
        <v>AÑO   2015  :   DATOS POR OCURRENCIA   (Provisorios)</v>
      </c>
      <c r="C23" s="267"/>
      <c r="D23" s="267"/>
      <c r="E23" s="267"/>
      <c r="F23" s="267"/>
      <c r="G23" s="267"/>
      <c r="H23" s="267"/>
      <c r="I23" s="267"/>
      <c r="J23" s="267"/>
      <c r="K23" s="216"/>
      <c r="L23" s="216"/>
      <c r="M23" s="1"/>
      <c r="N23" s="1"/>
      <c r="O23" s="1"/>
      <c r="P23" s="1"/>
      <c r="Q23" s="1"/>
      <c r="R23" s="1"/>
      <c r="S23" s="1"/>
      <c r="T23" s="1"/>
      <c r="U23" s="1"/>
      <c r="V23" s="1"/>
      <c r="W23" s="1"/>
      <c r="X23" s="1"/>
      <c r="Y23" s="1"/>
      <c r="Z23" s="1"/>
      <c r="AA23" s="1"/>
      <c r="AB23" s="1"/>
      <c r="AC23" s="1"/>
      <c r="AD23" s="1"/>
      <c r="AE23" s="1"/>
    </row>
    <row r="24" spans="1:31">
      <c r="A24" s="1"/>
      <c r="B24" s="216"/>
      <c r="C24" s="220" t="s">
        <v>696</v>
      </c>
      <c r="D24" s="220"/>
      <c r="E24" s="216"/>
      <c r="F24" s="216"/>
      <c r="G24" s="216"/>
      <c r="H24" s="216"/>
      <c r="I24" s="216"/>
      <c r="J24" s="216"/>
      <c r="K24" s="216"/>
      <c r="L24" s="216"/>
      <c r="M24" s="1"/>
      <c r="N24" s="1"/>
      <c r="O24" s="1"/>
      <c r="P24" s="1"/>
      <c r="Q24" s="1"/>
      <c r="R24" s="1"/>
      <c r="S24" s="1"/>
      <c r="T24" s="1"/>
      <c r="U24" s="1"/>
      <c r="V24" s="1"/>
      <c r="W24" s="1"/>
      <c r="X24" s="1"/>
      <c r="Y24" s="1"/>
      <c r="Z24" s="1"/>
      <c r="AA24" s="1"/>
      <c r="AB24" s="1"/>
      <c r="AC24" s="1"/>
      <c r="AD24" s="1"/>
      <c r="AE24" s="1"/>
    </row>
    <row r="25" spans="1:3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row>
  </sheetData>
  <phoneticPr fontId="19" type="noConversion"/>
  <pageMargins left="0.98425196850393704" right="0.59055118110236227" top="1.7716535433070868" bottom="0.59055118110236227" header="0.51181102362204722" footer="0.51181102362204722"/>
  <pageSetup paperSize="5" scale="90" orientation="landscape"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9"/>
  <sheetViews>
    <sheetView topLeftCell="A18" zoomScaleNormal="100" workbookViewId="0">
      <selection activeCell="AA23" sqref="AA23"/>
    </sheetView>
  </sheetViews>
  <sheetFormatPr baseColWidth="10" defaultRowHeight="12.75"/>
  <cols>
    <col min="1" max="1" width="5.28515625" customWidth="1"/>
    <col min="2" max="3" width="5.85546875" customWidth="1"/>
    <col min="4" max="4" width="5.5703125" customWidth="1"/>
    <col min="5" max="5" width="5.85546875" customWidth="1"/>
    <col min="6" max="7" width="5.7109375" customWidth="1"/>
    <col min="8" max="8" width="5.42578125" customWidth="1"/>
    <col min="9" max="9" width="6.7109375" customWidth="1"/>
    <col min="10" max="10" width="5.28515625" customWidth="1"/>
    <col min="11" max="11" width="5.140625" customWidth="1"/>
    <col min="12" max="12" width="4.7109375" customWidth="1"/>
    <col min="13" max="13" width="5.140625" customWidth="1"/>
    <col min="14" max="14" width="4.7109375" customWidth="1"/>
    <col min="15" max="15" width="5.140625" customWidth="1"/>
    <col min="16" max="16" width="4.7109375" customWidth="1"/>
    <col min="17" max="19" width="5.140625" customWidth="1"/>
    <col min="20" max="20" width="5.28515625" customWidth="1"/>
    <col min="21" max="21" width="5.140625" customWidth="1"/>
    <col min="22" max="22" width="5.28515625" customWidth="1"/>
    <col min="23" max="23" width="5.140625" customWidth="1"/>
    <col min="24" max="24" width="4.7109375" customWidth="1"/>
    <col min="25" max="25" width="5.140625" customWidth="1"/>
    <col min="26" max="26" width="5.28515625" customWidth="1"/>
    <col min="27" max="27" width="5.140625" customWidth="1"/>
    <col min="28" max="28" width="5.28515625" customWidth="1"/>
    <col min="29" max="29" width="5.140625" customWidth="1"/>
    <col min="30" max="30" width="5.28515625" customWidth="1"/>
    <col min="31" max="31" width="5.140625" customWidth="1"/>
  </cols>
  <sheetData>
    <row r="1" spans="1:31">
      <c r="A1" s="148" t="s">
        <v>697</v>
      </c>
      <c r="B1" s="148"/>
      <c r="C1" s="116"/>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row>
    <row r="2" spans="1:31">
      <c r="A2" s="148"/>
      <c r="B2" s="148"/>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row>
    <row r="3" spans="1:31">
      <c r="A3" s="148" t="str">
        <f>+'25'!A3</f>
        <v>AÑOS   2006  - 2015</v>
      </c>
      <c r="B3" s="148"/>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row>
    <row r="4" spans="1:31">
      <c r="A4" s="116"/>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row>
    <row r="5" spans="1:31">
      <c r="A5" s="1"/>
      <c r="B5" s="116"/>
      <c r="C5" s="11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row>
    <row r="6" spans="1:31" ht="18.75" customHeight="1">
      <c r="A6" s="194"/>
      <c r="B6" s="193"/>
      <c r="C6" s="188"/>
      <c r="D6" s="193"/>
      <c r="E6" s="188"/>
      <c r="F6" s="193"/>
      <c r="G6" s="188"/>
      <c r="H6" s="243"/>
      <c r="I6" s="86"/>
      <c r="J6" s="121" t="s">
        <v>658</v>
      </c>
      <c r="K6" s="121"/>
      <c r="L6" s="121"/>
      <c r="M6" s="121"/>
      <c r="N6" s="121"/>
      <c r="O6" s="121"/>
      <c r="P6" s="121"/>
      <c r="Q6" s="121"/>
      <c r="R6" s="121"/>
      <c r="S6" s="121"/>
      <c r="T6" s="121"/>
      <c r="U6" s="121"/>
      <c r="V6" s="121"/>
      <c r="W6" s="121"/>
      <c r="X6" s="121"/>
      <c r="Y6" s="121"/>
      <c r="Z6" s="121"/>
      <c r="AA6" s="121"/>
      <c r="AB6" s="121"/>
      <c r="AC6" s="121"/>
      <c r="AD6" s="86"/>
      <c r="AE6" s="87"/>
    </row>
    <row r="7" spans="1:31">
      <c r="A7" s="189"/>
      <c r="B7" s="190"/>
      <c r="C7" s="245"/>
      <c r="D7" s="190"/>
      <c r="E7" s="268"/>
      <c r="F7" s="216" t="s">
        <v>666</v>
      </c>
      <c r="G7" s="216"/>
      <c r="H7" s="186" t="s">
        <v>667</v>
      </c>
      <c r="I7" s="246"/>
      <c r="J7" s="247"/>
      <c r="K7" s="248"/>
      <c r="L7" s="247"/>
      <c r="M7" s="248"/>
      <c r="N7" s="247"/>
      <c r="O7" s="248"/>
      <c r="P7" s="247"/>
      <c r="Q7" s="248"/>
      <c r="R7" s="186" t="s">
        <v>667</v>
      </c>
      <c r="S7" s="246"/>
      <c r="T7" s="247"/>
      <c r="U7" s="248"/>
      <c r="V7" s="247"/>
      <c r="W7" s="248"/>
      <c r="X7" s="247"/>
      <c r="Y7" s="248"/>
      <c r="Z7" s="220"/>
      <c r="AA7" s="248"/>
      <c r="AB7" s="247"/>
      <c r="AC7" s="248"/>
      <c r="AD7" s="247"/>
      <c r="AE7" s="248"/>
    </row>
    <row r="8" spans="1:31" ht="18.75" customHeight="1">
      <c r="A8" s="189" t="s">
        <v>659</v>
      </c>
      <c r="B8" s="190" t="s">
        <v>664</v>
      </c>
      <c r="C8" s="190"/>
      <c r="D8" s="190" t="s">
        <v>665</v>
      </c>
      <c r="E8" s="245"/>
      <c r="F8" s="203" t="s">
        <v>668</v>
      </c>
      <c r="G8" s="245"/>
      <c r="H8" s="203" t="s">
        <v>649</v>
      </c>
      <c r="I8" s="250"/>
      <c r="J8" s="203" t="s">
        <v>649</v>
      </c>
      <c r="K8" s="250"/>
      <c r="L8" s="251" t="s">
        <v>444</v>
      </c>
      <c r="M8" s="252"/>
      <c r="N8" s="203" t="s">
        <v>670</v>
      </c>
      <c r="O8" s="250"/>
      <c r="P8" s="203" t="s">
        <v>447</v>
      </c>
      <c r="Q8" s="250"/>
      <c r="R8" s="203" t="s">
        <v>671</v>
      </c>
      <c r="S8" s="250"/>
      <c r="T8" s="203" t="s">
        <v>671</v>
      </c>
      <c r="U8" s="250"/>
      <c r="V8" s="203" t="s">
        <v>411</v>
      </c>
      <c r="W8" s="250"/>
      <c r="X8" s="203" t="s">
        <v>429</v>
      </c>
      <c r="Y8" s="250"/>
      <c r="Z8" s="203" t="s">
        <v>434</v>
      </c>
      <c r="AA8" s="250"/>
      <c r="AB8" s="203" t="s">
        <v>672</v>
      </c>
      <c r="AC8" s="250"/>
      <c r="AD8" s="203" t="s">
        <v>436</v>
      </c>
      <c r="AE8" s="250"/>
    </row>
    <row r="9" spans="1:31" ht="18.75" customHeight="1">
      <c r="A9" s="264"/>
      <c r="B9" s="209" t="s">
        <v>681</v>
      </c>
      <c r="C9" s="265" t="s">
        <v>682</v>
      </c>
      <c r="D9" s="209" t="s">
        <v>681</v>
      </c>
      <c r="E9" s="265" t="s">
        <v>682</v>
      </c>
      <c r="F9" s="209" t="s">
        <v>681</v>
      </c>
      <c r="G9" s="265" t="s">
        <v>682</v>
      </c>
      <c r="H9" s="254" t="s">
        <v>681</v>
      </c>
      <c r="I9" s="255" t="s">
        <v>682</v>
      </c>
      <c r="J9" s="254" t="s">
        <v>681</v>
      </c>
      <c r="K9" s="255" t="s">
        <v>682</v>
      </c>
      <c r="L9" s="254" t="s">
        <v>681</v>
      </c>
      <c r="M9" s="256" t="s">
        <v>682</v>
      </c>
      <c r="N9" s="254" t="s">
        <v>681</v>
      </c>
      <c r="O9" s="256" t="s">
        <v>682</v>
      </c>
      <c r="P9" s="254" t="s">
        <v>681</v>
      </c>
      <c r="Q9" s="256" t="s">
        <v>682</v>
      </c>
      <c r="R9" s="254" t="s">
        <v>681</v>
      </c>
      <c r="S9" s="255" t="s">
        <v>682</v>
      </c>
      <c r="T9" s="254" t="s">
        <v>681</v>
      </c>
      <c r="U9" s="256" t="s">
        <v>682</v>
      </c>
      <c r="V9" s="254" t="s">
        <v>681</v>
      </c>
      <c r="W9" s="256" t="s">
        <v>682</v>
      </c>
      <c r="X9" s="254" t="s">
        <v>681</v>
      </c>
      <c r="Y9" s="256" t="s">
        <v>682</v>
      </c>
      <c r="Z9" s="254" t="s">
        <v>681</v>
      </c>
      <c r="AA9" s="256" t="s">
        <v>682</v>
      </c>
      <c r="AB9" s="254" t="s">
        <v>681</v>
      </c>
      <c r="AC9" s="256" t="s">
        <v>682</v>
      </c>
      <c r="AD9" s="254" t="s">
        <v>681</v>
      </c>
      <c r="AE9" s="256" t="s">
        <v>682</v>
      </c>
    </row>
    <row r="10" spans="1:31">
      <c r="A10" s="185"/>
      <c r="B10" s="186"/>
      <c r="C10" s="246"/>
      <c r="D10" s="186"/>
      <c r="E10" s="246"/>
      <c r="F10" s="186"/>
      <c r="G10" s="246"/>
      <c r="H10" s="257"/>
      <c r="I10" s="257"/>
      <c r="J10" s="186"/>
      <c r="K10" s="246"/>
      <c r="L10" s="186"/>
      <c r="M10" s="246"/>
      <c r="N10" s="186"/>
      <c r="O10" s="246"/>
      <c r="P10" s="186"/>
      <c r="Q10" s="246"/>
      <c r="R10" s="257"/>
      <c r="S10" s="257"/>
      <c r="T10" s="186"/>
      <c r="U10" s="246"/>
      <c r="V10" s="186"/>
      <c r="W10" s="246"/>
      <c r="X10" s="186"/>
      <c r="Y10" s="246"/>
      <c r="Z10" s="186"/>
      <c r="AA10" s="246"/>
      <c r="AB10" s="186"/>
      <c r="AC10" s="246"/>
      <c r="AD10" s="257"/>
      <c r="AE10" s="246"/>
    </row>
    <row r="11" spans="1:31" s="6" customFormat="1" ht="25.5" customHeight="1">
      <c r="A11" s="258">
        <f>+'25'!A11</f>
        <v>2006</v>
      </c>
      <c r="B11" s="206">
        <v>85639</v>
      </c>
      <c r="C11" s="259">
        <f>+B11/'7'!B11*1000</f>
        <v>5.2115072689934694</v>
      </c>
      <c r="D11" s="206">
        <v>10148</v>
      </c>
      <c r="E11" s="259">
        <f>+D11/'7'!C11*1000</f>
        <v>6.0332757631517149</v>
      </c>
      <c r="F11" s="206">
        <f t="shared" ref="F11:F15" si="0">+J11+L11+N11+P11+T11+V11+X11+Z11+AB11+AD11</f>
        <v>1347</v>
      </c>
      <c r="G11" s="259">
        <f>+F11/'7'!D11*1000</f>
        <v>5.4158591796199653</v>
      </c>
      <c r="H11" s="272">
        <f t="shared" ref="H11:H15" si="1">+J11+L11+N11+P11</f>
        <v>534</v>
      </c>
      <c r="I11" s="273">
        <f>+H11/'7'!E11*1000</f>
        <v>5.1586726561367922</v>
      </c>
      <c r="J11" s="206">
        <v>369</v>
      </c>
      <c r="K11" s="259">
        <f>+J11/'7'!F11*1000</f>
        <v>5.3552769070010449</v>
      </c>
      <c r="L11" s="206">
        <v>76</v>
      </c>
      <c r="M11" s="259">
        <f>+L11/'7'!G11*1000</f>
        <v>4.6878855169010611</v>
      </c>
      <c r="N11" s="206">
        <v>51</v>
      </c>
      <c r="O11" s="259">
        <f>+N11/'7'!H11*1000</f>
        <v>4.6686195532771873</v>
      </c>
      <c r="P11" s="206">
        <v>38</v>
      </c>
      <c r="Q11" s="259">
        <f>+P11/'7'!I11*1000</f>
        <v>5.0836120401337794</v>
      </c>
      <c r="R11" s="207">
        <f t="shared" ref="R11:R15" si="2">+T11+V11+X11+Z11+AB11+AD11</f>
        <v>813</v>
      </c>
      <c r="S11" s="273">
        <f>+R11/'7'!J11*1000</f>
        <v>5.5992121157859218</v>
      </c>
      <c r="T11" s="206">
        <v>394</v>
      </c>
      <c r="U11" s="259">
        <f>+T11/'7'!K11*1000</f>
        <v>5.4663762365248276</v>
      </c>
      <c r="V11" s="206">
        <v>106</v>
      </c>
      <c r="W11" s="259">
        <f>+V11/'7'!L11*1000</f>
        <v>6.5671271916238148</v>
      </c>
      <c r="X11" s="206">
        <v>68</v>
      </c>
      <c r="Y11" s="259">
        <f>+X11/'7'!M11*1000</f>
        <v>4.8794489092996551</v>
      </c>
      <c r="Z11" s="206">
        <v>36</v>
      </c>
      <c r="AA11" s="259">
        <f>+Z11/'7'!N11*1000</f>
        <v>5.0363738108561833</v>
      </c>
      <c r="AB11" s="206">
        <v>143</v>
      </c>
      <c r="AC11" s="259">
        <f>+AB11/'7'!O11*1000</f>
        <v>6.2230732407850642</v>
      </c>
      <c r="AD11" s="206">
        <v>66</v>
      </c>
      <c r="AE11" s="259">
        <f>+AD11/'7'!P11*1000</f>
        <v>5.1091500232234095</v>
      </c>
    </row>
    <row r="12" spans="1:31" s="6" customFormat="1" ht="25.5" customHeight="1">
      <c r="A12" s="258">
        <f>+'25'!A12</f>
        <v>2007</v>
      </c>
      <c r="B12" s="206">
        <v>93000</v>
      </c>
      <c r="C12" s="259">
        <f>+B12/'7'!B12*1000</f>
        <v>5.60305972849621</v>
      </c>
      <c r="D12" s="206">
        <v>10912</v>
      </c>
      <c r="E12" s="259">
        <f>+D12/'7'!C12*1000</f>
        <v>6.4139451581826288</v>
      </c>
      <c r="F12" s="206">
        <f t="shared" si="0"/>
        <v>1457</v>
      </c>
      <c r="G12" s="259">
        <f>+F12/'7'!D12*1000</f>
        <v>5.7816083744037838</v>
      </c>
      <c r="H12" s="272">
        <f t="shared" si="1"/>
        <v>554</v>
      </c>
      <c r="I12" s="273">
        <f>+H12/'7'!E12*1000</f>
        <v>5.2690145801432333</v>
      </c>
      <c r="J12" s="206">
        <v>381</v>
      </c>
      <c r="K12" s="259">
        <f>+J12/'7'!F12*1000</f>
        <v>5.4330001283385858</v>
      </c>
      <c r="L12" s="206">
        <v>76</v>
      </c>
      <c r="M12" s="259">
        <f>+L12/'7'!G12*1000</f>
        <v>4.6152911884374817</v>
      </c>
      <c r="N12" s="206">
        <v>61</v>
      </c>
      <c r="O12" s="259">
        <f>+N12/'7'!H12*1000</f>
        <v>5.5621409683596248</v>
      </c>
      <c r="P12" s="206">
        <v>36</v>
      </c>
      <c r="Q12" s="259">
        <f>+P12/'7'!I12*1000</f>
        <v>4.7480875758375101</v>
      </c>
      <c r="R12" s="207">
        <f t="shared" si="2"/>
        <v>903</v>
      </c>
      <c r="S12" s="273">
        <f>+R12/'7'!J12*1000</f>
        <v>6.1485874590604848</v>
      </c>
      <c r="T12" s="206">
        <v>453</v>
      </c>
      <c r="U12" s="259">
        <f>+T12/'7'!K12*1000</f>
        <v>6.1919927828428492</v>
      </c>
      <c r="V12" s="206">
        <v>134</v>
      </c>
      <c r="W12" s="259">
        <f>+V12/'7'!L12*1000</f>
        <v>8.2007343941248472</v>
      </c>
      <c r="X12" s="206">
        <v>74</v>
      </c>
      <c r="Y12" s="259">
        <f>+X12/'7'!M12*1000</f>
        <v>5.2661542840876745</v>
      </c>
      <c r="Z12" s="206">
        <v>41</v>
      </c>
      <c r="AA12" s="259">
        <f>+Z12/'7'!N12*1000</f>
        <v>5.6786703601108037</v>
      </c>
      <c r="AB12" s="206">
        <v>127</v>
      </c>
      <c r="AC12" s="259">
        <f>+AB12/'7'!O12*1000</f>
        <v>5.4980735096757432</v>
      </c>
      <c r="AD12" s="206">
        <v>74</v>
      </c>
      <c r="AE12" s="259">
        <f>+AD12/'7'!P12*1000</f>
        <v>5.6953744323866697</v>
      </c>
    </row>
    <row r="13" spans="1:31" s="6" customFormat="1" ht="25.5" customHeight="1">
      <c r="A13" s="258">
        <f>+'25'!A13</f>
        <v>2008</v>
      </c>
      <c r="B13" s="206">
        <v>90168</v>
      </c>
      <c r="C13" s="259">
        <f>+B13/'7'!B13*1000</f>
        <v>5.3788386294722992</v>
      </c>
      <c r="D13" s="206">
        <v>10589</v>
      </c>
      <c r="E13" s="259">
        <f>+D13/'7'!C13*1000</f>
        <v>6.154291439903103</v>
      </c>
      <c r="F13" s="206">
        <f t="shared" si="0"/>
        <v>1347</v>
      </c>
      <c r="G13" s="259">
        <f>+F13/'7'!D13*1000</f>
        <v>5.2760217151183291</v>
      </c>
      <c r="H13" s="272">
        <f t="shared" si="1"/>
        <v>534</v>
      </c>
      <c r="I13" s="273">
        <f>+H13/'7'!E13*1000</f>
        <v>5.0016859615600771</v>
      </c>
      <c r="J13" s="206">
        <v>369</v>
      </c>
      <c r="K13" s="259">
        <f>+J13/'7'!F13*1000</f>
        <v>5.1717613421351381</v>
      </c>
      <c r="L13" s="206">
        <v>76</v>
      </c>
      <c r="M13" s="259">
        <f>+L13/'7'!G13*1000</f>
        <v>4.5446391197751597</v>
      </c>
      <c r="N13" s="206">
        <v>51</v>
      </c>
      <c r="O13" s="259">
        <f>+N13/'7'!H13*1000</f>
        <v>4.638893942150264</v>
      </c>
      <c r="P13" s="206">
        <v>38</v>
      </c>
      <c r="Q13" s="259">
        <f>+P13/'7'!I13*1000</f>
        <v>4.9363471031436736</v>
      </c>
      <c r="R13" s="207">
        <f t="shared" si="2"/>
        <v>813</v>
      </c>
      <c r="S13" s="273">
        <f>+R13/'7'!J13*1000</f>
        <v>5.4731994991315585</v>
      </c>
      <c r="T13" s="206">
        <v>394</v>
      </c>
      <c r="U13" s="259">
        <f>+T13/'7'!K13*1000</f>
        <v>5.3073265352856387</v>
      </c>
      <c r="V13" s="206">
        <v>106</v>
      </c>
      <c r="W13" s="259">
        <f>+V13/'7'!L13*1000</f>
        <v>6.408318723172723</v>
      </c>
      <c r="X13" s="206">
        <v>68</v>
      </c>
      <c r="Y13" s="259">
        <f>+X13/'7'!M13*1000</f>
        <v>4.7968397291196387</v>
      </c>
      <c r="Z13" s="206">
        <v>36</v>
      </c>
      <c r="AA13" s="259">
        <f>+Z13/'7'!N13*1000</f>
        <v>4.9369171695008234</v>
      </c>
      <c r="AB13" s="206">
        <v>143</v>
      </c>
      <c r="AC13" s="259">
        <f>+AB13/'7'!O13*1000</f>
        <v>6.1579536646283692</v>
      </c>
      <c r="AD13" s="206">
        <v>66</v>
      </c>
      <c r="AE13" s="259">
        <f>+AD13/'7'!P13*1000</f>
        <v>5.0481872418540608</v>
      </c>
    </row>
    <row r="14" spans="1:31" s="6" customFormat="1" ht="25.5" customHeight="1">
      <c r="A14" s="258">
        <f>+'25'!A14</f>
        <v>2009</v>
      </c>
      <c r="B14" s="206">
        <v>91965</v>
      </c>
      <c r="C14" s="259">
        <f>+B14/'7'!B14*1000</f>
        <v>5.432434870295265</v>
      </c>
      <c r="D14" s="206">
        <v>10793</v>
      </c>
      <c r="E14" s="259">
        <f>+D14/'7'!C14*1000</f>
        <v>6.203315638585738</v>
      </c>
      <c r="F14" s="206">
        <f t="shared" si="0"/>
        <v>1423</v>
      </c>
      <c r="G14" s="259">
        <f>+F14/'7'!D14*1000</f>
        <v>5.5032814717700607</v>
      </c>
      <c r="H14" s="272">
        <f t="shared" si="1"/>
        <v>567</v>
      </c>
      <c r="I14" s="273">
        <f>+H14/'7'!E14*1000</f>
        <v>5.2325581395348832</v>
      </c>
      <c r="J14" s="206">
        <v>410</v>
      </c>
      <c r="K14" s="259">
        <f>+J14/'7'!F14*1000</f>
        <v>5.6502625304907452</v>
      </c>
      <c r="L14" s="206">
        <v>67</v>
      </c>
      <c r="M14" s="259">
        <f>+L14/'7'!G14*1000</f>
        <v>3.9490746198278908</v>
      </c>
      <c r="N14" s="206">
        <v>57</v>
      </c>
      <c r="O14" s="259">
        <f>+N14/'7'!H14*1000</f>
        <v>5.1672559151482185</v>
      </c>
      <c r="P14" s="206">
        <v>33</v>
      </c>
      <c r="Q14" s="259">
        <f>+P14/'7'!I14*1000</f>
        <v>4.2307692307692308</v>
      </c>
      <c r="R14" s="207">
        <f t="shared" si="2"/>
        <v>856</v>
      </c>
      <c r="S14" s="273">
        <f>+R14/'7'!J14*1000</f>
        <v>5.698574690606006</v>
      </c>
      <c r="T14" s="206">
        <v>451</v>
      </c>
      <c r="U14" s="259">
        <f>+T14/'7'!K14*1000</f>
        <v>5.9892167538710783</v>
      </c>
      <c r="V14" s="206">
        <v>109</v>
      </c>
      <c r="W14" s="259">
        <f>+V14/'7'!L14*1000</f>
        <v>6.5094057927739621</v>
      </c>
      <c r="X14" s="206">
        <v>62</v>
      </c>
      <c r="Y14" s="259">
        <f>+X14/'7'!M14*1000</f>
        <v>4.329004329004329</v>
      </c>
      <c r="Z14" s="206">
        <v>37</v>
      </c>
      <c r="AA14" s="259">
        <f>+Z14/'7'!N14*1000</f>
        <v>5.0305914343983682</v>
      </c>
      <c r="AB14" s="206">
        <v>132</v>
      </c>
      <c r="AC14" s="259">
        <f>+AB14/'7'!O14*1000</f>
        <v>5.654073502955538</v>
      </c>
      <c r="AD14" s="206">
        <v>65</v>
      </c>
      <c r="AE14" s="259">
        <f>+AD14/'7'!P14*1000</f>
        <v>4.9455984174085064</v>
      </c>
    </row>
    <row r="15" spans="1:31" s="6" customFormat="1" ht="25.5" customHeight="1">
      <c r="A15" s="258">
        <f>+'25'!A15</f>
        <v>2010</v>
      </c>
      <c r="B15" s="206">
        <v>97930</v>
      </c>
      <c r="C15" s="259">
        <f>+B15/'7'!B15*1000</f>
        <v>5.7288202421045176</v>
      </c>
      <c r="D15" s="206">
        <v>11453</v>
      </c>
      <c r="E15" s="259">
        <f>+D15/'7'!C15*1000</f>
        <v>6.510467738423924</v>
      </c>
      <c r="F15" s="206">
        <f t="shared" si="0"/>
        <v>1469</v>
      </c>
      <c r="G15" s="259">
        <f>+F15/'7'!D15*1000</f>
        <v>5.6093109215460162</v>
      </c>
      <c r="H15" s="272">
        <f t="shared" si="1"/>
        <v>594</v>
      </c>
      <c r="I15" s="273">
        <f>+H15/'7'!E15*1000</f>
        <v>5.4004418543335362</v>
      </c>
      <c r="J15" s="206">
        <v>386</v>
      </c>
      <c r="K15" s="259">
        <f>+J15/'7'!F15*1000</f>
        <v>5.2305649281136084</v>
      </c>
      <c r="L15" s="206">
        <v>98</v>
      </c>
      <c r="M15" s="259">
        <f>+L15/'7'!G15*1000</f>
        <v>5.6917179695667324</v>
      </c>
      <c r="N15" s="206">
        <v>61</v>
      </c>
      <c r="O15" s="259">
        <f>+N15/'7'!H15*1000</f>
        <v>5.512380263871318</v>
      </c>
      <c r="P15" s="206">
        <v>49</v>
      </c>
      <c r="Q15" s="259">
        <f>+P15/'7'!I15*1000</f>
        <v>6.1946902654867255</v>
      </c>
      <c r="R15" s="207">
        <f t="shared" si="2"/>
        <v>875</v>
      </c>
      <c r="S15" s="273">
        <f>+R15/'7'!J15*1000</f>
        <v>5.7605582803910602</v>
      </c>
      <c r="T15" s="206">
        <v>464</v>
      </c>
      <c r="U15" s="259">
        <f>+T15/'7'!K15*1000</f>
        <v>6.0748887143231212</v>
      </c>
      <c r="V15" s="206">
        <v>110</v>
      </c>
      <c r="W15" s="259">
        <f>+V15/'7'!L15*1000</f>
        <v>6.4873790988440669</v>
      </c>
      <c r="X15" s="206">
        <v>95</v>
      </c>
      <c r="Y15" s="259">
        <f>+X15/'7'!M15*1000</f>
        <v>6.5807702964810204</v>
      </c>
      <c r="Z15" s="206">
        <v>26</v>
      </c>
      <c r="AA15" s="259">
        <f>+Z15/'7'!N15*1000</f>
        <v>3.4988561431839589</v>
      </c>
      <c r="AB15" s="206">
        <v>114</v>
      </c>
      <c r="AC15" s="259">
        <f>+AB15/'7'!O15*1000</f>
        <v>4.8566438035189368</v>
      </c>
      <c r="AD15" s="206">
        <v>66</v>
      </c>
      <c r="AE15" s="259">
        <f>+AD15/'7'!P15*1000</f>
        <v>4.9928133746879499</v>
      </c>
    </row>
    <row r="16" spans="1:31" s="6" customFormat="1" ht="25.5" customHeight="1">
      <c r="A16" s="258">
        <f>+'25'!A16</f>
        <v>2011</v>
      </c>
      <c r="B16" s="206">
        <v>94985</v>
      </c>
      <c r="C16" s="259">
        <f>+B16/'7'!B16*1000</f>
        <v>5.5068716319437394</v>
      </c>
      <c r="D16" s="206">
        <v>11171</v>
      </c>
      <c r="E16" s="259">
        <f>+D16/'7'!C16*1000</f>
        <v>6.2847755517673995</v>
      </c>
      <c r="F16" s="206">
        <f>+J16+L16+N16+P16+T16+V16+X16+Z16+AB16+AD16</f>
        <v>1469</v>
      </c>
      <c r="G16" s="259">
        <f>+F16/'7'!D16*1000</f>
        <v>5.5454469954926724</v>
      </c>
      <c r="H16" s="272">
        <f>+J16+L16+N16+P16</f>
        <v>608</v>
      </c>
      <c r="I16" s="273">
        <f>+H16/'7'!E16*1000</f>
        <v>5.4536484728887293</v>
      </c>
      <c r="J16" s="206">
        <v>413</v>
      </c>
      <c r="K16" s="259">
        <f>+J16/'7'!F16*1000</f>
        <v>5.5096786243146258</v>
      </c>
      <c r="L16" s="206">
        <v>92</v>
      </c>
      <c r="M16" s="259">
        <f>+L16/'7'!G16*1000</f>
        <v>5.2731128560784084</v>
      </c>
      <c r="N16" s="206">
        <v>63</v>
      </c>
      <c r="O16" s="259">
        <f>+N16/'7'!H16*1000</f>
        <v>5.686947102365048</v>
      </c>
      <c r="P16" s="206">
        <v>40</v>
      </c>
      <c r="Q16" s="259">
        <f>+P16/'7'!I16*1000</f>
        <v>4.9993750781152357</v>
      </c>
      <c r="R16" s="207">
        <f>+T16+V16+X16+Z16+AB16+AD16</f>
        <v>861</v>
      </c>
      <c r="S16" s="273">
        <f>+R16/'7'!J16*1000</f>
        <v>5.6121551066700563</v>
      </c>
      <c r="T16" s="206">
        <v>396</v>
      </c>
      <c r="U16" s="259">
        <f>+T16/'7'!K16*1000</f>
        <v>5.1166757112954491</v>
      </c>
      <c r="V16" s="206">
        <v>126</v>
      </c>
      <c r="W16" s="259">
        <f>+V16/'7'!L16*1000</f>
        <v>7.3482241791567038</v>
      </c>
      <c r="X16" s="206">
        <v>80</v>
      </c>
      <c r="Y16" s="259">
        <f>+X16/'7'!M16*1000</f>
        <v>5.5005500550055011</v>
      </c>
      <c r="Z16" s="206">
        <v>35</v>
      </c>
      <c r="AA16" s="259">
        <f>+Z16/'7'!N16*1000</f>
        <v>4.6710262912051252</v>
      </c>
      <c r="AB16" s="206">
        <v>151</v>
      </c>
      <c r="AC16" s="259">
        <f>+AB16/'7'!O16*1000</f>
        <v>6.4094401290377352</v>
      </c>
      <c r="AD16" s="206">
        <v>73</v>
      </c>
      <c r="AE16" s="259">
        <f>+AD16/'7'!P16*1000</f>
        <v>5.4969879518072284</v>
      </c>
    </row>
    <row r="17" spans="1:31" s="6" customFormat="1" ht="25.5" customHeight="1">
      <c r="A17" s="258">
        <f>+'25'!A17</f>
        <v>2012</v>
      </c>
      <c r="B17" s="206">
        <v>98711</v>
      </c>
      <c r="C17" s="259">
        <f>+B17/'7'!B17*1000</f>
        <v>5.6721886289601056</v>
      </c>
      <c r="D17" s="206">
        <v>11677</v>
      </c>
      <c r="E17" s="259">
        <f>+D17/'7'!C17*1000</f>
        <v>6.5025212096237537</v>
      </c>
      <c r="F17" s="206">
        <f>+J17+L17+N17+P17+T17+V17+X17+Z17+AB17+AD17</f>
        <v>1492</v>
      </c>
      <c r="G17" s="259">
        <f>+F17/'7'!D17*1000</f>
        <v>5.5689928036071548</v>
      </c>
      <c r="H17" s="272">
        <f>+J17+L17+N17+P17</f>
        <v>568</v>
      </c>
      <c r="I17" s="273">
        <f>+H17/'7'!E17*1000</f>
        <v>5.0273494892991808</v>
      </c>
      <c r="J17" s="206">
        <v>385</v>
      </c>
      <c r="K17" s="259">
        <f>+J17/'7'!F17*1000</f>
        <v>5.0571391041639302</v>
      </c>
      <c r="L17" s="206">
        <v>83</v>
      </c>
      <c r="M17" s="259">
        <f>+L17/'7'!G17*1000</f>
        <v>4.695366860892686</v>
      </c>
      <c r="N17" s="206">
        <v>55</v>
      </c>
      <c r="O17" s="259">
        <f>+N17/'7'!H17*1000</f>
        <v>4.9589757461004416</v>
      </c>
      <c r="P17" s="206">
        <v>45</v>
      </c>
      <c r="Q17" s="259">
        <f>+P17/'7'!I17*1000</f>
        <v>5.5665512122711531</v>
      </c>
      <c r="R17" s="207">
        <f>+T17+V17+X17+Z17+AB17+AD17</f>
        <v>924</v>
      </c>
      <c r="S17" s="273">
        <f>+R17/'7'!J17*1000</f>
        <v>5.9639837345898155</v>
      </c>
      <c r="T17" s="206">
        <v>460</v>
      </c>
      <c r="U17" s="259">
        <f>+T17/'7'!K17*1000</f>
        <v>5.8652522058448513</v>
      </c>
      <c r="V17" s="206">
        <v>118</v>
      </c>
      <c r="W17" s="259">
        <f>+V17/'7'!L17*1000</f>
        <v>6.8066451315182279</v>
      </c>
      <c r="X17" s="206">
        <v>88</v>
      </c>
      <c r="Y17" s="259">
        <f>+X17/'7'!M17*1000</f>
        <v>6.0060060060060056</v>
      </c>
      <c r="Z17" s="206">
        <v>45</v>
      </c>
      <c r="AA17" s="259">
        <f>+Z17/'7'!N17*1000</f>
        <v>5.9555320275277932</v>
      </c>
      <c r="AB17" s="206">
        <v>138</v>
      </c>
      <c r="AC17" s="259">
        <f>+AB17/'7'!O17*1000</f>
        <v>5.8380573652593277</v>
      </c>
      <c r="AD17" s="206">
        <v>75</v>
      </c>
      <c r="AE17" s="259">
        <f>+AD17/'7'!P17*1000</f>
        <v>5.6306306306306304</v>
      </c>
    </row>
    <row r="18" spans="1:31" s="6" customFormat="1" ht="25.5" customHeight="1">
      <c r="A18" s="258">
        <f>+'25'!A18</f>
        <v>2013</v>
      </c>
      <c r="B18" s="206">
        <v>99770</v>
      </c>
      <c r="C18" s="259">
        <f>+B18/'7'!B18*1000</f>
        <v>5.6826935865075763</v>
      </c>
      <c r="D18" s="206">
        <v>11762</v>
      </c>
      <c r="E18" s="259">
        <f>+D18/'7'!C18*1000</f>
        <v>6.4837308628786285</v>
      </c>
      <c r="F18" s="206">
        <f>+J18+L18+N18+P18+T18+V18+X18+Z18+AB18+AD18</f>
        <v>1483</v>
      </c>
      <c r="G18" s="259">
        <f>+F18/'7'!D18*1000</f>
        <v>5.4733951658442423</v>
      </c>
      <c r="H18" s="272">
        <f>+J18+L18+N18+P18</f>
        <v>541</v>
      </c>
      <c r="I18" s="273">
        <f>+H18/'7'!E18*1000</f>
        <v>4.7250558971492449</v>
      </c>
      <c r="J18" s="206">
        <v>347</v>
      </c>
      <c r="K18" s="259">
        <f>+J18/'7'!F18*1000</f>
        <v>4.4887135372873681</v>
      </c>
      <c r="L18" s="206">
        <v>94</v>
      </c>
      <c r="M18" s="259">
        <f>+L18/'7'!G18*1000</f>
        <v>5.2499301870985757</v>
      </c>
      <c r="N18" s="206">
        <v>53</v>
      </c>
      <c r="O18" s="259">
        <f>+N18/'7'!H18*1000</f>
        <v>4.7717655532547036</v>
      </c>
      <c r="P18" s="206">
        <v>47</v>
      </c>
      <c r="Q18" s="259">
        <f>+P18/'7'!I18*1000</f>
        <v>5.74642376818682</v>
      </c>
      <c r="R18" s="207">
        <f>+T18+V18+X18+Z18+AB18+AD18</f>
        <v>942</v>
      </c>
      <c r="S18" s="273">
        <f>+R18/'7'!J18*1000</f>
        <v>6.021054515471298</v>
      </c>
      <c r="T18" s="206">
        <v>468</v>
      </c>
      <c r="U18" s="259">
        <f>+T18/'7'!K18*1000</f>
        <v>5.8902006192262188</v>
      </c>
      <c r="V18" s="206">
        <v>125</v>
      </c>
      <c r="W18" s="259">
        <f>+V18/'7'!L18*1000</f>
        <v>7.132667617689016</v>
      </c>
      <c r="X18" s="206">
        <v>78</v>
      </c>
      <c r="Y18" s="259">
        <f>+X18/'7'!M18*1000</f>
        <v>5.2870602589303868</v>
      </c>
      <c r="Z18" s="206">
        <v>34</v>
      </c>
      <c r="AA18" s="259">
        <f>+Z18/'7'!N18*1000</f>
        <v>4.4636996192726794</v>
      </c>
      <c r="AB18" s="206">
        <v>154</v>
      </c>
      <c r="AC18" s="259">
        <f>+AB18/'7'!O18*1000</f>
        <v>6.4902225219150367</v>
      </c>
      <c r="AD18" s="206">
        <v>83</v>
      </c>
      <c r="AE18" s="259">
        <f>+AD18/'7'!P18*1000</f>
        <v>6.2060714819799605</v>
      </c>
    </row>
    <row r="19" spans="1:31" s="6" customFormat="1" ht="25.5" customHeight="1">
      <c r="A19" s="258">
        <f>+'25'!A19</f>
        <v>2014</v>
      </c>
      <c r="B19" s="206"/>
      <c r="C19" s="259"/>
      <c r="D19" s="206"/>
      <c r="E19" s="263"/>
      <c r="F19" s="206">
        <f>+J19+L19+N19+P19+T19+V19+X19+Z19+AB19+AD19</f>
        <v>1706</v>
      </c>
      <c r="G19" s="259">
        <f>+F19/'7'!D19*1000</f>
        <v>6.2270046136775097</v>
      </c>
      <c r="H19" s="272">
        <f>+J19+L19+N19+P19</f>
        <v>640</v>
      </c>
      <c r="I19" s="273">
        <f>+H19/'7'!E19*1000</f>
        <v>5.5173365058018247</v>
      </c>
      <c r="J19" s="206">
        <v>407</v>
      </c>
      <c r="K19" s="259">
        <f>+J19/'7'!F19*1000</f>
        <v>5.1864972665757652</v>
      </c>
      <c r="L19" s="206">
        <v>108</v>
      </c>
      <c r="M19" s="259">
        <f>+L19/'7'!G19*1000</f>
        <v>5.9533653051099718</v>
      </c>
      <c r="N19" s="206">
        <v>70</v>
      </c>
      <c r="O19" s="259">
        <f>+N19/'7'!H19*1000</f>
        <v>6.2994960403167752</v>
      </c>
      <c r="P19" s="206">
        <v>55</v>
      </c>
      <c r="Q19" s="259">
        <f>+P19/'7'!I19*1000</f>
        <v>6.6489361702127656</v>
      </c>
      <c r="R19" s="207">
        <f>+T19+V19+X19+Z19+AB19+AD19</f>
        <v>1066</v>
      </c>
      <c r="S19" s="273">
        <f>+R19/'7'!J19*1000</f>
        <v>6.7481167310248775</v>
      </c>
      <c r="T19" s="206">
        <v>542</v>
      </c>
      <c r="U19" s="259">
        <f>+T19/'7'!K19*1000</f>
        <v>6.7346761266914354</v>
      </c>
      <c r="V19" s="206">
        <v>122</v>
      </c>
      <c r="W19" s="259">
        <f>+V19/'7'!L19*1000</f>
        <v>6.8864303454504405</v>
      </c>
      <c r="X19" s="206">
        <v>104</v>
      </c>
      <c r="Y19" s="259">
        <f>+X19/'7'!M19*1000</f>
        <v>6.9967707212055972</v>
      </c>
      <c r="Z19" s="206">
        <v>51</v>
      </c>
      <c r="AA19" s="259">
        <f>+Z19/'7'!N19*1000</f>
        <v>6.6388961208018742</v>
      </c>
      <c r="AB19" s="206">
        <v>170</v>
      </c>
      <c r="AC19" s="259">
        <f>+AB19/'7'!O19*1000</f>
        <v>7.1398572028559437</v>
      </c>
      <c r="AD19" s="206">
        <v>77</v>
      </c>
      <c r="AE19" s="259">
        <f>+AD19/'7'!P19*1000</f>
        <v>5.7381324986958786</v>
      </c>
    </row>
    <row r="20" spans="1:31" s="6" customFormat="1" ht="25.5" customHeight="1">
      <c r="A20" s="258">
        <f>+'25'!A20</f>
        <v>2015</v>
      </c>
      <c r="B20" s="206"/>
      <c r="C20" s="259"/>
      <c r="D20" s="206"/>
      <c r="E20" s="263"/>
      <c r="F20" s="206">
        <f>+J20+L20+N20+P20+T20+V20+X20+Z20+AB20+AD20</f>
        <v>1572</v>
      </c>
      <c r="G20" s="259">
        <f>+F20/'7'!D20*1000</f>
        <v>5.6753975847067535</v>
      </c>
      <c r="H20" s="272">
        <f>+J20+L20+N20+P20</f>
        <v>580</v>
      </c>
      <c r="I20" s="273">
        <f>+H20/'7'!E20*1000</f>
        <v>4.936338258323687</v>
      </c>
      <c r="J20" s="206">
        <v>383</v>
      </c>
      <c r="K20" s="259">
        <f>+J20/'7'!F20*1000</f>
        <v>4.8093222999359595</v>
      </c>
      <c r="L20" s="206">
        <v>105</v>
      </c>
      <c r="M20" s="259">
        <f>+L20/'7'!G20*1000</f>
        <v>5.7180199313837603</v>
      </c>
      <c r="N20" s="206">
        <v>43</v>
      </c>
      <c r="O20" s="259">
        <f>+N20/'7'!H20*1000</f>
        <v>3.8634321653189576</v>
      </c>
      <c r="P20" s="206">
        <v>49</v>
      </c>
      <c r="Q20" s="259">
        <f>+P20/'7'!I20*1000</f>
        <v>5.8570404016256274</v>
      </c>
      <c r="R20" s="207">
        <f>+T20+V20+X20+Z20+AB20+AD20</f>
        <v>992</v>
      </c>
      <c r="S20" s="273">
        <f>+R20/'7'!J20*1000</f>
        <v>6.2198646928628305</v>
      </c>
      <c r="T20" s="206">
        <v>495</v>
      </c>
      <c r="U20" s="259">
        <f>+T20/'7'!K20*1000</f>
        <v>6.0736196319018401</v>
      </c>
      <c r="V20" s="206">
        <v>143</v>
      </c>
      <c r="W20" s="259">
        <f>+V20/'7'!L20*1000</f>
        <v>7.9861498938903157</v>
      </c>
      <c r="X20" s="206">
        <v>83</v>
      </c>
      <c r="Y20" s="259">
        <f>+X20/'7'!M20*1000</f>
        <v>5.543681538872562</v>
      </c>
      <c r="Z20" s="206">
        <v>45</v>
      </c>
      <c r="AA20" s="259">
        <f>+Z20/'7'!N20*1000</f>
        <v>5.8117008911274697</v>
      </c>
      <c r="AB20" s="206">
        <v>144</v>
      </c>
      <c r="AC20" s="259">
        <f>+AB20/'7'!O20*1000</f>
        <v>6.0271220492214965</v>
      </c>
      <c r="AD20" s="206">
        <v>82</v>
      </c>
      <c r="AE20" s="259">
        <f>+AD20/'7'!P20*1000</f>
        <v>6.0848916592460665</v>
      </c>
    </row>
    <row r="21" spans="1:31">
      <c r="A21" s="264"/>
      <c r="B21" s="209"/>
      <c r="C21" s="265"/>
      <c r="D21" s="209"/>
      <c r="E21" s="265"/>
      <c r="F21" s="215"/>
      <c r="G21" s="265"/>
      <c r="H21" s="266"/>
      <c r="I21" s="266"/>
      <c r="J21" s="209"/>
      <c r="K21" s="265"/>
      <c r="L21" s="209"/>
      <c r="M21" s="265"/>
      <c r="N21" s="209"/>
      <c r="O21" s="265"/>
      <c r="P21" s="209"/>
      <c r="Q21" s="265"/>
      <c r="R21" s="266"/>
      <c r="S21" s="266"/>
      <c r="T21" s="209"/>
      <c r="U21" s="265"/>
      <c r="V21" s="209"/>
      <c r="W21" s="265"/>
      <c r="X21" s="209"/>
      <c r="Y21" s="265"/>
      <c r="Z21" s="209"/>
      <c r="AA21" s="265"/>
      <c r="AB21" s="209"/>
      <c r="AC21" s="265"/>
      <c r="AD21" s="266"/>
      <c r="AE21" s="265"/>
    </row>
    <row r="22" spans="1:31">
      <c r="A22" s="216"/>
      <c r="B22" s="216"/>
      <c r="C22" s="216"/>
      <c r="D22" s="216"/>
      <c r="E22" s="216"/>
      <c r="F22" s="216"/>
      <c r="G22" s="1"/>
      <c r="H22" s="1"/>
      <c r="I22" s="1"/>
      <c r="J22" s="1"/>
      <c r="K22" s="1"/>
      <c r="L22" s="1"/>
      <c r="M22" s="1"/>
      <c r="N22" s="1"/>
      <c r="O22" s="1"/>
      <c r="P22" s="1"/>
      <c r="Q22" s="1"/>
      <c r="R22" s="1"/>
      <c r="S22" s="1"/>
      <c r="T22" s="1"/>
      <c r="U22" s="1"/>
      <c r="V22" s="1"/>
      <c r="W22" s="1"/>
      <c r="X22" s="1"/>
      <c r="Y22" s="1"/>
      <c r="Z22" s="1"/>
      <c r="AA22" s="1"/>
      <c r="AB22" s="1"/>
      <c r="AC22" s="1"/>
      <c r="AD22" s="1"/>
      <c r="AE22" s="1"/>
    </row>
    <row r="23" spans="1:31">
      <c r="A23" s="216"/>
      <c r="B23" s="220" t="str">
        <f>+'23'!B23</f>
        <v>AÑO   2015  :   DATOS POR OCURRENCIA   (Provisorios)</v>
      </c>
      <c r="C23" s="267"/>
      <c r="D23" s="267"/>
      <c r="E23" s="267"/>
      <c r="F23" s="267"/>
      <c r="G23" s="171"/>
      <c r="H23" s="171"/>
      <c r="I23" s="171"/>
      <c r="J23" s="171"/>
      <c r="K23" s="171"/>
      <c r="L23" s="1"/>
      <c r="M23" s="1"/>
      <c r="N23" s="1"/>
      <c r="O23" s="1"/>
      <c r="P23" s="1"/>
      <c r="Q23" s="1"/>
      <c r="R23" s="1"/>
      <c r="S23" s="1"/>
      <c r="T23" s="1"/>
      <c r="U23" s="1"/>
      <c r="V23" s="1"/>
      <c r="W23" s="1"/>
      <c r="X23" s="1"/>
      <c r="Y23" s="1"/>
      <c r="Z23" s="1"/>
      <c r="AA23" s="1"/>
      <c r="AB23" s="1"/>
      <c r="AC23" s="1"/>
      <c r="AD23" s="1"/>
      <c r="AE23" s="1"/>
    </row>
    <row r="24" spans="1:31">
      <c r="A24" s="216"/>
      <c r="B24" s="216"/>
      <c r="C24" s="220" t="s">
        <v>698</v>
      </c>
      <c r="D24" s="220"/>
      <c r="E24" s="216"/>
      <c r="F24" s="216"/>
      <c r="G24" s="1"/>
      <c r="H24" s="1"/>
      <c r="I24" s="1"/>
      <c r="J24" s="1"/>
      <c r="K24" s="1"/>
      <c r="L24" s="1"/>
      <c r="M24" s="1"/>
      <c r="N24" s="1"/>
      <c r="O24" s="1"/>
      <c r="P24" s="1"/>
      <c r="Q24" s="1"/>
      <c r="R24" s="1"/>
      <c r="S24" s="1"/>
      <c r="T24" s="1"/>
      <c r="U24" s="1"/>
      <c r="V24" s="1"/>
      <c r="W24" s="1"/>
      <c r="X24" s="1"/>
      <c r="Y24" s="1"/>
      <c r="Z24" s="1"/>
      <c r="AA24" s="1"/>
      <c r="AB24" s="1"/>
      <c r="AC24" s="1"/>
      <c r="AD24" s="1"/>
      <c r="AE24" s="1"/>
    </row>
    <row r="25" spans="1:31">
      <c r="A25" s="216"/>
      <c r="B25" s="216"/>
      <c r="C25" s="216"/>
      <c r="D25" s="216"/>
      <c r="E25" s="216"/>
      <c r="F25" s="216"/>
      <c r="G25" s="1"/>
      <c r="H25" s="1"/>
      <c r="I25" s="1"/>
      <c r="J25" s="1"/>
      <c r="K25" s="1"/>
      <c r="L25" s="1"/>
      <c r="M25" s="1"/>
      <c r="N25" s="1"/>
      <c r="O25" s="1"/>
      <c r="P25" s="1"/>
      <c r="Q25" s="1"/>
      <c r="R25" s="1"/>
      <c r="S25" s="1"/>
      <c r="T25" s="1"/>
      <c r="U25" s="1"/>
      <c r="V25" s="1"/>
      <c r="W25" s="1"/>
      <c r="X25" s="1"/>
      <c r="Y25" s="1"/>
      <c r="Z25" s="1"/>
      <c r="AA25" s="1"/>
      <c r="AB25" s="1"/>
      <c r="AC25" s="1"/>
      <c r="AD25" s="1"/>
      <c r="AE25" s="1"/>
    </row>
    <row r="26" spans="1:31">
      <c r="A26" s="220"/>
      <c r="B26" s="220"/>
      <c r="C26" s="220"/>
      <c r="D26" s="220"/>
      <c r="E26" s="220"/>
      <c r="F26" s="220"/>
    </row>
    <row r="27" spans="1:31">
      <c r="A27" s="220"/>
      <c r="B27" s="220"/>
      <c r="C27" s="220"/>
      <c r="D27" s="220"/>
      <c r="E27" s="220"/>
      <c r="F27" s="220"/>
    </row>
    <row r="28" spans="1:31">
      <c r="A28" s="220"/>
      <c r="B28" s="220"/>
      <c r="C28" s="220"/>
      <c r="D28" s="220"/>
      <c r="E28" s="220"/>
      <c r="F28" s="220"/>
    </row>
    <row r="29" spans="1:31">
      <c r="A29" s="220"/>
      <c r="B29" s="220"/>
      <c r="C29" s="220"/>
      <c r="D29" s="220"/>
      <c r="E29" s="220"/>
      <c r="F29" s="220"/>
    </row>
  </sheetData>
  <phoneticPr fontId="19" type="noConversion"/>
  <pageMargins left="0.98425196850393704"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8"/>
  <sheetViews>
    <sheetView topLeftCell="A35" zoomScaleNormal="100" workbookViewId="0">
      <selection activeCell="Z72" sqref="Z72"/>
    </sheetView>
  </sheetViews>
  <sheetFormatPr baseColWidth="10" defaultRowHeight="12.75"/>
  <cols>
    <col min="1" max="1" width="9" customWidth="1"/>
    <col min="2" max="2" width="27.85546875" customWidth="1"/>
    <col min="3" max="3" width="9.85546875" customWidth="1"/>
    <col min="4" max="4" width="9.7109375" customWidth="1"/>
    <col min="5" max="5" width="9.28515625" customWidth="1"/>
    <col min="6" max="6" width="10" customWidth="1"/>
    <col min="7" max="7" width="10.28515625" customWidth="1"/>
    <col min="8" max="8" width="10" customWidth="1"/>
    <col min="9" max="10" width="9.7109375" customWidth="1"/>
    <col min="11" max="11" width="10" customWidth="1"/>
    <col min="12" max="12" width="9" customWidth="1"/>
    <col min="13" max="13" width="8.5703125" customWidth="1"/>
    <col min="14" max="14" width="9.140625" customWidth="1"/>
    <col min="15" max="15" width="10.140625" customWidth="1"/>
    <col min="16" max="16" width="8.42578125" customWidth="1"/>
    <col min="17" max="17" width="8.7109375" customWidth="1"/>
    <col min="18" max="18" width="9.140625" customWidth="1"/>
  </cols>
  <sheetData>
    <row r="1" spans="1:16">
      <c r="A1" s="117" t="s">
        <v>699</v>
      </c>
      <c r="B1" s="117"/>
      <c r="C1" s="184"/>
      <c r="D1" s="184"/>
      <c r="E1" s="184"/>
      <c r="F1" s="184"/>
      <c r="G1" s="184"/>
      <c r="H1" s="1"/>
      <c r="I1" s="1"/>
      <c r="J1" s="1"/>
      <c r="K1" s="1"/>
      <c r="L1" s="1"/>
      <c r="M1" s="1"/>
      <c r="N1" s="1"/>
    </row>
    <row r="2" spans="1:16">
      <c r="A2" s="117"/>
      <c r="B2" s="117"/>
      <c r="C2" s="184"/>
      <c r="D2" s="184"/>
      <c r="E2" s="184"/>
      <c r="F2" s="184"/>
      <c r="G2" s="184"/>
      <c r="H2" s="1"/>
      <c r="I2" s="1"/>
      <c r="J2" s="1"/>
      <c r="K2" s="1"/>
      <c r="L2" s="1"/>
      <c r="M2" s="1"/>
      <c r="N2" s="1"/>
    </row>
    <row r="3" spans="1:16">
      <c r="A3" s="117" t="s">
        <v>1364</v>
      </c>
      <c r="B3" s="117"/>
      <c r="C3" s="184"/>
      <c r="D3" s="184"/>
      <c r="E3" s="184"/>
      <c r="F3" s="184"/>
      <c r="G3" s="184"/>
      <c r="H3" s="1"/>
      <c r="I3" s="1"/>
      <c r="J3" s="1"/>
      <c r="K3" s="1"/>
      <c r="L3" s="1"/>
      <c r="M3" s="1"/>
      <c r="N3" s="1"/>
    </row>
    <row r="4" spans="1:16">
      <c r="A4" s="117" t="s">
        <v>700</v>
      </c>
      <c r="B4" s="117"/>
      <c r="C4" s="184"/>
      <c r="D4" s="184"/>
      <c r="E4" s="184"/>
      <c r="F4" s="184"/>
      <c r="G4" s="184"/>
      <c r="H4" s="1"/>
      <c r="I4" s="1"/>
      <c r="J4" s="1"/>
      <c r="K4" s="1"/>
      <c r="L4" s="1"/>
      <c r="M4" s="1"/>
      <c r="N4" s="1"/>
    </row>
    <row r="5" spans="1:16">
      <c r="A5" s="289"/>
    </row>
    <row r="6" spans="1:16">
      <c r="A6" s="289"/>
    </row>
    <row r="7" spans="1:16" ht="18.75" customHeight="1">
      <c r="A7" s="290" t="s">
        <v>701</v>
      </c>
      <c r="B7" s="64"/>
      <c r="C7" s="291"/>
      <c r="D7" s="292" t="s">
        <v>702</v>
      </c>
      <c r="E7" s="292"/>
      <c r="F7" s="292"/>
      <c r="G7" s="292"/>
      <c r="H7" s="292"/>
      <c r="I7" s="292"/>
      <c r="J7" s="292"/>
      <c r="K7" s="292"/>
      <c r="L7" s="292"/>
      <c r="M7" s="292"/>
      <c r="N7" s="292"/>
      <c r="O7" s="292"/>
      <c r="P7" s="293"/>
    </row>
    <row r="8" spans="1:16" ht="23.25" customHeight="1">
      <c r="A8" s="294" t="s">
        <v>703</v>
      </c>
      <c r="B8" s="90" t="s">
        <v>704</v>
      </c>
      <c r="C8" s="295" t="s">
        <v>705</v>
      </c>
      <c r="D8" s="296" t="s">
        <v>649</v>
      </c>
      <c r="E8" s="297" t="s">
        <v>706</v>
      </c>
      <c r="F8" s="297" t="s">
        <v>707</v>
      </c>
      <c r="G8" s="297" t="s">
        <v>447</v>
      </c>
      <c r="H8" s="295" t="s">
        <v>708</v>
      </c>
      <c r="I8" s="297" t="s">
        <v>709</v>
      </c>
      <c r="J8" s="297" t="s">
        <v>411</v>
      </c>
      <c r="K8" s="297" t="s">
        <v>429</v>
      </c>
      <c r="L8" s="297" t="s">
        <v>434</v>
      </c>
      <c r="M8" s="297" t="s">
        <v>710</v>
      </c>
      <c r="N8" s="297" t="s">
        <v>436</v>
      </c>
      <c r="O8" s="297" t="s">
        <v>711</v>
      </c>
      <c r="P8" s="298" t="s">
        <v>535</v>
      </c>
    </row>
    <row r="9" spans="1:16" s="6" customFormat="1" ht="26.25" customHeight="1">
      <c r="A9" s="249" t="s">
        <v>712</v>
      </c>
      <c r="B9" s="299" t="s">
        <v>713</v>
      </c>
      <c r="C9" s="300">
        <f>SUM(D9:G9)</f>
        <v>129</v>
      </c>
      <c r="D9" s="301">
        <v>79</v>
      </c>
      <c r="E9" s="301">
        <v>24</v>
      </c>
      <c r="F9" s="301">
        <v>14</v>
      </c>
      <c r="G9" s="301">
        <v>12</v>
      </c>
      <c r="H9" s="300">
        <f>SUM(I9:N9)</f>
        <v>277</v>
      </c>
      <c r="I9" s="301">
        <v>137</v>
      </c>
      <c r="J9" s="301">
        <v>31</v>
      </c>
      <c r="K9" s="301">
        <v>27</v>
      </c>
      <c r="L9" s="301">
        <v>16</v>
      </c>
      <c r="M9" s="301">
        <v>43</v>
      </c>
      <c r="N9" s="301">
        <v>23</v>
      </c>
      <c r="O9" s="301"/>
      <c r="P9" s="100">
        <f>+O9+H9+C9</f>
        <v>406</v>
      </c>
    </row>
    <row r="10" spans="1:16" s="6" customFormat="1" ht="26.25" customHeight="1">
      <c r="A10" s="249" t="s">
        <v>714</v>
      </c>
      <c r="B10" s="299" t="s">
        <v>715</v>
      </c>
      <c r="C10" s="300">
        <f t="shared" ref="C10:C17" si="0">SUM(D10:G10)</f>
        <v>144</v>
      </c>
      <c r="D10" s="301">
        <v>95</v>
      </c>
      <c r="E10" s="301">
        <v>23</v>
      </c>
      <c r="F10" s="301">
        <v>9</v>
      </c>
      <c r="G10" s="301">
        <v>17</v>
      </c>
      <c r="H10" s="300">
        <f t="shared" ref="H10:H17" si="1">SUM(I10:N10)</f>
        <v>231</v>
      </c>
      <c r="I10" s="301">
        <v>106</v>
      </c>
      <c r="J10" s="301">
        <v>36</v>
      </c>
      <c r="K10" s="301">
        <v>19</v>
      </c>
      <c r="L10" s="301">
        <v>15</v>
      </c>
      <c r="M10" s="301">
        <v>39</v>
      </c>
      <c r="N10" s="301">
        <v>16</v>
      </c>
      <c r="O10" s="301"/>
      <c r="P10" s="100">
        <f t="shared" ref="P10:P17" si="2">+O10+H10+C10</f>
        <v>375</v>
      </c>
    </row>
    <row r="11" spans="1:16" s="6" customFormat="1" ht="26.25" customHeight="1">
      <c r="A11" s="249" t="s">
        <v>716</v>
      </c>
      <c r="B11" s="299" t="s">
        <v>717</v>
      </c>
      <c r="C11" s="300">
        <f t="shared" si="0"/>
        <v>58</v>
      </c>
      <c r="D11" s="301">
        <v>46</v>
      </c>
      <c r="E11" s="301">
        <v>7</v>
      </c>
      <c r="F11" s="301">
        <v>2</v>
      </c>
      <c r="G11" s="301">
        <v>3</v>
      </c>
      <c r="H11" s="300">
        <f t="shared" si="1"/>
        <v>114</v>
      </c>
      <c r="I11" s="301">
        <v>49</v>
      </c>
      <c r="J11" s="301">
        <v>21</v>
      </c>
      <c r="K11" s="301">
        <v>7</v>
      </c>
      <c r="L11" s="301">
        <v>3</v>
      </c>
      <c r="M11" s="301">
        <v>20</v>
      </c>
      <c r="N11" s="301">
        <v>14</v>
      </c>
      <c r="O11" s="301"/>
      <c r="P11" s="100">
        <f t="shared" si="2"/>
        <v>172</v>
      </c>
    </row>
    <row r="12" spans="1:16" s="6" customFormat="1" ht="26.25" customHeight="1">
      <c r="A12" s="249" t="s">
        <v>732</v>
      </c>
      <c r="B12" s="299" t="s">
        <v>733</v>
      </c>
      <c r="C12" s="300">
        <f t="shared" si="0"/>
        <v>33</v>
      </c>
      <c r="D12" s="301">
        <v>20</v>
      </c>
      <c r="E12" s="301">
        <v>7</v>
      </c>
      <c r="F12" s="301">
        <v>4</v>
      </c>
      <c r="G12" s="301">
        <v>2</v>
      </c>
      <c r="H12" s="300">
        <f t="shared" si="1"/>
        <v>59</v>
      </c>
      <c r="I12" s="301">
        <v>33</v>
      </c>
      <c r="J12" s="301">
        <v>4</v>
      </c>
      <c r="K12" s="301">
        <v>5</v>
      </c>
      <c r="L12" s="301">
        <v>3</v>
      </c>
      <c r="M12" s="301">
        <v>9</v>
      </c>
      <c r="N12" s="301">
        <v>5</v>
      </c>
      <c r="O12" s="301"/>
      <c r="P12" s="100">
        <f t="shared" si="2"/>
        <v>92</v>
      </c>
    </row>
    <row r="13" spans="1:16" s="6" customFormat="1" ht="26.25" customHeight="1">
      <c r="A13" s="249" t="s">
        <v>734</v>
      </c>
      <c r="B13" s="299" t="s">
        <v>735</v>
      </c>
      <c r="C13" s="300">
        <f t="shared" si="0"/>
        <v>39</v>
      </c>
      <c r="D13" s="301">
        <v>25</v>
      </c>
      <c r="E13" s="301">
        <v>8</v>
      </c>
      <c r="F13" s="301">
        <v>4</v>
      </c>
      <c r="G13" s="301">
        <v>2</v>
      </c>
      <c r="H13" s="300">
        <f t="shared" si="1"/>
        <v>67</v>
      </c>
      <c r="I13" s="301">
        <v>36</v>
      </c>
      <c r="J13" s="301">
        <v>10</v>
      </c>
      <c r="K13" s="301">
        <v>5</v>
      </c>
      <c r="L13" s="301">
        <v>2</v>
      </c>
      <c r="M13" s="301">
        <v>7</v>
      </c>
      <c r="N13" s="301">
        <v>7</v>
      </c>
      <c r="O13" s="301"/>
      <c r="P13" s="100">
        <f t="shared" si="2"/>
        <v>106</v>
      </c>
    </row>
    <row r="14" spans="1:16" s="6" customFormat="1" ht="26.25" customHeight="1">
      <c r="A14" s="249" t="s">
        <v>736</v>
      </c>
      <c r="B14" s="299" t="s">
        <v>737</v>
      </c>
      <c r="C14" s="300">
        <f>SUM(D14:G14)</f>
        <v>15</v>
      </c>
      <c r="D14" s="301">
        <v>10</v>
      </c>
      <c r="E14" s="301">
        <v>1</v>
      </c>
      <c r="F14" s="301">
        <v>2</v>
      </c>
      <c r="G14" s="301">
        <v>2</v>
      </c>
      <c r="H14" s="300">
        <f>SUM(I14:N14)</f>
        <v>43</v>
      </c>
      <c r="I14" s="301">
        <v>21</v>
      </c>
      <c r="J14" s="301">
        <v>7</v>
      </c>
      <c r="K14" s="301">
        <v>4</v>
      </c>
      <c r="L14" s="301">
        <v>1</v>
      </c>
      <c r="M14" s="301">
        <v>7</v>
      </c>
      <c r="N14" s="301">
        <v>3</v>
      </c>
      <c r="O14" s="301"/>
      <c r="P14" s="100">
        <f>+O14+H14+C14</f>
        <v>58</v>
      </c>
    </row>
    <row r="15" spans="1:16" s="6" customFormat="1" ht="26.25" customHeight="1">
      <c r="A15" s="249" t="s">
        <v>738</v>
      </c>
      <c r="B15" s="299" t="s">
        <v>739</v>
      </c>
      <c r="C15" s="300">
        <f t="shared" si="0"/>
        <v>17</v>
      </c>
      <c r="D15" s="301">
        <v>12</v>
      </c>
      <c r="E15" s="301">
        <v>4</v>
      </c>
      <c r="F15" s="301">
        <v>1</v>
      </c>
      <c r="G15" s="301"/>
      <c r="H15" s="300">
        <f t="shared" si="1"/>
        <v>29</v>
      </c>
      <c r="I15" s="301">
        <v>13</v>
      </c>
      <c r="J15" s="301">
        <v>10</v>
      </c>
      <c r="K15" s="301">
        <v>3</v>
      </c>
      <c r="L15" s="301">
        <v>1</v>
      </c>
      <c r="M15" s="301">
        <v>2</v>
      </c>
      <c r="N15" s="301"/>
      <c r="O15" s="301"/>
      <c r="P15" s="100">
        <f t="shared" si="2"/>
        <v>46</v>
      </c>
    </row>
    <row r="16" spans="1:16" s="6" customFormat="1" ht="26.25" customHeight="1">
      <c r="A16" s="249" t="s">
        <v>740</v>
      </c>
      <c r="B16" s="299" t="s">
        <v>741</v>
      </c>
      <c r="C16" s="300">
        <f t="shared" si="0"/>
        <v>65</v>
      </c>
      <c r="D16" s="301">
        <v>48</v>
      </c>
      <c r="E16" s="301">
        <v>12</v>
      </c>
      <c r="F16" s="301">
        <v>2</v>
      </c>
      <c r="G16" s="301">
        <v>3</v>
      </c>
      <c r="H16" s="300">
        <f t="shared" si="1"/>
        <v>35</v>
      </c>
      <c r="I16" s="301">
        <v>19</v>
      </c>
      <c r="J16" s="301">
        <v>5</v>
      </c>
      <c r="K16" s="301">
        <v>5</v>
      </c>
      <c r="L16" s="301"/>
      <c r="M16" s="301">
        <v>4</v>
      </c>
      <c r="N16" s="301">
        <v>2</v>
      </c>
      <c r="O16" s="301"/>
      <c r="P16" s="100">
        <f t="shared" si="2"/>
        <v>100</v>
      </c>
    </row>
    <row r="17" spans="1:18" s="6" customFormat="1" ht="26.25" customHeight="1">
      <c r="A17" s="249" t="s">
        <v>742</v>
      </c>
      <c r="B17" s="299" t="s">
        <v>743</v>
      </c>
      <c r="C17" s="300">
        <f t="shared" si="0"/>
        <v>32</v>
      </c>
      <c r="D17" s="301">
        <v>20</v>
      </c>
      <c r="E17" s="301">
        <v>6</v>
      </c>
      <c r="F17" s="301">
        <v>3</v>
      </c>
      <c r="G17" s="301">
        <v>3</v>
      </c>
      <c r="H17" s="300">
        <f t="shared" si="1"/>
        <v>43</v>
      </c>
      <c r="I17" s="301">
        <v>21</v>
      </c>
      <c r="J17" s="301">
        <v>8</v>
      </c>
      <c r="K17" s="301">
        <v>2</v>
      </c>
      <c r="L17" s="301">
        <v>1</v>
      </c>
      <c r="M17" s="301">
        <v>7</v>
      </c>
      <c r="N17" s="301">
        <v>4</v>
      </c>
      <c r="O17" s="301"/>
      <c r="P17" s="100">
        <f t="shared" si="2"/>
        <v>75</v>
      </c>
    </row>
    <row r="18" spans="1:18" s="6" customFormat="1" ht="26.25" customHeight="1">
      <c r="A18" s="249" t="s">
        <v>744</v>
      </c>
      <c r="B18" s="299" t="s">
        <v>745</v>
      </c>
      <c r="C18" s="300">
        <f>SUM(D18:G18)</f>
        <v>4</v>
      </c>
      <c r="D18" s="301">
        <v>2</v>
      </c>
      <c r="E18" s="301">
        <v>2</v>
      </c>
      <c r="F18" s="301"/>
      <c r="G18" s="301"/>
      <c r="H18" s="300">
        <f>SUM(I18:N18)</f>
        <v>10</v>
      </c>
      <c r="I18" s="301">
        <v>8</v>
      </c>
      <c r="J18" s="301">
        <v>2</v>
      </c>
      <c r="K18" s="301"/>
      <c r="L18" s="301"/>
      <c r="M18" s="301"/>
      <c r="N18" s="301"/>
      <c r="O18" s="301"/>
      <c r="P18" s="100">
        <f>+O18+H18+C18</f>
        <v>14</v>
      </c>
    </row>
    <row r="19" spans="1:18" s="6" customFormat="1" ht="26.25" customHeight="1">
      <c r="A19" s="249" t="s">
        <v>746</v>
      </c>
      <c r="B19" s="299" t="s">
        <v>747</v>
      </c>
      <c r="C19" s="300">
        <f>SUM(D19:G19)</f>
        <v>4</v>
      </c>
      <c r="D19" s="301">
        <v>1</v>
      </c>
      <c r="E19" s="301">
        <v>2</v>
      </c>
      <c r="F19" s="301">
        <v>1</v>
      </c>
      <c r="G19" s="301"/>
      <c r="H19" s="300">
        <f>SUM(I19:N19)</f>
        <v>6</v>
      </c>
      <c r="I19" s="301">
        <v>4</v>
      </c>
      <c r="J19" s="301">
        <v>1</v>
      </c>
      <c r="K19" s="301"/>
      <c r="L19" s="301"/>
      <c r="M19" s="301">
        <v>1</v>
      </c>
      <c r="N19" s="301"/>
      <c r="O19" s="301"/>
      <c r="P19" s="100">
        <f>+O19+H19+C19</f>
        <v>10</v>
      </c>
    </row>
    <row r="20" spans="1:18" s="6" customFormat="1" ht="26.25" customHeight="1">
      <c r="A20" s="299"/>
      <c r="B20" s="299" t="s">
        <v>499</v>
      </c>
      <c r="C20" s="300">
        <f>SUM(D20:G20)</f>
        <v>40</v>
      </c>
      <c r="D20" s="1166">
        <v>25</v>
      </c>
      <c r="E20" s="1166">
        <v>9</v>
      </c>
      <c r="F20" s="1166">
        <v>1</v>
      </c>
      <c r="G20" s="1166">
        <v>5</v>
      </c>
      <c r="H20" s="300">
        <f>SUM(I20:N20)</f>
        <v>78</v>
      </c>
      <c r="I20" s="1166">
        <v>48</v>
      </c>
      <c r="J20" s="1166">
        <v>8</v>
      </c>
      <c r="K20" s="1166">
        <v>6</v>
      </c>
      <c r="L20" s="1166">
        <v>3</v>
      </c>
      <c r="M20" s="1166">
        <v>5</v>
      </c>
      <c r="N20" s="1169">
        <v>8</v>
      </c>
      <c r="O20" s="301"/>
      <c r="P20" s="100">
        <f>+O20+H20+C20</f>
        <v>118</v>
      </c>
    </row>
    <row r="21" spans="1:18" ht="21.75" customHeight="1">
      <c r="A21" s="302"/>
      <c r="B21" s="302" t="s">
        <v>535</v>
      </c>
      <c r="C21" s="303">
        <f t="shared" ref="C21:P21" si="3">SUM(C9:C20)</f>
        <v>580</v>
      </c>
      <c r="D21" s="304">
        <f t="shared" si="3"/>
        <v>383</v>
      </c>
      <c r="E21" s="304">
        <f t="shared" si="3"/>
        <v>105</v>
      </c>
      <c r="F21" s="304">
        <f t="shared" si="3"/>
        <v>43</v>
      </c>
      <c r="G21" s="304">
        <f t="shared" si="3"/>
        <v>49</v>
      </c>
      <c r="H21" s="305">
        <f t="shared" si="3"/>
        <v>992</v>
      </c>
      <c r="I21" s="304">
        <f t="shared" si="3"/>
        <v>495</v>
      </c>
      <c r="J21" s="304">
        <f t="shared" si="3"/>
        <v>143</v>
      </c>
      <c r="K21" s="304">
        <f t="shared" si="3"/>
        <v>83</v>
      </c>
      <c r="L21" s="304">
        <f t="shared" si="3"/>
        <v>45</v>
      </c>
      <c r="M21" s="304">
        <f t="shared" si="3"/>
        <v>144</v>
      </c>
      <c r="N21" s="304">
        <f t="shared" si="3"/>
        <v>82</v>
      </c>
      <c r="O21" s="304">
        <f t="shared" si="3"/>
        <v>0</v>
      </c>
      <c r="P21" s="306">
        <f t="shared" si="3"/>
        <v>1572</v>
      </c>
      <c r="R21" s="6"/>
    </row>
    <row r="22" spans="1:18">
      <c r="A22" s="11"/>
      <c r="B22" s="11"/>
      <c r="C22" s="11"/>
      <c r="D22" s="11"/>
      <c r="E22" s="11"/>
      <c r="F22" s="11"/>
      <c r="G22" s="11"/>
      <c r="H22" s="11"/>
      <c r="I22" s="11"/>
      <c r="J22" s="11"/>
      <c r="K22" s="11"/>
      <c r="L22" s="11"/>
      <c r="M22" s="11"/>
      <c r="N22" s="11"/>
    </row>
    <row r="23" spans="1:18">
      <c r="A23" s="11"/>
      <c r="B23" s="167"/>
      <c r="C23" s="11"/>
      <c r="D23" s="167"/>
      <c r="E23" s="167"/>
      <c r="F23" s="167"/>
      <c r="G23" s="167"/>
      <c r="H23" s="11"/>
      <c r="I23" s="167"/>
      <c r="J23" s="167"/>
      <c r="K23" s="167"/>
      <c r="L23" s="167"/>
      <c r="M23" s="167"/>
      <c r="N23" s="1103"/>
      <c r="O23" s="11"/>
    </row>
    <row r="24" spans="1:18">
      <c r="A24" s="11"/>
      <c r="B24" s="11"/>
      <c r="C24" s="11"/>
      <c r="D24" s="11"/>
      <c r="E24" s="11"/>
      <c r="F24" s="11"/>
      <c r="G24" s="11"/>
      <c r="H24" s="11"/>
      <c r="I24" s="11"/>
      <c r="J24" s="11"/>
      <c r="K24" s="11"/>
      <c r="L24" s="11"/>
      <c r="M24" s="11"/>
      <c r="N24" s="11"/>
      <c r="O24" s="11"/>
    </row>
    <row r="25" spans="1:18">
      <c r="A25" s="11"/>
      <c r="B25" s="11"/>
      <c r="C25" s="11"/>
      <c r="D25" s="167"/>
      <c r="E25" s="167"/>
      <c r="F25" s="167"/>
      <c r="G25" s="167"/>
      <c r="H25" s="167"/>
      <c r="I25" s="167"/>
      <c r="J25" s="167"/>
      <c r="K25" s="167"/>
      <c r="L25" s="167"/>
      <c r="M25" s="167"/>
      <c r="N25" s="167"/>
      <c r="O25" s="167"/>
      <c r="P25" s="11"/>
    </row>
    <row r="26" spans="1:18">
      <c r="A26" s="11"/>
      <c r="B26" s="11"/>
      <c r="C26" s="11"/>
      <c r="D26" s="11"/>
      <c r="E26" s="11"/>
      <c r="F26" s="11"/>
      <c r="G26" s="11"/>
      <c r="H26" s="11"/>
      <c r="I26" s="11"/>
      <c r="J26" s="11"/>
      <c r="K26" s="11"/>
      <c r="L26" s="11"/>
      <c r="M26" s="11"/>
      <c r="N26" s="11"/>
      <c r="O26" s="11"/>
    </row>
    <row r="27" spans="1:18">
      <c r="A27" s="11"/>
      <c r="B27" s="11"/>
      <c r="C27" s="11"/>
      <c r="D27" s="11"/>
      <c r="E27" s="11"/>
      <c r="F27" s="11"/>
      <c r="G27" s="11"/>
      <c r="H27" s="11"/>
      <c r="I27" s="11"/>
      <c r="J27" s="11"/>
      <c r="K27" s="11"/>
      <c r="L27" s="11"/>
      <c r="M27" s="11"/>
      <c r="N27" s="11"/>
    </row>
    <row r="28" spans="1:18">
      <c r="A28" s="11"/>
      <c r="B28" s="11"/>
      <c r="C28" s="11"/>
      <c r="D28" s="11"/>
      <c r="E28" s="11"/>
      <c r="F28" s="11"/>
      <c r="G28" s="11"/>
      <c r="H28" s="11"/>
      <c r="I28" s="11"/>
      <c r="J28" s="11"/>
      <c r="K28" s="11"/>
      <c r="L28" s="11"/>
      <c r="M28" s="11"/>
      <c r="N28" s="11"/>
      <c r="O28" s="11"/>
    </row>
    <row r="29" spans="1:18">
      <c r="A29" s="11"/>
      <c r="B29" s="11"/>
      <c r="C29" s="11"/>
      <c r="D29" s="167"/>
      <c r="E29" s="167"/>
      <c r="F29" s="167"/>
      <c r="G29" s="167"/>
      <c r="H29" s="167"/>
      <c r="I29" s="167"/>
      <c r="J29" s="167"/>
      <c r="K29" s="167"/>
      <c r="L29" s="167"/>
      <c r="M29" s="167"/>
      <c r="N29" s="167"/>
      <c r="O29" s="167"/>
    </row>
    <row r="30" spans="1:18">
      <c r="A30" s="11"/>
      <c r="B30" s="11"/>
      <c r="C30" s="11"/>
      <c r="D30" s="11"/>
      <c r="E30" s="11"/>
      <c r="F30" s="11"/>
      <c r="G30" s="11"/>
      <c r="H30" s="11"/>
      <c r="I30" s="11"/>
      <c r="J30" s="11"/>
      <c r="K30" s="11"/>
      <c r="L30" s="11"/>
      <c r="M30" s="11"/>
      <c r="N30" s="11"/>
    </row>
    <row r="31" spans="1:18">
      <c r="A31" s="117" t="s">
        <v>748</v>
      </c>
      <c r="B31" s="184"/>
      <c r="C31" s="184"/>
      <c r="D31" s="184"/>
      <c r="E31" s="184"/>
      <c r="F31" s="184"/>
      <c r="G31" s="184"/>
      <c r="H31" s="1"/>
      <c r="I31" s="1"/>
      <c r="J31" s="1"/>
      <c r="K31" s="1"/>
      <c r="L31" s="1"/>
      <c r="M31" s="1"/>
      <c r="N31" s="1"/>
    </row>
    <row r="32" spans="1:18">
      <c r="A32" s="117"/>
      <c r="B32" s="184"/>
      <c r="C32" s="184"/>
      <c r="D32" s="184"/>
      <c r="E32" s="184"/>
      <c r="F32" s="184"/>
      <c r="G32" s="184"/>
      <c r="H32" s="1"/>
      <c r="I32" s="1"/>
      <c r="J32" s="1"/>
      <c r="K32" s="1"/>
      <c r="L32" s="1"/>
      <c r="M32" s="1"/>
      <c r="N32" s="1"/>
    </row>
    <row r="33" spans="1:15">
      <c r="A33" s="117" t="str">
        <f>+A3</f>
        <v>SERVICIO DE SALUD   ACONCAGUA   2015</v>
      </c>
      <c r="B33" s="184"/>
      <c r="C33" s="184"/>
      <c r="D33" s="184"/>
      <c r="E33" s="184"/>
      <c r="F33" s="184"/>
      <c r="G33" s="184"/>
      <c r="H33" s="1"/>
      <c r="I33" s="1"/>
      <c r="J33" s="1"/>
      <c r="K33" s="1"/>
      <c r="L33" s="1"/>
      <c r="M33" s="1"/>
      <c r="N33" s="1"/>
    </row>
    <row r="34" spans="1:15">
      <c r="A34" s="117" t="s">
        <v>700</v>
      </c>
      <c r="B34" s="184"/>
      <c r="C34" s="184"/>
      <c r="D34" s="184"/>
      <c r="E34" s="184"/>
      <c r="F34" s="184"/>
      <c r="G34" s="184"/>
      <c r="H34" s="1"/>
      <c r="I34" s="1"/>
      <c r="J34" s="1"/>
      <c r="K34" s="1"/>
      <c r="L34" s="1"/>
      <c r="M34" s="1"/>
      <c r="N34" s="1"/>
    </row>
    <row r="35" spans="1:15">
      <c r="A35" s="289"/>
    </row>
    <row r="36" spans="1:15">
      <c r="A36" s="289"/>
    </row>
    <row r="37" spans="1:15" ht="18" customHeight="1">
      <c r="A37" s="290" t="s">
        <v>701</v>
      </c>
      <c r="B37" s="64"/>
      <c r="C37" s="292" t="s">
        <v>749</v>
      </c>
      <c r="D37" s="292"/>
      <c r="E37" s="292"/>
      <c r="F37" s="292"/>
      <c r="G37" s="292"/>
      <c r="H37" s="292"/>
      <c r="I37" s="292"/>
      <c r="J37" s="292"/>
      <c r="K37" s="292"/>
      <c r="L37" s="292"/>
      <c r="M37" s="292"/>
      <c r="N37" s="277"/>
    </row>
    <row r="38" spans="1:15" ht="21.75" customHeight="1">
      <c r="A38" s="294" t="s">
        <v>703</v>
      </c>
      <c r="B38" s="90" t="s">
        <v>704</v>
      </c>
      <c r="C38" s="296" t="s">
        <v>750</v>
      </c>
      <c r="D38" s="297" t="s">
        <v>751</v>
      </c>
      <c r="E38" s="297" t="s">
        <v>752</v>
      </c>
      <c r="F38" s="297" t="s">
        <v>753</v>
      </c>
      <c r="G38" s="297" t="s">
        <v>754</v>
      </c>
      <c r="H38" s="297" t="s">
        <v>755</v>
      </c>
      <c r="I38" s="297" t="s">
        <v>756</v>
      </c>
      <c r="J38" s="297" t="s">
        <v>757</v>
      </c>
      <c r="K38" s="297" t="s">
        <v>758</v>
      </c>
      <c r="L38" s="297" t="s">
        <v>759</v>
      </c>
      <c r="M38" s="297" t="s">
        <v>760</v>
      </c>
      <c r="N38" s="298" t="s">
        <v>535</v>
      </c>
    </row>
    <row r="39" spans="1:15" s="6" customFormat="1" ht="26.25" customHeight="1">
      <c r="A39" s="249" t="s">
        <v>712</v>
      </c>
      <c r="B39" s="299" t="s">
        <v>713</v>
      </c>
      <c r="C39" s="301"/>
      <c r="D39" s="301"/>
      <c r="E39" s="301"/>
      <c r="F39" s="301">
        <v>1</v>
      </c>
      <c r="G39" s="301"/>
      <c r="H39" s="301"/>
      <c r="I39" s="301">
        <v>1</v>
      </c>
      <c r="J39" s="301"/>
      <c r="K39" s="301">
        <v>9</v>
      </c>
      <c r="L39" s="301">
        <v>69</v>
      </c>
      <c r="M39" s="301">
        <v>326</v>
      </c>
      <c r="N39" s="100">
        <f t="shared" ref="N39:N50" si="4">SUM(D39:M39)</f>
        <v>406</v>
      </c>
      <c r="O39" s="316"/>
    </row>
    <row r="40" spans="1:15" s="6" customFormat="1" ht="26.25" customHeight="1">
      <c r="A40" s="249" t="s">
        <v>714</v>
      </c>
      <c r="B40" s="299" t="s">
        <v>715</v>
      </c>
      <c r="C40" s="301"/>
      <c r="D40" s="301"/>
      <c r="E40" s="301"/>
      <c r="F40" s="301"/>
      <c r="G40" s="301">
        <v>2</v>
      </c>
      <c r="H40" s="301">
        <v>2</v>
      </c>
      <c r="I40" s="301"/>
      <c r="J40" s="301">
        <v>2</v>
      </c>
      <c r="K40" s="301">
        <v>17</v>
      </c>
      <c r="L40" s="301">
        <v>84</v>
      </c>
      <c r="M40" s="301">
        <v>268</v>
      </c>
      <c r="N40" s="100">
        <f t="shared" si="4"/>
        <v>375</v>
      </c>
    </row>
    <row r="41" spans="1:15" s="6" customFormat="1" ht="26.25" customHeight="1">
      <c r="A41" s="249" t="s">
        <v>716</v>
      </c>
      <c r="B41" s="299" t="s">
        <v>717</v>
      </c>
      <c r="C41" s="301"/>
      <c r="D41" s="301"/>
      <c r="E41" s="301">
        <v>1</v>
      </c>
      <c r="F41" s="301"/>
      <c r="G41" s="301"/>
      <c r="H41" s="301"/>
      <c r="I41" s="301">
        <v>1</v>
      </c>
      <c r="J41" s="301"/>
      <c r="K41" s="301">
        <v>1</v>
      </c>
      <c r="L41" s="301">
        <v>14</v>
      </c>
      <c r="M41" s="301">
        <v>155</v>
      </c>
      <c r="N41" s="100">
        <f t="shared" si="4"/>
        <v>172</v>
      </c>
      <c r="O41" s="316"/>
    </row>
    <row r="42" spans="1:15" s="6" customFormat="1" ht="26.25" customHeight="1">
      <c r="A42" s="249" t="s">
        <v>732</v>
      </c>
      <c r="B42" s="299" t="s">
        <v>733</v>
      </c>
      <c r="C42" s="301"/>
      <c r="D42" s="301"/>
      <c r="E42" s="301"/>
      <c r="F42" s="301"/>
      <c r="G42" s="301">
        <v>2</v>
      </c>
      <c r="H42" s="301">
        <v>1</v>
      </c>
      <c r="I42" s="301">
        <v>1</v>
      </c>
      <c r="J42" s="301">
        <v>2</v>
      </c>
      <c r="K42" s="301">
        <v>35</v>
      </c>
      <c r="L42" s="301">
        <v>29</v>
      </c>
      <c r="M42" s="301">
        <v>22</v>
      </c>
      <c r="N42" s="100">
        <f t="shared" si="4"/>
        <v>92</v>
      </c>
    </row>
    <row r="43" spans="1:15" s="6" customFormat="1" ht="26.25" customHeight="1">
      <c r="A43" s="249" t="s">
        <v>734</v>
      </c>
      <c r="B43" s="299" t="s">
        <v>735</v>
      </c>
      <c r="C43" s="301"/>
      <c r="D43" s="301"/>
      <c r="E43" s="301"/>
      <c r="F43" s="301"/>
      <c r="G43" s="301"/>
      <c r="H43" s="301"/>
      <c r="I43" s="301"/>
      <c r="J43" s="301"/>
      <c r="K43" s="301">
        <v>1</v>
      </c>
      <c r="L43" s="301">
        <v>37</v>
      </c>
      <c r="M43" s="301">
        <v>68</v>
      </c>
      <c r="N43" s="100">
        <f t="shared" si="4"/>
        <v>106</v>
      </c>
    </row>
    <row r="44" spans="1:15" s="6" customFormat="1" ht="26.25" customHeight="1">
      <c r="A44" s="249" t="s">
        <v>736</v>
      </c>
      <c r="B44" s="299" t="s">
        <v>737</v>
      </c>
      <c r="C44" s="301"/>
      <c r="D44" s="301"/>
      <c r="E44" s="301"/>
      <c r="F44" s="301"/>
      <c r="G44" s="301"/>
      <c r="H44" s="301"/>
      <c r="I44" s="301"/>
      <c r="J44" s="301"/>
      <c r="K44" s="301">
        <v>1</v>
      </c>
      <c r="L44" s="301">
        <v>7</v>
      </c>
      <c r="M44" s="301">
        <v>50</v>
      </c>
      <c r="N44" s="100">
        <f>SUM(D44:M44)</f>
        <v>58</v>
      </c>
    </row>
    <row r="45" spans="1:15" s="6" customFormat="1" ht="26.25" customHeight="1">
      <c r="A45" s="249" t="s">
        <v>738</v>
      </c>
      <c r="B45" s="299" t="s">
        <v>739</v>
      </c>
      <c r="C45" s="301"/>
      <c r="D45" s="301"/>
      <c r="E45" s="301">
        <v>1</v>
      </c>
      <c r="F45" s="301"/>
      <c r="G45" s="301"/>
      <c r="H45" s="301"/>
      <c r="I45" s="301"/>
      <c r="J45" s="301"/>
      <c r="K45" s="301">
        <v>5</v>
      </c>
      <c r="L45" s="301">
        <v>11</v>
      </c>
      <c r="M45" s="301">
        <v>29</v>
      </c>
      <c r="N45" s="100">
        <f t="shared" si="4"/>
        <v>46</v>
      </c>
    </row>
    <row r="46" spans="1:15" s="6" customFormat="1" ht="26.25" customHeight="1">
      <c r="A46" s="249" t="s">
        <v>740</v>
      </c>
      <c r="B46" s="299" t="s">
        <v>761</v>
      </c>
      <c r="C46" s="301"/>
      <c r="D46" s="301"/>
      <c r="E46" s="301">
        <v>1</v>
      </c>
      <c r="F46" s="301">
        <v>1</v>
      </c>
      <c r="G46" s="301">
        <v>1</v>
      </c>
      <c r="H46" s="301"/>
      <c r="I46" s="301"/>
      <c r="J46" s="301"/>
      <c r="K46" s="301">
        <v>3</v>
      </c>
      <c r="L46" s="301">
        <v>11</v>
      </c>
      <c r="M46" s="301">
        <v>83</v>
      </c>
      <c r="N46" s="100">
        <f t="shared" si="4"/>
        <v>100</v>
      </c>
    </row>
    <row r="47" spans="1:15" s="6" customFormat="1" ht="26.25" customHeight="1">
      <c r="A47" s="249" t="s">
        <v>742</v>
      </c>
      <c r="B47" s="299" t="s">
        <v>743</v>
      </c>
      <c r="C47" s="301"/>
      <c r="D47" s="1168"/>
      <c r="E47" s="301"/>
      <c r="F47" s="301">
        <v>1</v>
      </c>
      <c r="G47" s="301"/>
      <c r="H47" s="301"/>
      <c r="I47" s="301"/>
      <c r="J47" s="301"/>
      <c r="K47" s="301">
        <v>2</v>
      </c>
      <c r="L47" s="301">
        <v>14</v>
      </c>
      <c r="M47" s="301">
        <v>58</v>
      </c>
      <c r="N47" s="100">
        <f t="shared" si="4"/>
        <v>75</v>
      </c>
    </row>
    <row r="48" spans="1:15" s="6" customFormat="1" ht="26.25" customHeight="1">
      <c r="A48" s="249" t="s">
        <v>744</v>
      </c>
      <c r="B48" s="299" t="s">
        <v>745</v>
      </c>
      <c r="C48" s="301"/>
      <c r="D48" s="301">
        <v>11</v>
      </c>
      <c r="E48" s="301">
        <v>3</v>
      </c>
      <c r="F48" s="301"/>
      <c r="G48" s="301"/>
      <c r="H48" s="301"/>
      <c r="I48" s="301"/>
      <c r="J48" s="301"/>
      <c r="K48" s="301"/>
      <c r="L48" s="301"/>
      <c r="M48" s="301"/>
      <c r="N48" s="100">
        <f t="shared" si="4"/>
        <v>14</v>
      </c>
    </row>
    <row r="49" spans="1:16" s="6" customFormat="1" ht="26.25" customHeight="1">
      <c r="A49" s="249" t="s">
        <v>746</v>
      </c>
      <c r="B49" s="299" t="s">
        <v>747</v>
      </c>
      <c r="C49" s="301"/>
      <c r="D49" s="301">
        <v>2</v>
      </c>
      <c r="E49" s="301">
        <v>2</v>
      </c>
      <c r="F49" s="301">
        <v>4</v>
      </c>
      <c r="G49" s="301">
        <v>1</v>
      </c>
      <c r="H49" s="301"/>
      <c r="I49" s="301"/>
      <c r="J49" s="301"/>
      <c r="K49" s="301"/>
      <c r="L49" s="301"/>
      <c r="M49" s="301">
        <v>1</v>
      </c>
      <c r="N49" s="100">
        <f>SUM(D49:M49)</f>
        <v>10</v>
      </c>
    </row>
    <row r="50" spans="1:16" ht="26.25" customHeight="1">
      <c r="A50" s="299"/>
      <c r="B50" s="299" t="s">
        <v>762</v>
      </c>
      <c r="C50" s="301"/>
      <c r="D50" s="301"/>
      <c r="E50" s="301"/>
      <c r="F50" s="301"/>
      <c r="G50" s="301"/>
      <c r="H50" s="301"/>
      <c r="I50" s="301"/>
      <c r="J50" s="301"/>
      <c r="K50" s="301">
        <v>9</v>
      </c>
      <c r="L50" s="301">
        <v>15</v>
      </c>
      <c r="M50" s="301">
        <v>94</v>
      </c>
      <c r="N50" s="100">
        <f t="shared" si="4"/>
        <v>118</v>
      </c>
      <c r="O50" s="6"/>
      <c r="P50" s="6"/>
    </row>
    <row r="51" spans="1:16" ht="23.25" customHeight="1">
      <c r="A51" s="302"/>
      <c r="B51" s="302" t="s">
        <v>763</v>
      </c>
      <c r="C51" s="304">
        <f t="shared" ref="C51:N51" si="5">SUM(C39:C50)</f>
        <v>0</v>
      </c>
      <c r="D51" s="304">
        <f t="shared" si="5"/>
        <v>13</v>
      </c>
      <c r="E51" s="304">
        <f t="shared" si="5"/>
        <v>8</v>
      </c>
      <c r="F51" s="304">
        <f t="shared" si="5"/>
        <v>7</v>
      </c>
      <c r="G51" s="304">
        <v>3</v>
      </c>
      <c r="H51" s="304">
        <f t="shared" si="5"/>
        <v>3</v>
      </c>
      <c r="I51" s="304">
        <f t="shared" si="5"/>
        <v>3</v>
      </c>
      <c r="J51" s="304">
        <f t="shared" si="5"/>
        <v>4</v>
      </c>
      <c r="K51" s="304">
        <f t="shared" si="5"/>
        <v>83</v>
      </c>
      <c r="L51" s="304">
        <f t="shared" si="5"/>
        <v>291</v>
      </c>
      <c r="M51" s="304">
        <f t="shared" si="5"/>
        <v>1154</v>
      </c>
      <c r="N51" s="306">
        <f t="shared" si="5"/>
        <v>1572</v>
      </c>
      <c r="P51" s="6"/>
    </row>
    <row r="52" spans="1:16">
      <c r="A52" s="11"/>
      <c r="B52" s="11"/>
      <c r="C52" s="11"/>
      <c r="D52" s="11"/>
      <c r="E52" s="11"/>
      <c r="F52" s="11"/>
      <c r="G52" s="11"/>
      <c r="H52" s="11"/>
      <c r="I52" s="11"/>
      <c r="J52" s="11"/>
      <c r="K52" s="11"/>
      <c r="L52" s="11"/>
      <c r="M52" s="11"/>
      <c r="N52" s="11"/>
    </row>
    <row r="65" spans="4:11">
      <c r="G65">
        <v>2015</v>
      </c>
      <c r="H65">
        <v>1992</v>
      </c>
      <c r="I65" t="s">
        <v>764</v>
      </c>
      <c r="J65" t="s">
        <v>765</v>
      </c>
      <c r="K65" t="s">
        <v>766</v>
      </c>
    </row>
    <row r="66" spans="4:11">
      <c r="D66" s="307" t="s">
        <v>713</v>
      </c>
      <c r="G66">
        <f>+P9</f>
        <v>406</v>
      </c>
      <c r="H66">
        <v>294</v>
      </c>
      <c r="I66">
        <v>23771</v>
      </c>
      <c r="J66" s="225">
        <f t="shared" ref="J66:J77" si="6">+I66/I$78*100</f>
        <v>28.409742805239507</v>
      </c>
      <c r="K66" s="225">
        <f t="shared" ref="K66:K76" si="7">+G66/G$78*100</f>
        <v>25.826972010178118</v>
      </c>
    </row>
    <row r="67" spans="4:11">
      <c r="D67" s="307" t="s">
        <v>715</v>
      </c>
      <c r="G67">
        <f>+P10</f>
        <v>375</v>
      </c>
      <c r="H67">
        <v>170</v>
      </c>
      <c r="I67">
        <v>19700</v>
      </c>
      <c r="J67" s="225">
        <f t="shared" si="6"/>
        <v>23.544315900181662</v>
      </c>
      <c r="K67" s="225">
        <f t="shared" si="7"/>
        <v>23.854961832061068</v>
      </c>
    </row>
    <row r="68" spans="4:11">
      <c r="D68" s="307" t="s">
        <v>717</v>
      </c>
      <c r="G68">
        <f>+P11</f>
        <v>172</v>
      </c>
      <c r="H68">
        <v>151</v>
      </c>
      <c r="I68">
        <v>7432</v>
      </c>
      <c r="J68" s="225">
        <f t="shared" si="6"/>
        <v>8.8823023233578748</v>
      </c>
      <c r="K68" s="225">
        <f t="shared" si="7"/>
        <v>10.941475826972011</v>
      </c>
    </row>
    <row r="69" spans="4:11">
      <c r="D69" s="307" t="s">
        <v>733</v>
      </c>
      <c r="G69">
        <f>+P12</f>
        <v>92</v>
      </c>
      <c r="H69">
        <v>100</v>
      </c>
      <c r="I69">
        <v>7407</v>
      </c>
      <c r="J69" s="225">
        <f t="shared" si="6"/>
        <v>8.8524237498804847</v>
      </c>
      <c r="K69" s="225">
        <f t="shared" si="7"/>
        <v>5.8524173027989823</v>
      </c>
    </row>
    <row r="70" spans="4:11">
      <c r="D70" s="307" t="s">
        <v>735</v>
      </c>
      <c r="G70">
        <f>+P13</f>
        <v>106</v>
      </c>
      <c r="H70">
        <v>52</v>
      </c>
      <c r="I70">
        <v>6601</v>
      </c>
      <c r="J70" s="225">
        <f t="shared" si="6"/>
        <v>7.8891385409694994</v>
      </c>
      <c r="K70" s="225">
        <f t="shared" si="7"/>
        <v>6.7430025445292623</v>
      </c>
    </row>
    <row r="71" spans="4:11">
      <c r="D71" s="307" t="s">
        <v>739</v>
      </c>
      <c r="G71">
        <f>+P15</f>
        <v>46</v>
      </c>
      <c r="H71">
        <v>36</v>
      </c>
      <c r="I71">
        <v>1278</v>
      </c>
      <c r="J71" s="225">
        <f t="shared" si="6"/>
        <v>1.5273926761640693</v>
      </c>
      <c r="K71" s="225">
        <f t="shared" si="7"/>
        <v>2.9262086513994912</v>
      </c>
    </row>
    <row r="72" spans="4:11">
      <c r="D72" s="307" t="s">
        <v>761</v>
      </c>
      <c r="G72">
        <f>+P16</f>
        <v>100</v>
      </c>
      <c r="H72">
        <v>59</v>
      </c>
      <c r="I72">
        <v>2381</v>
      </c>
      <c r="J72" s="225">
        <f t="shared" si="6"/>
        <v>2.845635337986423</v>
      </c>
      <c r="K72" s="225">
        <f t="shared" si="7"/>
        <v>6.3613231552162848</v>
      </c>
    </row>
    <row r="73" spans="4:11">
      <c r="D73" s="307" t="s">
        <v>737</v>
      </c>
      <c r="G73">
        <f>+P14</f>
        <v>58</v>
      </c>
      <c r="H73">
        <v>28</v>
      </c>
      <c r="I73">
        <v>2267</v>
      </c>
      <c r="J73" s="225">
        <f t="shared" si="6"/>
        <v>2.7093890429295344</v>
      </c>
      <c r="K73" s="225">
        <f t="shared" si="7"/>
        <v>3.6895674300254448</v>
      </c>
    </row>
    <row r="74" spans="4:11">
      <c r="D74" s="307" t="s">
        <v>743</v>
      </c>
      <c r="G74">
        <f>+P17</f>
        <v>75</v>
      </c>
      <c r="H74">
        <v>23</v>
      </c>
      <c r="I74">
        <v>4148</v>
      </c>
      <c r="J74" s="225">
        <f t="shared" si="6"/>
        <v>4.9574529113681995</v>
      </c>
      <c r="K74" s="225">
        <f t="shared" si="7"/>
        <v>4.770992366412214</v>
      </c>
    </row>
    <row r="75" spans="4:11">
      <c r="D75" s="307" t="s">
        <v>745</v>
      </c>
      <c r="G75">
        <f>+P18</f>
        <v>14</v>
      </c>
      <c r="H75">
        <v>28</v>
      </c>
      <c r="I75">
        <v>738</v>
      </c>
      <c r="J75" s="225">
        <f t="shared" si="6"/>
        <v>0.88201548905249072</v>
      </c>
      <c r="K75" s="225">
        <f t="shared" si="7"/>
        <v>0.89058524173027986</v>
      </c>
    </row>
    <row r="76" spans="4:11">
      <c r="D76" s="307" t="s">
        <v>747</v>
      </c>
      <c r="G76">
        <f>+P19</f>
        <v>10</v>
      </c>
      <c r="H76">
        <v>10</v>
      </c>
      <c r="I76">
        <v>916</v>
      </c>
      <c r="J76" s="225">
        <f t="shared" si="6"/>
        <v>1.0947509322114923</v>
      </c>
      <c r="K76" s="225">
        <f t="shared" si="7"/>
        <v>0.63613231552162841</v>
      </c>
    </row>
    <row r="77" spans="4:11">
      <c r="D77" s="307" t="s">
        <v>762</v>
      </c>
      <c r="G77">
        <f>+P20</f>
        <v>118</v>
      </c>
      <c r="H77">
        <v>26</v>
      </c>
      <c r="I77">
        <v>7033</v>
      </c>
      <c r="J77" s="225">
        <f t="shared" si="6"/>
        <v>8.4054402906587633</v>
      </c>
      <c r="K77" s="225">
        <f>(+G77)/G$78*100</f>
        <v>7.5063613231552164</v>
      </c>
    </row>
    <row r="78" spans="4:11">
      <c r="G78">
        <f>SUM(G66:G77)</f>
        <v>1572</v>
      </c>
      <c r="H78">
        <f>SUM(H66:H77)</f>
        <v>977</v>
      </c>
      <c r="I78">
        <f>SUM(I66:I77)</f>
        <v>83672</v>
      </c>
      <c r="J78">
        <f>SUM(J66:J77)</f>
        <v>99.999999999999986</v>
      </c>
      <c r="K78">
        <f>SUM(K66:K77)</f>
        <v>100.00000000000001</v>
      </c>
    </row>
  </sheetData>
  <phoneticPr fontId="19" type="noConversion"/>
  <pageMargins left="0.98425196850393704" right="0.75" top="0.98425196850393704" bottom="0.99" header="0.51181102362204722" footer="0.51181102362204722"/>
  <pageSetup paperSize="5" scale="85" orientation="landscape"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
  <sheetViews>
    <sheetView topLeftCell="A34" zoomScale="75" workbookViewId="0">
      <selection activeCell="O8" sqref="O8"/>
    </sheetView>
  </sheetViews>
  <sheetFormatPr baseColWidth="10" defaultRowHeight="12.75"/>
  <cols>
    <col min="1" max="1" width="9" customWidth="1"/>
    <col min="2" max="2" width="27.85546875" customWidth="1"/>
    <col min="3" max="3" width="10.28515625" customWidth="1"/>
    <col min="4" max="4" width="10" customWidth="1"/>
    <col min="5" max="6" width="9.7109375" customWidth="1"/>
    <col min="7" max="7" width="10" customWidth="1"/>
    <col min="8" max="8" width="9" customWidth="1"/>
    <col min="9" max="9" width="8.5703125" customWidth="1"/>
    <col min="10" max="10" width="9.140625" customWidth="1"/>
    <col min="11" max="11" width="10.140625" customWidth="1"/>
    <col min="12" max="12" width="8.42578125" customWidth="1"/>
    <col min="13" max="13" width="8.7109375" customWidth="1"/>
    <col min="14" max="14" width="9.140625" customWidth="1"/>
  </cols>
  <sheetData>
    <row r="1" spans="1:12">
      <c r="A1" s="117" t="s">
        <v>1365</v>
      </c>
      <c r="B1" s="117"/>
      <c r="C1" s="184"/>
      <c r="D1" s="1"/>
      <c r="E1" s="1"/>
      <c r="F1" s="1"/>
      <c r="G1" s="1"/>
      <c r="H1" s="1"/>
      <c r="I1" s="1"/>
      <c r="J1" s="1"/>
    </row>
    <row r="2" spans="1:12">
      <c r="A2" s="117"/>
      <c r="B2" s="117"/>
      <c r="C2" s="184"/>
      <c r="D2" s="1"/>
      <c r="E2" s="1"/>
      <c r="F2" s="1"/>
      <c r="G2" s="1"/>
      <c r="H2" s="1"/>
      <c r="I2" s="1"/>
      <c r="J2" s="1"/>
    </row>
    <row r="3" spans="1:12">
      <c r="A3" s="117" t="s">
        <v>646</v>
      </c>
      <c r="B3" s="117"/>
      <c r="C3" s="184"/>
      <c r="D3" s="1"/>
      <c r="E3" s="1"/>
      <c r="F3" s="1"/>
      <c r="G3" s="1"/>
      <c r="H3" s="1"/>
      <c r="I3" s="1"/>
      <c r="J3" s="1"/>
    </row>
    <row r="4" spans="1:12">
      <c r="A4" s="117" t="s">
        <v>700</v>
      </c>
      <c r="B4" s="117"/>
      <c r="C4" s="184"/>
      <c r="D4" s="1"/>
      <c r="E4" s="1"/>
      <c r="F4" s="1"/>
      <c r="G4" s="1"/>
      <c r="H4" s="1"/>
      <c r="I4" s="1"/>
      <c r="J4" s="1"/>
    </row>
    <row r="5" spans="1:12">
      <c r="A5" s="289"/>
    </row>
    <row r="6" spans="1:12">
      <c r="A6" s="289"/>
    </row>
    <row r="7" spans="1:12" ht="18.75" customHeight="1">
      <c r="A7" s="290" t="s">
        <v>701</v>
      </c>
      <c r="B7" s="64"/>
      <c r="C7" s="292"/>
      <c r="D7" s="292"/>
      <c r="E7" s="292"/>
      <c r="F7" s="292"/>
      <c r="G7" s="292"/>
      <c r="H7" s="292"/>
      <c r="I7" s="292"/>
      <c r="J7" s="292"/>
      <c r="K7" s="292"/>
      <c r="L7" s="293"/>
    </row>
    <row r="8" spans="1:12" ht="23.25" customHeight="1">
      <c r="A8" s="294" t="s">
        <v>703</v>
      </c>
      <c r="B8" s="90" t="s">
        <v>704</v>
      </c>
      <c r="C8" s="149">
        <v>2006</v>
      </c>
      <c r="D8" s="149">
        <v>2007</v>
      </c>
      <c r="E8" s="149">
        <v>2008</v>
      </c>
      <c r="F8" s="149">
        <v>2009</v>
      </c>
      <c r="G8" s="149">
        <v>2010</v>
      </c>
      <c r="H8" s="149">
        <v>2011</v>
      </c>
      <c r="I8" s="149">
        <v>2012</v>
      </c>
      <c r="J8" s="149">
        <v>2013</v>
      </c>
      <c r="K8" s="149">
        <v>2014</v>
      </c>
      <c r="L8" s="149">
        <v>2015</v>
      </c>
    </row>
    <row r="9" spans="1:12" s="6" customFormat="1" ht="26.25" customHeight="1">
      <c r="A9" s="249" t="s">
        <v>712</v>
      </c>
      <c r="B9" s="299" t="s">
        <v>713</v>
      </c>
      <c r="C9" s="100">
        <v>370</v>
      </c>
      <c r="D9" s="300">
        <v>408</v>
      </c>
      <c r="E9" s="300">
        <v>387</v>
      </c>
      <c r="F9" s="300">
        <v>419</v>
      </c>
      <c r="G9" s="300">
        <v>463</v>
      </c>
      <c r="H9" s="300">
        <v>415</v>
      </c>
      <c r="I9" s="300">
        <v>429</v>
      </c>
      <c r="J9" s="300">
        <v>416</v>
      </c>
      <c r="K9" s="300">
        <v>490</v>
      </c>
      <c r="L9" s="300">
        <f>+'27'!P9</f>
        <v>406</v>
      </c>
    </row>
    <row r="10" spans="1:12" s="6" customFormat="1" ht="26.25" customHeight="1">
      <c r="A10" s="249" t="s">
        <v>714</v>
      </c>
      <c r="B10" s="299" t="s">
        <v>715</v>
      </c>
      <c r="C10" s="100">
        <v>287</v>
      </c>
      <c r="D10" s="300">
        <v>298</v>
      </c>
      <c r="E10" s="300">
        <v>344</v>
      </c>
      <c r="F10" s="300">
        <v>320</v>
      </c>
      <c r="G10" s="300">
        <v>316</v>
      </c>
      <c r="H10" s="300">
        <v>359</v>
      </c>
      <c r="I10" s="300">
        <v>344</v>
      </c>
      <c r="J10" s="300">
        <v>334</v>
      </c>
      <c r="K10" s="300">
        <v>404</v>
      </c>
      <c r="L10" s="300">
        <f>+'27'!P10</f>
        <v>375</v>
      </c>
    </row>
    <row r="11" spans="1:12" s="6" customFormat="1" ht="26.25" customHeight="1">
      <c r="A11" s="249" t="s">
        <v>716</v>
      </c>
      <c r="B11" s="299" t="s">
        <v>717</v>
      </c>
      <c r="C11" s="100">
        <v>228</v>
      </c>
      <c r="D11" s="300">
        <v>311</v>
      </c>
      <c r="E11" s="300">
        <v>128</v>
      </c>
      <c r="F11" s="300">
        <v>152</v>
      </c>
      <c r="G11" s="300">
        <v>143</v>
      </c>
      <c r="H11" s="300">
        <v>119</v>
      </c>
      <c r="I11" s="300">
        <v>141</v>
      </c>
      <c r="J11" s="300">
        <v>174</v>
      </c>
      <c r="K11" s="300">
        <v>167</v>
      </c>
      <c r="L11" s="300">
        <f>+'27'!P11</f>
        <v>172</v>
      </c>
    </row>
    <row r="12" spans="1:12" s="6" customFormat="1" ht="26.25" customHeight="1">
      <c r="A12" s="249" t="s">
        <v>732</v>
      </c>
      <c r="B12" s="299" t="s">
        <v>733</v>
      </c>
      <c r="C12" s="100">
        <v>144</v>
      </c>
      <c r="D12" s="300">
        <v>103</v>
      </c>
      <c r="E12" s="300">
        <v>118</v>
      </c>
      <c r="F12" s="300">
        <v>136</v>
      </c>
      <c r="G12" s="300">
        <v>109</v>
      </c>
      <c r="H12" s="300">
        <v>119</v>
      </c>
      <c r="I12" s="300">
        <v>112</v>
      </c>
      <c r="J12" s="300">
        <v>99</v>
      </c>
      <c r="K12" s="300">
        <v>123</v>
      </c>
      <c r="L12" s="300">
        <f>+'27'!P12</f>
        <v>92</v>
      </c>
    </row>
    <row r="13" spans="1:12" s="6" customFormat="1" ht="26.25" customHeight="1">
      <c r="A13" s="249" t="s">
        <v>734</v>
      </c>
      <c r="B13" s="299" t="s">
        <v>735</v>
      </c>
      <c r="C13" s="100">
        <v>60</v>
      </c>
      <c r="D13" s="300">
        <v>71</v>
      </c>
      <c r="E13" s="300">
        <v>77</v>
      </c>
      <c r="F13" s="300">
        <v>74</v>
      </c>
      <c r="G13" s="300">
        <v>107</v>
      </c>
      <c r="H13" s="300">
        <v>107</v>
      </c>
      <c r="I13" s="300">
        <v>99</v>
      </c>
      <c r="J13" s="300">
        <v>112</v>
      </c>
      <c r="K13" s="300">
        <v>109</v>
      </c>
      <c r="L13" s="300">
        <f>+'27'!P13</f>
        <v>106</v>
      </c>
    </row>
    <row r="14" spans="1:12" s="6" customFormat="1" ht="26.25" customHeight="1">
      <c r="A14" s="249" t="s">
        <v>736</v>
      </c>
      <c r="B14" s="299" t="s">
        <v>737</v>
      </c>
      <c r="C14" s="100">
        <v>44</v>
      </c>
      <c r="D14" s="300">
        <v>58</v>
      </c>
      <c r="E14" s="300">
        <v>43</v>
      </c>
      <c r="F14" s="300">
        <v>41</v>
      </c>
      <c r="G14" s="300">
        <v>54</v>
      </c>
      <c r="H14" s="300">
        <v>60</v>
      </c>
      <c r="I14" s="300">
        <v>52</v>
      </c>
      <c r="J14" s="300">
        <v>57</v>
      </c>
      <c r="K14" s="300">
        <v>74</v>
      </c>
      <c r="L14" s="300">
        <f>+'27'!P14</f>
        <v>58</v>
      </c>
    </row>
    <row r="15" spans="1:12" s="6" customFormat="1" ht="26.25" customHeight="1">
      <c r="A15" s="249" t="s">
        <v>738</v>
      </c>
      <c r="B15" s="299" t="s">
        <v>739</v>
      </c>
      <c r="C15" s="100">
        <v>35</v>
      </c>
      <c r="D15" s="300">
        <v>43</v>
      </c>
      <c r="E15" s="300">
        <v>32</v>
      </c>
      <c r="F15" s="300">
        <v>35</v>
      </c>
      <c r="G15" s="300">
        <v>27</v>
      </c>
      <c r="H15" s="300">
        <v>39</v>
      </c>
      <c r="I15" s="300">
        <v>27</v>
      </c>
      <c r="J15" s="300">
        <v>39</v>
      </c>
      <c r="K15" s="300">
        <v>35</v>
      </c>
      <c r="L15" s="300">
        <f>+'27'!P15</f>
        <v>46</v>
      </c>
    </row>
    <row r="16" spans="1:12" s="6" customFormat="1" ht="26.25" customHeight="1">
      <c r="A16" s="249" t="s">
        <v>740</v>
      </c>
      <c r="B16" s="299" t="s">
        <v>741</v>
      </c>
      <c r="C16" s="100">
        <v>28</v>
      </c>
      <c r="D16" s="300">
        <v>55</v>
      </c>
      <c r="E16" s="300">
        <v>30</v>
      </c>
      <c r="F16" s="300">
        <v>42</v>
      </c>
      <c r="G16" s="300">
        <v>40</v>
      </c>
      <c r="H16" s="300">
        <v>40</v>
      </c>
      <c r="I16" s="300">
        <v>57</v>
      </c>
      <c r="J16" s="300">
        <v>74</v>
      </c>
      <c r="K16" s="300">
        <v>83</v>
      </c>
      <c r="L16" s="300">
        <f>+'27'!P16</f>
        <v>100</v>
      </c>
    </row>
    <row r="17" spans="1:14" s="6" customFormat="1" ht="26.25" customHeight="1">
      <c r="A17" s="249" t="s">
        <v>742</v>
      </c>
      <c r="B17" s="299" t="s">
        <v>743</v>
      </c>
      <c r="C17" s="100">
        <v>26</v>
      </c>
      <c r="D17" s="300">
        <v>38</v>
      </c>
      <c r="E17" s="300">
        <v>60</v>
      </c>
      <c r="F17" s="300">
        <v>73</v>
      </c>
      <c r="G17" s="300">
        <v>78</v>
      </c>
      <c r="H17" s="300">
        <v>71</v>
      </c>
      <c r="I17" s="300">
        <v>76</v>
      </c>
      <c r="J17" s="300">
        <v>58</v>
      </c>
      <c r="K17" s="300">
        <v>79</v>
      </c>
      <c r="L17" s="300">
        <f>+'27'!P17</f>
        <v>75</v>
      </c>
    </row>
    <row r="18" spans="1:14" s="6" customFormat="1" ht="26.25" customHeight="1">
      <c r="A18" s="249" t="s">
        <v>744</v>
      </c>
      <c r="B18" s="299" t="s">
        <v>745</v>
      </c>
      <c r="C18" s="100">
        <v>12</v>
      </c>
      <c r="D18" s="300">
        <v>16</v>
      </c>
      <c r="E18" s="300">
        <v>13</v>
      </c>
      <c r="F18" s="300">
        <v>17</v>
      </c>
      <c r="G18" s="300">
        <v>15</v>
      </c>
      <c r="H18" s="300">
        <v>16</v>
      </c>
      <c r="I18" s="300">
        <v>14</v>
      </c>
      <c r="J18" s="300">
        <v>16</v>
      </c>
      <c r="K18" s="300">
        <v>13</v>
      </c>
      <c r="L18" s="300">
        <f>+'27'!P18</f>
        <v>14</v>
      </c>
    </row>
    <row r="19" spans="1:14" s="6" customFormat="1" ht="26.25" customHeight="1">
      <c r="A19" s="249" t="s">
        <v>746</v>
      </c>
      <c r="B19" s="299" t="s">
        <v>747</v>
      </c>
      <c r="C19" s="100">
        <v>4</v>
      </c>
      <c r="D19" s="300">
        <v>8</v>
      </c>
      <c r="E19" s="300">
        <v>9</v>
      </c>
      <c r="F19" s="300">
        <v>14</v>
      </c>
      <c r="G19" s="300">
        <v>15</v>
      </c>
      <c r="H19" s="300">
        <v>10</v>
      </c>
      <c r="I19" s="300">
        <v>17</v>
      </c>
      <c r="J19" s="300">
        <v>4</v>
      </c>
      <c r="K19" s="300">
        <v>19</v>
      </c>
      <c r="L19" s="300">
        <f>+'27'!P19</f>
        <v>10</v>
      </c>
    </row>
    <row r="20" spans="1:14" s="6" customFormat="1" ht="26.25" customHeight="1">
      <c r="A20" s="299"/>
      <c r="B20" s="299" t="s">
        <v>499</v>
      </c>
      <c r="C20" s="100">
        <v>43</v>
      </c>
      <c r="D20" s="300">
        <v>33</v>
      </c>
      <c r="E20" s="300">
        <v>106</v>
      </c>
      <c r="F20" s="300">
        <v>94</v>
      </c>
      <c r="G20" s="300">
        <v>99</v>
      </c>
      <c r="H20" s="300">
        <v>108</v>
      </c>
      <c r="I20" s="300">
        <v>121</v>
      </c>
      <c r="J20" s="300">
        <v>77</v>
      </c>
      <c r="K20" s="300">
        <v>110</v>
      </c>
      <c r="L20" s="300">
        <f>+'27'!P20</f>
        <v>118</v>
      </c>
    </row>
    <row r="21" spans="1:14" ht="21.75" customHeight="1">
      <c r="A21" s="302"/>
      <c r="B21" s="302" t="s">
        <v>535</v>
      </c>
      <c r="C21" s="634">
        <f t="shared" ref="C21:J21" si="0">SUM(C9:C20)</f>
        <v>1281</v>
      </c>
      <c r="D21" s="634">
        <f t="shared" si="0"/>
        <v>1442</v>
      </c>
      <c r="E21" s="634">
        <f t="shared" si="0"/>
        <v>1347</v>
      </c>
      <c r="F21" s="634">
        <f t="shared" si="0"/>
        <v>1417</v>
      </c>
      <c r="G21" s="634">
        <f t="shared" si="0"/>
        <v>1466</v>
      </c>
      <c r="H21" s="634">
        <f t="shared" si="0"/>
        <v>1463</v>
      </c>
      <c r="I21" s="634">
        <f t="shared" si="0"/>
        <v>1489</v>
      </c>
      <c r="J21" s="634">
        <f t="shared" si="0"/>
        <v>1460</v>
      </c>
      <c r="K21" s="634">
        <f>SUM(K9:K20)</f>
        <v>1706</v>
      </c>
      <c r="L21" s="634">
        <f>SUM(L9:L20)</f>
        <v>1572</v>
      </c>
      <c r="N21" s="6"/>
    </row>
    <row r="22" spans="1:14">
      <c r="A22" s="11"/>
      <c r="B22" s="11"/>
      <c r="C22" s="11"/>
      <c r="D22" s="11"/>
      <c r="E22" s="11"/>
      <c r="F22" s="11"/>
      <c r="G22" s="11"/>
      <c r="H22" s="11"/>
      <c r="I22" s="11"/>
      <c r="J22" s="11"/>
    </row>
    <row r="23" spans="1:14">
      <c r="A23" s="1378" t="s">
        <v>1367</v>
      </c>
      <c r="B23" s="1378"/>
      <c r="C23" s="1378"/>
      <c r="D23" s="1378"/>
      <c r="E23" s="1378"/>
      <c r="F23" s="1378"/>
      <c r="G23" s="1378"/>
      <c r="H23" s="1378"/>
      <c r="I23" s="1378"/>
      <c r="J23" s="1378"/>
      <c r="K23" s="1378"/>
      <c r="L23" s="1378"/>
    </row>
    <row r="24" spans="1:14">
      <c r="A24" s="11"/>
      <c r="B24" s="11"/>
      <c r="C24" s="11"/>
      <c r="D24" s="11"/>
      <c r="E24" s="11"/>
      <c r="F24" s="11"/>
      <c r="G24" s="11"/>
      <c r="H24" s="11"/>
      <c r="I24" s="11"/>
      <c r="J24" s="11"/>
    </row>
    <row r="25" spans="1:14">
      <c r="A25" s="11"/>
      <c r="B25" s="167"/>
      <c r="C25" s="167"/>
      <c r="D25" s="11"/>
      <c r="E25" s="167"/>
      <c r="F25" s="167"/>
      <c r="G25" s="167"/>
      <c r="H25" s="167"/>
      <c r="I25" s="167"/>
      <c r="J25" s="1103"/>
      <c r="K25" s="11"/>
    </row>
    <row r="26" spans="1:14" ht="18" customHeight="1">
      <c r="A26" s="290" t="s">
        <v>701</v>
      </c>
      <c r="B26" s="64"/>
      <c r="C26" s="292"/>
      <c r="D26" s="292"/>
      <c r="E26" s="292"/>
      <c r="F26" s="292"/>
      <c r="G26" s="292"/>
      <c r="H26" s="292"/>
      <c r="I26" s="292"/>
      <c r="J26" s="292"/>
      <c r="K26" s="292"/>
      <c r="L26" s="293"/>
    </row>
    <row r="27" spans="1:14" ht="18" customHeight="1">
      <c r="A27" s="294" t="s">
        <v>703</v>
      </c>
      <c r="B27" s="90" t="s">
        <v>704</v>
      </c>
      <c r="C27" s="149">
        <v>2006</v>
      </c>
      <c r="D27" s="149">
        <v>2007</v>
      </c>
      <c r="E27" s="149">
        <v>2008</v>
      </c>
      <c r="F27" s="149">
        <v>2009</v>
      </c>
      <c r="G27" s="149">
        <v>2010</v>
      </c>
      <c r="H27" s="149">
        <v>2011</v>
      </c>
      <c r="I27" s="149">
        <v>2012</v>
      </c>
      <c r="J27" s="149">
        <v>2013</v>
      </c>
      <c r="K27" s="149">
        <v>2014</v>
      </c>
      <c r="L27" s="149">
        <v>2015</v>
      </c>
    </row>
    <row r="28" spans="1:14" ht="18" customHeight="1">
      <c r="A28" s="249" t="s">
        <v>712</v>
      </c>
      <c r="B28" s="299" t="s">
        <v>713</v>
      </c>
      <c r="C28" s="1176">
        <f>+C9/'7'!D11*1000</f>
        <v>1.4876524843796488</v>
      </c>
      <c r="D28" s="1176">
        <f>+D9/'7'!D12*1000</f>
        <v>1.6190090712125902</v>
      </c>
      <c r="E28" s="1176">
        <f>+E9/'7'!$D$13*1000</f>
        <v>1.5158280651453548</v>
      </c>
      <c r="F28" s="1176">
        <f>+F9/'7'!$D$14*1000</f>
        <v>1.6204321410201374</v>
      </c>
      <c r="G28" s="1176">
        <f>+G9/'7'!$D$15*1000</f>
        <v>1.7679448309569812</v>
      </c>
      <c r="H28" s="1176">
        <f>+H9/'7'!$D$16*1000</f>
        <v>1.5666170885837025</v>
      </c>
      <c r="I28" s="1176">
        <f>+I9/'7'!$D$17*1000</f>
        <v>1.6012720594822181</v>
      </c>
      <c r="J28" s="1176">
        <f>+J9/'7'!$D$18*1000</f>
        <v>1.5353556230554315</v>
      </c>
      <c r="K28" s="1176">
        <f>+K9/'7'!$D$19*1000</f>
        <v>1.7885300473047949</v>
      </c>
      <c r="L28" s="1176">
        <f>+L9/'7'!$D$20*1000</f>
        <v>1.4657833456685381</v>
      </c>
    </row>
    <row r="29" spans="1:14" ht="18" customHeight="1">
      <c r="A29" s="249" t="s">
        <v>714</v>
      </c>
      <c r="B29" s="299" t="s">
        <v>715</v>
      </c>
      <c r="C29" s="1176">
        <f>+C10/'7'!D$11*1000</f>
        <v>1.1539358459917817</v>
      </c>
      <c r="D29" s="1176">
        <f>+D10/'7'!$D$12*1000</f>
        <v>1.1825115275033133</v>
      </c>
      <c r="E29" s="1176">
        <f>+E10/'7'!$D$13*1000</f>
        <v>1.3474027245736488</v>
      </c>
      <c r="F29" s="1176">
        <f>+F10/'7'!$D$14*1000</f>
        <v>1.2375615396812505</v>
      </c>
      <c r="G29" s="1176">
        <f>+G10/'7'!$D$15*1000</f>
        <v>1.2066318932665356</v>
      </c>
      <c r="H29" s="1176">
        <f>+H10/'7'!$D$16*1000</f>
        <v>1.3552181561483116</v>
      </c>
      <c r="I29" s="1176">
        <f>+I10/'7'!$D$17*1000</f>
        <v>1.284003702708352</v>
      </c>
      <c r="J29" s="1176">
        <f>+J10/'7'!$D$18*1000</f>
        <v>1.2327134088954665</v>
      </c>
      <c r="K29" s="1176">
        <f>+K10/'7'!$D$19*1000</f>
        <v>1.4746247736961982</v>
      </c>
      <c r="L29" s="1176">
        <f>+L10/'7'!$D$20*1000</f>
        <v>1.3538639276495117</v>
      </c>
    </row>
    <row r="30" spans="1:14" ht="18" customHeight="1">
      <c r="A30" s="249" t="s">
        <v>716</v>
      </c>
      <c r="B30" s="299" t="s">
        <v>717</v>
      </c>
      <c r="C30" s="1176">
        <f>+C11/'7'!D$11*1000</f>
        <v>0.9167155849690809</v>
      </c>
      <c r="D30" s="1176">
        <f>+D11/'7'!D$12*1000</f>
        <v>1.2340976008507734</v>
      </c>
      <c r="E30" s="1176">
        <f>+E11/'7'!$D$13*1000</f>
        <v>0.5013591533297298</v>
      </c>
      <c r="F30" s="1176">
        <f>+F11/'7'!$D$14*1000</f>
        <v>0.58784173134859397</v>
      </c>
      <c r="G30" s="1176">
        <f>+G11/'7'!$D$15*1000</f>
        <v>0.54603911625669188</v>
      </c>
      <c r="H30" s="1176">
        <f>+H11/'7'!$D$16*1000</f>
        <v>0.4492227314252063</v>
      </c>
      <c r="I30" s="1176">
        <f>+I11/'7'!$D$17*1000</f>
        <v>0.52629221535429538</v>
      </c>
      <c r="J30" s="1176">
        <f>+J11/'7'!$D$18*1000</f>
        <v>0.6421920154126084</v>
      </c>
      <c r="K30" s="1176">
        <f>+K11/'7'!$D$19*1000</f>
        <v>0.60956024061204228</v>
      </c>
      <c r="L30" s="1176">
        <f>+L11/'7'!$D$20*1000</f>
        <v>0.62097225481524276</v>
      </c>
    </row>
    <row r="31" spans="1:14" ht="18" customHeight="1">
      <c r="A31" s="249" t="s">
        <v>732</v>
      </c>
      <c r="B31" s="299" t="s">
        <v>733</v>
      </c>
      <c r="C31" s="1176">
        <f>+C12/'7'!D$11*1000</f>
        <v>0.57897826419099852</v>
      </c>
      <c r="D31" s="1176">
        <f>+D12/'7'!D$12*1000</f>
        <v>0.40872042729141367</v>
      </c>
      <c r="E31" s="1176">
        <f>+E12/'7'!$D$13*1000</f>
        <v>0.46219046947584469</v>
      </c>
      <c r="F31" s="1176">
        <f>+F12/'7'!$D$14*1000</f>
        <v>0.52596365436453152</v>
      </c>
      <c r="G31" s="1176">
        <f>+G12/'7'!$D$15*1000</f>
        <v>0.41621163406978606</v>
      </c>
      <c r="H31" s="1176">
        <f>+H12/'7'!$D$16*1000</f>
        <v>0.4492227314252063</v>
      </c>
      <c r="I31" s="1176">
        <f>+I12/'7'!$D$17*1000</f>
        <v>0.41804771716085881</v>
      </c>
      <c r="J31" s="1176">
        <f>+J12/'7'!$D$18*1000</f>
        <v>0.36538511221751857</v>
      </c>
      <c r="K31" s="1176">
        <f>+K12/'7'!$D$19*1000</f>
        <v>0.44895754248671382</v>
      </c>
      <c r="L31" s="1176">
        <f>+L12/'7'!$D$20*1000</f>
        <v>0.33214795025001354</v>
      </c>
    </row>
    <row r="32" spans="1:14" ht="18" customHeight="1">
      <c r="A32" s="249" t="s">
        <v>734</v>
      </c>
      <c r="B32" s="299" t="s">
        <v>735</v>
      </c>
      <c r="C32" s="1176">
        <f>+C13/'7'!D$11*1000</f>
        <v>0.24124094341291605</v>
      </c>
      <c r="D32" s="1176">
        <f>+D13/'7'!D$12*1000</f>
        <v>0.2817393236668968</v>
      </c>
      <c r="E32" s="1176">
        <f>+E13/'7'!$D$13*1000</f>
        <v>0.30159886567491556</v>
      </c>
      <c r="F32" s="1176">
        <f>+F13/'7'!$D$14*1000</f>
        <v>0.28618610605128919</v>
      </c>
      <c r="G32" s="1176">
        <f>+G13/'7'!$D$15*1000</f>
        <v>0.40857472335290929</v>
      </c>
      <c r="H32" s="1176">
        <f>+H13/'7'!$D$16*1000</f>
        <v>0.40392296018905105</v>
      </c>
      <c r="I32" s="1176">
        <f>+I13/'7'!$D$17*1000</f>
        <v>0.3695243214189734</v>
      </c>
      <c r="J32" s="1176">
        <f>+J13/'7'!$D$18*1000</f>
        <v>0.41336497543800077</v>
      </c>
      <c r="K32" s="1176">
        <f>+K13/'7'!$D$19*1000</f>
        <v>0.39785668399229107</v>
      </c>
      <c r="L32" s="1176">
        <f>+L13/'7'!$D$20*1000</f>
        <v>0.38269220354892863</v>
      </c>
    </row>
    <row r="33" spans="1:12" ht="18" customHeight="1">
      <c r="A33" s="249" t="s">
        <v>736</v>
      </c>
      <c r="B33" s="299" t="s">
        <v>737</v>
      </c>
      <c r="C33" s="1176">
        <f>+C14/'7'!D$11*1000</f>
        <v>0.17691002516947177</v>
      </c>
      <c r="D33" s="1176">
        <f>+D14/'7'!D$12*1000</f>
        <v>0.23015325031943684</v>
      </c>
      <c r="E33" s="1176">
        <f>+E14/'7'!$D$13*1000</f>
        <v>0.16842534057170611</v>
      </c>
      <c r="F33" s="1176">
        <f>+F14/'7'!$D$14*1000</f>
        <v>0.15856257227166023</v>
      </c>
      <c r="G33" s="1176">
        <f>+G14/'7'!$D$15*1000</f>
        <v>0.20619658935567384</v>
      </c>
      <c r="H33" s="1176">
        <f>+H14/'7'!$D$16*1000</f>
        <v>0.22649885618077628</v>
      </c>
      <c r="I33" s="1176">
        <f>+I14/'7'!$D$17*1000</f>
        <v>0.19409358296754159</v>
      </c>
      <c r="J33" s="1176">
        <f>+J14/'7'!$D$18*1000</f>
        <v>0.21037324642826824</v>
      </c>
      <c r="K33" s="1176">
        <f>+K14/'7'!$D$19*1000</f>
        <v>0.27010453775623433</v>
      </c>
      <c r="L33" s="1176">
        <f>+L14/'7'!$D$20*1000</f>
        <v>0.20939762080979113</v>
      </c>
    </row>
    <row r="34" spans="1:12" ht="18" customHeight="1">
      <c r="A34" s="249" t="s">
        <v>738</v>
      </c>
      <c r="B34" s="299" t="s">
        <v>739</v>
      </c>
      <c r="C34" s="1176">
        <f>+C15/'7'!D$11*1000</f>
        <v>0.14072388365753435</v>
      </c>
      <c r="D34" s="1176">
        <f>+D15/'7'!D$12*1000</f>
        <v>0.17063085799544456</v>
      </c>
      <c r="E34" s="1176">
        <f>+E15/'7'!$D$13*1000</f>
        <v>0.12533978833243245</v>
      </c>
      <c r="F34" s="1176">
        <f>+F15/'7'!$D$14*1000</f>
        <v>0.13535829340263678</v>
      </c>
      <c r="G34" s="1176">
        <f>+G15/'7'!$D$15*1000</f>
        <v>0.10309829467783692</v>
      </c>
      <c r="H34" s="1176">
        <f>+H15/'7'!$D$16*1000</f>
        <v>0.14722425651750459</v>
      </c>
      <c r="I34" s="1176">
        <f>+I15/'7'!$D$17*1000</f>
        <v>0.10077936038699274</v>
      </c>
      <c r="J34" s="1176">
        <f>+J15/'7'!$D$18*1000</f>
        <v>0.14393958966144671</v>
      </c>
      <c r="K34" s="1176">
        <f>+K15/'7'!$D$19*1000</f>
        <v>0.12775214623605677</v>
      </c>
      <c r="L34" s="1176">
        <f>+L15/'7'!$D$20*1000</f>
        <v>0.16607397512500677</v>
      </c>
    </row>
    <row r="35" spans="1:12" ht="18" customHeight="1">
      <c r="A35" s="249" t="s">
        <v>740</v>
      </c>
      <c r="B35" s="299" t="s">
        <v>741</v>
      </c>
      <c r="C35" s="1176">
        <f>+C16/'7'!D$11*1000</f>
        <v>0.11257910692602749</v>
      </c>
      <c r="D35" s="1176">
        <f>+D16/'7'!D$12*1000</f>
        <v>0.21824877185463837</v>
      </c>
      <c r="E35" s="1176">
        <f>+E16/'7'!$D$13*1000</f>
        <v>0.11750605156165543</v>
      </c>
      <c r="F35" s="1176">
        <f>+F16/'7'!$D$14*1000</f>
        <v>0.16242995208316413</v>
      </c>
      <c r="G35" s="1176">
        <f>+G16/'7'!$D$15*1000</f>
        <v>0.1527382143375362</v>
      </c>
      <c r="H35" s="1176">
        <f>+H16/'7'!$D$16*1000</f>
        <v>0.15099923745385085</v>
      </c>
      <c r="I35" s="1176">
        <f>+I16/'7'!$D$17*1000</f>
        <v>0.21275642748365134</v>
      </c>
      <c r="J35" s="1176">
        <f>+J16/'7'!$D$18*1000</f>
        <v>0.27311614448582194</v>
      </c>
      <c r="K35" s="1176">
        <f>+K16/'7'!$D$19*1000</f>
        <v>0.30295508964550605</v>
      </c>
      <c r="L35" s="1176">
        <f>+L16/'7'!$D$20*1000</f>
        <v>0.36103038070653648</v>
      </c>
    </row>
    <row r="36" spans="1:12" ht="18" customHeight="1">
      <c r="A36" s="249" t="s">
        <v>742</v>
      </c>
      <c r="B36" s="299" t="s">
        <v>743</v>
      </c>
      <c r="C36" s="1176">
        <f>+C17/'7'!D$11*1000</f>
        <v>0.10453774214559695</v>
      </c>
      <c r="D36" s="1176">
        <f>+D17/'7'!D$12*1000</f>
        <v>0.15079006055411379</v>
      </c>
      <c r="E36" s="1176">
        <f>+E17/'7'!$D$13*1000</f>
        <v>0.23501210312331086</v>
      </c>
      <c r="F36" s="1176">
        <f>+F17/'7'!$D$14*1000</f>
        <v>0.28231872623978527</v>
      </c>
      <c r="G36" s="1176">
        <f>+G17/'7'!$D$15*1000</f>
        <v>0.29783951795819552</v>
      </c>
      <c r="H36" s="1176">
        <f>+H17/'7'!$D$16*1000</f>
        <v>0.26802364648058524</v>
      </c>
      <c r="I36" s="1176">
        <f>+I17/'7'!$D$17*1000</f>
        <v>0.28367523664486849</v>
      </c>
      <c r="J36" s="1176">
        <f>+J17/'7'!$D$18*1000</f>
        <v>0.21406400513753612</v>
      </c>
      <c r="K36" s="1176">
        <f>+K17/'7'!$D$19*1000</f>
        <v>0.28835484436138525</v>
      </c>
      <c r="L36" s="1176">
        <f>+L17/'7'!$D$20*1000</f>
        <v>0.2707727855299023</v>
      </c>
    </row>
    <row r="37" spans="1:12" ht="18" customHeight="1">
      <c r="A37" s="249" t="s">
        <v>744</v>
      </c>
      <c r="B37" s="299" t="s">
        <v>745</v>
      </c>
      <c r="C37" s="1176">
        <f>+C18/'7'!D$11*1000</f>
        <v>4.8248188682583203E-2</v>
      </c>
      <c r="D37" s="1176">
        <f>+D18/'7'!D$12*1000</f>
        <v>6.3490551812258433E-2</v>
      </c>
      <c r="E37" s="1176">
        <f>+E18/'7'!$D$13*1000</f>
        <v>5.0919289010050682E-2</v>
      </c>
      <c r="F37" s="1176">
        <f>+F18/'7'!$D$14*1000</f>
        <v>6.574545679556644E-2</v>
      </c>
      <c r="G37" s="1176">
        <f>+G18/'7'!$D$15*1000</f>
        <v>5.7276830376576063E-2</v>
      </c>
      <c r="H37" s="1176">
        <f>+H18/'7'!$D$16*1000</f>
        <v>6.0399694981540346E-2</v>
      </c>
      <c r="I37" s="1176">
        <f>+I18/'7'!$D$17*1000</f>
        <v>5.2255964645107351E-2</v>
      </c>
      <c r="J37" s="1176">
        <f>+J18/'7'!$D$18*1000</f>
        <v>5.9052139348285827E-2</v>
      </c>
      <c r="K37" s="1176">
        <f>+K18/'7'!$D$19*1000</f>
        <v>4.7450797173392512E-2</v>
      </c>
      <c r="L37" s="1176">
        <f>+L18/'7'!$D$20*1000</f>
        <v>5.0544253298915105E-2</v>
      </c>
    </row>
    <row r="38" spans="1:12" ht="18" customHeight="1">
      <c r="A38" s="249" t="s">
        <v>746</v>
      </c>
      <c r="B38" s="299" t="s">
        <v>747</v>
      </c>
      <c r="C38" s="1176">
        <f>+C19/'7'!D$11*1000</f>
        <v>1.608272956086107E-2</v>
      </c>
      <c r="D38" s="1176">
        <f>+D19/'7'!D$12*1000</f>
        <v>3.1745275906129217E-2</v>
      </c>
      <c r="E38" s="1176">
        <f>+E19/'7'!$D$13*1000</f>
        <v>3.5251815468496629E-2</v>
      </c>
      <c r="F38" s="1176">
        <f>+F19/'7'!$D$14*1000</f>
        <v>5.414331736105471E-2</v>
      </c>
      <c r="G38" s="1176">
        <f>+G19/'7'!$D$15*1000</f>
        <v>5.7276830376576063E-2</v>
      </c>
      <c r="H38" s="1176">
        <f>+H19/'7'!$D$16*1000</f>
        <v>3.7749809363462714E-2</v>
      </c>
      <c r="I38" s="1176">
        <f>+I19/'7'!$D$17*1000</f>
        <v>6.3453671354773214E-2</v>
      </c>
      <c r="J38" s="1176">
        <f>+J19/'7'!$D$18*1000</f>
        <v>1.4763034837071457E-2</v>
      </c>
      <c r="K38" s="1176">
        <f>+K19/'7'!$D$19*1000</f>
        <v>6.9351165099573675E-2</v>
      </c>
      <c r="L38" s="1176">
        <f>+L19/'7'!$D$20*1000</f>
        <v>3.6103038070653647E-2</v>
      </c>
    </row>
    <row r="39" spans="1:12" ht="18" customHeight="1">
      <c r="A39" s="299"/>
      <c r="B39" s="299" t="s">
        <v>499</v>
      </c>
      <c r="C39" s="1176">
        <f>+C20/'7'!D$11*1000</f>
        <v>0.17288934277925649</v>
      </c>
      <c r="D39" s="1176">
        <f>+D20/'7'!D$12*1000</f>
        <v>0.13094926311278302</v>
      </c>
      <c r="E39" s="1176">
        <f>+E20/'7'!$D$13*1000</f>
        <v>0.41518804885118255</v>
      </c>
      <c r="F39" s="1176">
        <f>+F20/'7'!$D$14*1000</f>
        <v>0.36353370228136739</v>
      </c>
      <c r="G39" s="1176">
        <f>+G20/'7'!$D$15*1000</f>
        <v>0.37802708048540207</v>
      </c>
      <c r="H39" s="1176">
        <f>+H20/'7'!$D$16*1000</f>
        <v>0.40769794112539731</v>
      </c>
      <c r="I39" s="1176">
        <f>+I20/'7'!$D$17*1000</f>
        <v>0.45164083728985638</v>
      </c>
      <c r="J39" s="1176">
        <f>+J20/'7'!$D$18*1000</f>
        <v>0.28418842061362554</v>
      </c>
      <c r="K39" s="1176">
        <f>+K20/'7'!$D$19*1000</f>
        <v>0.40150674531332126</v>
      </c>
      <c r="L39" s="1176">
        <f>+L20/'7'!$D$20*1000</f>
        <v>0.426015849233713</v>
      </c>
    </row>
    <row r="40" spans="1:12" ht="18" customHeight="1">
      <c r="A40" s="302"/>
      <c r="B40" s="302" t="s">
        <v>535</v>
      </c>
      <c r="C40" s="1177">
        <f>+C21/'7'!D$11*1000</f>
        <v>5.1504941418657575</v>
      </c>
      <c r="D40" s="1178">
        <f>+D21/'7'!D$12*1000</f>
        <v>5.7220859820797916</v>
      </c>
      <c r="E40" s="1178">
        <f>+E21/'7'!$D$13*1000</f>
        <v>5.2760217151183291</v>
      </c>
      <c r="F40" s="1178">
        <f>+F21/'7'!$D$14*1000</f>
        <v>5.4800771929010379</v>
      </c>
      <c r="G40" s="1178">
        <f>+G21/'7'!$D$15*1000</f>
        <v>5.5978555554707015</v>
      </c>
      <c r="H40" s="1178">
        <f>+H21/'7'!$D$16*1000</f>
        <v>5.5227971098745954</v>
      </c>
      <c r="I40" s="1178">
        <f>+I21/'7'!$D$17*1000</f>
        <v>5.5577950968974887</v>
      </c>
      <c r="J40" s="1178">
        <f>+J21/'7'!$D$18*1000</f>
        <v>5.3885077155310821</v>
      </c>
      <c r="K40" s="1178">
        <f>+K21/'7'!$D$19*1000</f>
        <v>6.2270046136775097</v>
      </c>
      <c r="L40" s="1178">
        <f>+L21/'7'!$D$20*1000</f>
        <v>5.6753975847067535</v>
      </c>
    </row>
    <row r="41" spans="1:12" ht="18" customHeight="1">
      <c r="A41" s="307"/>
      <c r="B41" s="307"/>
      <c r="C41" s="1180"/>
      <c r="D41" s="1180"/>
      <c r="E41" s="1180"/>
      <c r="F41" s="1180"/>
      <c r="G41" s="1180"/>
      <c r="H41" s="1180"/>
      <c r="I41" s="1180"/>
      <c r="J41" s="1180"/>
      <c r="K41" s="1180"/>
      <c r="L41" s="1180"/>
    </row>
    <row r="48" spans="1:12" ht="15">
      <c r="I48" s="1179"/>
    </row>
  </sheetData>
  <mergeCells count="1">
    <mergeCell ref="A23:L23"/>
  </mergeCells>
  <pageMargins left="0.98425196850393704" right="0.75" top="0.98425196850393704" bottom="0.99" header="0.51181102362204722" footer="0.51181102362204722"/>
  <pageSetup paperSize="5" scale="85" orientation="landscape" horizontalDpi="300" verticalDpi="300" r:id="rId1"/>
  <headerFooter alignWithMargins="0"/>
  <ignoredErrors>
    <ignoredError sqref="C21:K21" formulaRang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G12"/>
  <sheetViews>
    <sheetView showGridLines="0" topLeftCell="A103" workbookViewId="0">
      <selection activeCell="L103" sqref="L103"/>
    </sheetView>
  </sheetViews>
  <sheetFormatPr baseColWidth="10" defaultRowHeight="12.75"/>
  <sheetData>
    <row r="5" spans="1:7">
      <c r="F5" s="174"/>
    </row>
    <row r="10" spans="1:7">
      <c r="A10" s="179"/>
      <c r="B10" s="179"/>
      <c r="C10" s="179"/>
      <c r="D10" s="179"/>
      <c r="E10" s="179"/>
      <c r="F10" s="1"/>
      <c r="G10" s="1"/>
    </row>
    <row r="11" spans="1:7">
      <c r="A11" s="2"/>
      <c r="B11" s="2"/>
      <c r="C11" s="2"/>
      <c r="D11" s="2"/>
      <c r="E11" s="2"/>
    </row>
    <row r="12" spans="1:7">
      <c r="A12" s="2"/>
      <c r="B12" s="2"/>
      <c r="C12" s="2"/>
      <c r="D12" s="2"/>
      <c r="E12" s="2"/>
    </row>
  </sheetData>
  <printOptions gridLinesSet="0"/>
  <pageMargins left="0.98425196850393704" right="0.78740157480314965" top="2.3622047244094491" bottom="0.98425196850393704" header="0.51181102362204722" footer="0.51181102362204722"/>
  <pageSetup paperSize="9" orientation="portrait" horizontalDpi="300" verticalDpi="30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6"/>
  <sheetViews>
    <sheetView topLeftCell="A19" zoomScale="75" workbookViewId="0">
      <selection activeCell="U54" sqref="U54"/>
    </sheetView>
  </sheetViews>
  <sheetFormatPr baseColWidth="10" defaultRowHeight="12.75"/>
  <cols>
    <col min="1" max="1" width="9" customWidth="1"/>
    <col min="2" max="2" width="27.140625" customWidth="1"/>
    <col min="3" max="3" width="9.85546875" customWidth="1"/>
    <col min="4" max="4" width="9.7109375" customWidth="1"/>
    <col min="5" max="5" width="9.28515625" customWidth="1"/>
    <col min="6" max="6" width="10" customWidth="1"/>
    <col min="7" max="7" width="10.28515625" customWidth="1"/>
    <col min="8" max="8" width="10" customWidth="1"/>
    <col min="9" max="10" width="9.7109375" customWidth="1"/>
    <col min="11" max="11" width="10" customWidth="1"/>
    <col min="12" max="12" width="9" customWidth="1"/>
    <col min="13" max="13" width="8.5703125" customWidth="1"/>
    <col min="14" max="14" width="9.140625" customWidth="1"/>
    <col min="15" max="18" width="10.140625" customWidth="1"/>
    <col min="19" max="19" width="8.42578125" customWidth="1"/>
    <col min="20" max="20" width="8.7109375" customWidth="1"/>
    <col min="21" max="21" width="9.140625" style="309" customWidth="1"/>
  </cols>
  <sheetData>
    <row r="1" spans="1:21">
      <c r="A1" s="1378" t="s">
        <v>767</v>
      </c>
      <c r="B1" s="1378"/>
      <c r="C1" s="1378"/>
      <c r="D1" s="1378"/>
      <c r="E1" s="1378"/>
      <c r="F1" s="1378"/>
      <c r="G1" s="1378"/>
      <c r="H1" s="1378"/>
      <c r="I1" s="1378"/>
      <c r="J1" s="1378"/>
      <c r="K1" s="1378"/>
      <c r="L1" s="1378"/>
      <c r="M1" s="1378"/>
      <c r="N1" s="1378"/>
      <c r="O1" s="1378"/>
      <c r="P1" s="1378"/>
      <c r="Q1" s="1378"/>
      <c r="R1" s="1378"/>
      <c r="S1" s="1378"/>
      <c r="T1" s="1378"/>
    </row>
    <row r="2" spans="1:21">
      <c r="A2" s="117"/>
      <c r="B2" s="117"/>
      <c r="C2" s="117"/>
      <c r="D2" s="117"/>
      <c r="E2" s="117"/>
      <c r="F2" s="117"/>
      <c r="G2" s="117"/>
      <c r="H2" s="83"/>
      <c r="I2" s="83"/>
      <c r="J2" s="83"/>
      <c r="K2" s="83"/>
      <c r="L2" s="83"/>
      <c r="M2" s="83"/>
      <c r="N2" s="83"/>
      <c r="O2" s="310"/>
      <c r="P2" s="310"/>
      <c r="Q2" s="310"/>
      <c r="R2" s="310"/>
      <c r="S2" s="310"/>
      <c r="T2" s="310"/>
    </row>
    <row r="3" spans="1:21">
      <c r="A3" s="1378" t="str">
        <f>+'27'!A3</f>
        <v>SERVICIO DE SALUD   ACONCAGUA   2015</v>
      </c>
      <c r="B3" s="1378"/>
      <c r="C3" s="1378"/>
      <c r="D3" s="1378"/>
      <c r="E3" s="1378"/>
      <c r="F3" s="1378"/>
      <c r="G3" s="1378"/>
      <c r="H3" s="1378"/>
      <c r="I3" s="1378"/>
      <c r="J3" s="1378"/>
      <c r="K3" s="1378"/>
      <c r="L3" s="1378"/>
      <c r="M3" s="1378"/>
      <c r="N3" s="1378"/>
      <c r="O3" s="1378"/>
      <c r="P3" s="1378"/>
      <c r="Q3" s="1378"/>
      <c r="R3" s="1378"/>
      <c r="S3" s="1378"/>
      <c r="T3" s="1378"/>
    </row>
    <row r="4" spans="1:21">
      <c r="A4" s="1378" t="s">
        <v>700</v>
      </c>
      <c r="B4" s="1378"/>
      <c r="C4" s="1378"/>
      <c r="D4" s="1378"/>
      <c r="E4" s="1378"/>
      <c r="F4" s="1378"/>
      <c r="G4" s="1378"/>
      <c r="H4" s="1378"/>
      <c r="I4" s="1378"/>
      <c r="J4" s="1378"/>
      <c r="K4" s="1378"/>
      <c r="L4" s="1378"/>
      <c r="M4" s="1378"/>
      <c r="N4" s="1378"/>
      <c r="O4" s="1378"/>
      <c r="P4" s="1378"/>
      <c r="Q4" s="1378"/>
      <c r="R4" s="1378"/>
      <c r="S4" s="1378"/>
      <c r="T4" s="1378"/>
    </row>
    <row r="5" spans="1:21">
      <c r="A5" s="308"/>
      <c r="B5" s="308"/>
      <c r="C5" s="308"/>
      <c r="D5" s="308"/>
      <c r="E5" s="308"/>
      <c r="F5" s="308"/>
      <c r="G5" s="308"/>
      <c r="H5" s="308"/>
      <c r="I5" s="308"/>
      <c r="J5" s="308"/>
      <c r="K5" s="308"/>
      <c r="L5" s="308"/>
      <c r="M5" s="308"/>
      <c r="N5" s="308"/>
      <c r="O5" s="308"/>
      <c r="P5" s="308"/>
      <c r="Q5" s="308"/>
      <c r="R5" s="308"/>
      <c r="S5" s="308"/>
      <c r="T5" s="308"/>
    </row>
    <row r="6" spans="1:21">
      <c r="A6" s="289"/>
    </row>
    <row r="7" spans="1:21">
      <c r="A7" s="289"/>
    </row>
    <row r="8" spans="1:21">
      <c r="A8" s="290" t="s">
        <v>701</v>
      </c>
      <c r="B8" s="64"/>
      <c r="C8" s="182"/>
      <c r="D8" s="244"/>
      <c r="E8" s="244"/>
      <c r="F8" s="244"/>
      <c r="G8" s="244"/>
      <c r="H8" s="244"/>
      <c r="I8" s="244"/>
      <c r="J8" s="244"/>
      <c r="K8" s="244"/>
      <c r="L8" s="244"/>
      <c r="M8" s="244"/>
      <c r="N8" s="244"/>
      <c r="O8" s="244"/>
      <c r="P8" s="244"/>
      <c r="Q8" s="244"/>
      <c r="R8" s="244"/>
      <c r="S8" s="244"/>
      <c r="T8" s="311"/>
    </row>
    <row r="9" spans="1:21" s="6" customFormat="1" ht="23.25" customHeight="1">
      <c r="A9" s="312" t="s">
        <v>703</v>
      </c>
      <c r="B9" s="15" t="s">
        <v>704</v>
      </c>
      <c r="C9" s="313" t="s">
        <v>768</v>
      </c>
      <c r="D9" s="314" t="s">
        <v>769</v>
      </c>
      <c r="E9" s="314" t="s">
        <v>770</v>
      </c>
      <c r="F9" s="314" t="s">
        <v>771</v>
      </c>
      <c r="G9" s="314" t="s">
        <v>772</v>
      </c>
      <c r="H9" s="314" t="s">
        <v>773</v>
      </c>
      <c r="I9" s="314" t="s">
        <v>774</v>
      </c>
      <c r="J9" s="314" t="s">
        <v>775</v>
      </c>
      <c r="K9" s="314" t="s">
        <v>776</v>
      </c>
      <c r="L9" s="314" t="s">
        <v>777</v>
      </c>
      <c r="M9" s="314" t="s">
        <v>778</v>
      </c>
      <c r="N9" s="314" t="s">
        <v>779</v>
      </c>
      <c r="O9" s="314" t="s">
        <v>780</v>
      </c>
      <c r="P9" s="314" t="s">
        <v>781</v>
      </c>
      <c r="Q9" s="314" t="s">
        <v>782</v>
      </c>
      <c r="R9" s="314" t="s">
        <v>783</v>
      </c>
      <c r="S9" s="314" t="s">
        <v>784</v>
      </c>
      <c r="T9" s="315" t="s">
        <v>535</v>
      </c>
      <c r="U9" s="316"/>
    </row>
    <row r="10" spans="1:21" s="6" customFormat="1" ht="25.5" customHeight="1">
      <c r="A10" s="249" t="s">
        <v>712</v>
      </c>
      <c r="B10" s="299" t="s">
        <v>713</v>
      </c>
      <c r="C10" s="317">
        <f t="shared" ref="C10:C21" si="0">+C43*79</f>
        <v>0</v>
      </c>
      <c r="D10" s="317">
        <f t="shared" ref="D10:D21" si="1">+D43*72.5</f>
        <v>0</v>
      </c>
      <c r="E10" s="317">
        <f>+E43*67.5</f>
        <v>0</v>
      </c>
      <c r="F10" s="317">
        <f t="shared" ref="F10:F21" si="2">+F43*62.5</f>
        <v>0</v>
      </c>
      <c r="G10" s="317">
        <f t="shared" ref="G10:G21" si="3">+G43*57.5</f>
        <v>115</v>
      </c>
      <c r="H10" s="317">
        <f t="shared" ref="H10:H21" si="4">+H43*52.5</f>
        <v>0</v>
      </c>
      <c r="I10" s="317">
        <f t="shared" ref="I10:I21" si="5">+I43*47.5</f>
        <v>95</v>
      </c>
      <c r="J10" s="317">
        <f t="shared" ref="J10:J21" si="6">+J43*42.5</f>
        <v>0</v>
      </c>
      <c r="K10" s="317">
        <f t="shared" ref="K10:K21" si="7">+K43*37.5</f>
        <v>187.5</v>
      </c>
      <c r="L10" s="317">
        <f t="shared" ref="L10:L21" si="8">+L43*32.5</f>
        <v>130</v>
      </c>
      <c r="M10" s="317">
        <f t="shared" ref="M10:M21" si="9">+M43*27.5</f>
        <v>220</v>
      </c>
      <c r="N10" s="317">
        <f t="shared" ref="N10:N21" si="10">+N43*22.5</f>
        <v>472.5</v>
      </c>
      <c r="O10" s="317">
        <f t="shared" ref="O10:O21" si="11">+O43*17.5</f>
        <v>630</v>
      </c>
      <c r="P10" s="318">
        <f t="shared" ref="P10:P21" si="12">+P43*12.5</f>
        <v>487.5</v>
      </c>
      <c r="Q10" s="318">
        <f t="shared" ref="Q10:Q21" si="13">+Q43*7.5</f>
        <v>382.5</v>
      </c>
      <c r="R10" s="318">
        <f t="shared" ref="R10:R21" si="14">+R43*2.5</f>
        <v>142.5</v>
      </c>
      <c r="S10" s="318">
        <f t="shared" ref="S10:S21" si="15">+S43*0</f>
        <v>0</v>
      </c>
      <c r="T10" s="667">
        <f>SUM(C10:S10)</f>
        <v>2862.5</v>
      </c>
      <c r="U10" s="316"/>
    </row>
    <row r="11" spans="1:21" s="6" customFormat="1" ht="25.5" customHeight="1">
      <c r="A11" s="249" t="s">
        <v>714</v>
      </c>
      <c r="B11" s="299" t="s">
        <v>715</v>
      </c>
      <c r="C11" s="317">
        <f t="shared" si="0"/>
        <v>158</v>
      </c>
      <c r="D11" s="317">
        <f t="shared" si="1"/>
        <v>145</v>
      </c>
      <c r="E11" s="317">
        <f t="shared" ref="E11:E21" si="16">+E44*67.5</f>
        <v>0</v>
      </c>
      <c r="F11" s="317">
        <f t="shared" si="2"/>
        <v>125</v>
      </c>
      <c r="G11" s="317">
        <f t="shared" si="3"/>
        <v>0</v>
      </c>
      <c r="H11" s="317">
        <f t="shared" si="4"/>
        <v>157.5</v>
      </c>
      <c r="I11" s="317">
        <f t="shared" si="5"/>
        <v>47.5</v>
      </c>
      <c r="J11" s="317">
        <f t="shared" si="6"/>
        <v>170</v>
      </c>
      <c r="K11" s="317">
        <f t="shared" si="7"/>
        <v>337.5</v>
      </c>
      <c r="L11" s="317">
        <f t="shared" si="8"/>
        <v>325</v>
      </c>
      <c r="M11" s="317">
        <f t="shared" si="9"/>
        <v>385</v>
      </c>
      <c r="N11" s="317">
        <f t="shared" si="10"/>
        <v>787.5</v>
      </c>
      <c r="O11" s="317">
        <f t="shared" si="11"/>
        <v>455</v>
      </c>
      <c r="P11" s="317">
        <f t="shared" si="12"/>
        <v>550</v>
      </c>
      <c r="Q11" s="317">
        <f t="shared" si="13"/>
        <v>435</v>
      </c>
      <c r="R11" s="317">
        <f t="shared" si="14"/>
        <v>145</v>
      </c>
      <c r="S11" s="318">
        <f t="shared" si="15"/>
        <v>0</v>
      </c>
      <c r="T11" s="1104">
        <f>SUM(C11:S11)</f>
        <v>4223</v>
      </c>
      <c r="U11" s="316"/>
    </row>
    <row r="12" spans="1:21" s="6" customFormat="1" ht="25.5" customHeight="1">
      <c r="A12" s="249" t="s">
        <v>716</v>
      </c>
      <c r="B12" s="299" t="s">
        <v>717</v>
      </c>
      <c r="C12" s="317">
        <f t="shared" si="0"/>
        <v>0</v>
      </c>
      <c r="D12" s="317">
        <f t="shared" si="1"/>
        <v>0</v>
      </c>
      <c r="E12" s="317">
        <f t="shared" si="16"/>
        <v>67.5</v>
      </c>
      <c r="F12" s="317">
        <f t="shared" si="2"/>
        <v>0</v>
      </c>
      <c r="G12" s="317">
        <f t="shared" si="3"/>
        <v>0</v>
      </c>
      <c r="H12" s="317">
        <f t="shared" si="4"/>
        <v>0</v>
      </c>
      <c r="I12" s="317">
        <f t="shared" si="5"/>
        <v>0</v>
      </c>
      <c r="J12" s="317">
        <f t="shared" si="6"/>
        <v>0</v>
      </c>
      <c r="K12" s="317">
        <f t="shared" si="7"/>
        <v>37.5</v>
      </c>
      <c r="L12" s="317">
        <f t="shared" si="8"/>
        <v>32.5</v>
      </c>
      <c r="M12" s="317">
        <f t="shared" si="9"/>
        <v>82.5</v>
      </c>
      <c r="N12" s="317">
        <f t="shared" si="10"/>
        <v>112.5</v>
      </c>
      <c r="O12" s="317">
        <f t="shared" si="11"/>
        <v>87.5</v>
      </c>
      <c r="P12" s="318">
        <f t="shared" si="12"/>
        <v>150</v>
      </c>
      <c r="Q12" s="318">
        <f t="shared" si="13"/>
        <v>142.5</v>
      </c>
      <c r="R12" s="318">
        <f t="shared" si="14"/>
        <v>55</v>
      </c>
      <c r="S12" s="318">
        <f t="shared" si="15"/>
        <v>0</v>
      </c>
      <c r="T12" s="667">
        <f>SUM(C12:S12)</f>
        <v>767.5</v>
      </c>
      <c r="U12" s="316"/>
    </row>
    <row r="13" spans="1:21" s="6" customFormat="1" ht="25.5" customHeight="1">
      <c r="A13" s="249" t="s">
        <v>732</v>
      </c>
      <c r="B13" s="299" t="s">
        <v>733</v>
      </c>
      <c r="C13" s="317">
        <f t="shared" si="0"/>
        <v>158</v>
      </c>
      <c r="D13" s="317">
        <f t="shared" si="1"/>
        <v>72.5</v>
      </c>
      <c r="E13" s="317">
        <f t="shared" si="16"/>
        <v>67.5</v>
      </c>
      <c r="F13" s="317">
        <f t="shared" si="2"/>
        <v>125</v>
      </c>
      <c r="G13" s="317">
        <f t="shared" si="3"/>
        <v>402.5</v>
      </c>
      <c r="H13" s="317">
        <f t="shared" si="4"/>
        <v>262.5</v>
      </c>
      <c r="I13" s="317">
        <f t="shared" si="5"/>
        <v>522.5</v>
      </c>
      <c r="J13" s="317">
        <f t="shared" si="6"/>
        <v>170</v>
      </c>
      <c r="K13" s="317">
        <f t="shared" si="7"/>
        <v>300</v>
      </c>
      <c r="L13" s="317">
        <f t="shared" si="8"/>
        <v>97.5</v>
      </c>
      <c r="M13" s="317">
        <f t="shared" si="9"/>
        <v>220</v>
      </c>
      <c r="N13" s="317">
        <f t="shared" si="10"/>
        <v>225</v>
      </c>
      <c r="O13" s="317">
        <f t="shared" si="11"/>
        <v>140</v>
      </c>
      <c r="P13" s="318">
        <f t="shared" si="12"/>
        <v>50</v>
      </c>
      <c r="Q13" s="318">
        <f t="shared" si="13"/>
        <v>22.5</v>
      </c>
      <c r="R13" s="318">
        <f t="shared" si="14"/>
        <v>7.5</v>
      </c>
      <c r="S13" s="318">
        <f t="shared" si="15"/>
        <v>0</v>
      </c>
      <c r="T13" s="1104">
        <f>SUM(C13:S13)</f>
        <v>2843</v>
      </c>
      <c r="U13" s="316"/>
    </row>
    <row r="14" spans="1:21" s="6" customFormat="1" ht="25.5" customHeight="1">
      <c r="A14" s="249" t="s">
        <v>734</v>
      </c>
      <c r="B14" s="299" t="s">
        <v>735</v>
      </c>
      <c r="C14" s="317">
        <f t="shared" si="0"/>
        <v>0</v>
      </c>
      <c r="D14" s="317">
        <f t="shared" si="1"/>
        <v>0</v>
      </c>
      <c r="E14" s="317">
        <f t="shared" si="16"/>
        <v>0</v>
      </c>
      <c r="F14" s="317">
        <f t="shared" si="2"/>
        <v>0</v>
      </c>
      <c r="G14" s="317">
        <f t="shared" si="3"/>
        <v>0</v>
      </c>
      <c r="H14" s="317">
        <f t="shared" si="4"/>
        <v>0</v>
      </c>
      <c r="I14" s="317">
        <f t="shared" si="5"/>
        <v>0</v>
      </c>
      <c r="J14" s="317">
        <f t="shared" si="6"/>
        <v>42.5</v>
      </c>
      <c r="K14" s="317">
        <f t="shared" si="7"/>
        <v>0</v>
      </c>
      <c r="L14" s="317">
        <f t="shared" si="8"/>
        <v>227.5</v>
      </c>
      <c r="M14" s="317">
        <f t="shared" si="9"/>
        <v>220</v>
      </c>
      <c r="N14" s="317">
        <f t="shared" si="10"/>
        <v>157.5</v>
      </c>
      <c r="O14" s="317">
        <f t="shared" si="11"/>
        <v>262.5</v>
      </c>
      <c r="P14" s="318">
        <f t="shared" si="12"/>
        <v>125</v>
      </c>
      <c r="Q14" s="318">
        <f t="shared" si="13"/>
        <v>75</v>
      </c>
      <c r="R14" s="318">
        <f t="shared" si="14"/>
        <v>45</v>
      </c>
      <c r="S14" s="318">
        <f t="shared" si="15"/>
        <v>0</v>
      </c>
      <c r="T14" s="667">
        <f>SUM(C14:S14)</f>
        <v>1155</v>
      </c>
      <c r="U14" s="316"/>
    </row>
    <row r="15" spans="1:21" s="6" customFormat="1" ht="25.5" customHeight="1">
      <c r="A15" s="249" t="s">
        <v>736</v>
      </c>
      <c r="B15" s="299" t="s">
        <v>737</v>
      </c>
      <c r="C15" s="317">
        <f t="shared" si="0"/>
        <v>0</v>
      </c>
      <c r="D15" s="317">
        <f t="shared" si="1"/>
        <v>0</v>
      </c>
      <c r="E15" s="317">
        <f t="shared" si="16"/>
        <v>0</v>
      </c>
      <c r="F15" s="317">
        <f t="shared" si="2"/>
        <v>0</v>
      </c>
      <c r="G15" s="317">
        <f t="shared" si="3"/>
        <v>0</v>
      </c>
      <c r="H15" s="317">
        <f t="shared" si="4"/>
        <v>0</v>
      </c>
      <c r="I15" s="317">
        <f t="shared" si="5"/>
        <v>0</v>
      </c>
      <c r="J15" s="317">
        <f t="shared" si="6"/>
        <v>0</v>
      </c>
      <c r="K15" s="317">
        <f t="shared" si="7"/>
        <v>37.5</v>
      </c>
      <c r="L15" s="317">
        <f t="shared" si="8"/>
        <v>32.5</v>
      </c>
      <c r="M15" s="317">
        <f t="shared" si="9"/>
        <v>0</v>
      </c>
      <c r="N15" s="317">
        <f t="shared" si="10"/>
        <v>67.5</v>
      </c>
      <c r="O15" s="317">
        <f t="shared" si="11"/>
        <v>52.5</v>
      </c>
      <c r="P15" s="318">
        <f t="shared" si="12"/>
        <v>37.5</v>
      </c>
      <c r="Q15" s="318">
        <f t="shared" si="13"/>
        <v>22.5</v>
      </c>
      <c r="R15" s="318">
        <f t="shared" si="14"/>
        <v>30</v>
      </c>
      <c r="S15" s="318">
        <f t="shared" si="15"/>
        <v>0</v>
      </c>
      <c r="T15" s="667">
        <f t="shared" ref="T15:T21" si="17">SUM(C15:S15)</f>
        <v>280</v>
      </c>
      <c r="U15" s="316"/>
    </row>
    <row r="16" spans="1:21" s="6" customFormat="1" ht="25.5" customHeight="1">
      <c r="A16" s="249" t="s">
        <v>738</v>
      </c>
      <c r="B16" s="299" t="s">
        <v>739</v>
      </c>
      <c r="C16" s="317">
        <f t="shared" si="0"/>
        <v>0</v>
      </c>
      <c r="D16" s="317">
        <f t="shared" si="1"/>
        <v>0</v>
      </c>
      <c r="E16" s="317">
        <f t="shared" si="16"/>
        <v>0</v>
      </c>
      <c r="F16" s="317">
        <f t="shared" si="2"/>
        <v>0</v>
      </c>
      <c r="G16" s="317">
        <f t="shared" si="3"/>
        <v>0</v>
      </c>
      <c r="H16" s="317">
        <f t="shared" si="4"/>
        <v>0</v>
      </c>
      <c r="I16" s="317">
        <f t="shared" si="5"/>
        <v>95</v>
      </c>
      <c r="J16" s="317">
        <f t="shared" si="6"/>
        <v>42.5</v>
      </c>
      <c r="K16" s="317">
        <f t="shared" si="7"/>
        <v>75</v>
      </c>
      <c r="L16" s="317">
        <f t="shared" si="8"/>
        <v>130</v>
      </c>
      <c r="M16" s="317">
        <f t="shared" si="9"/>
        <v>55</v>
      </c>
      <c r="N16" s="317">
        <f t="shared" si="10"/>
        <v>90</v>
      </c>
      <c r="O16" s="317">
        <f t="shared" si="11"/>
        <v>17.5</v>
      </c>
      <c r="P16" s="318">
        <f t="shared" si="12"/>
        <v>50</v>
      </c>
      <c r="Q16" s="318">
        <f t="shared" si="13"/>
        <v>30</v>
      </c>
      <c r="R16" s="318">
        <f t="shared" si="14"/>
        <v>7.5</v>
      </c>
      <c r="S16" s="318">
        <f t="shared" si="15"/>
        <v>0</v>
      </c>
      <c r="T16" s="667">
        <f t="shared" si="17"/>
        <v>592.5</v>
      </c>
      <c r="U16" s="316"/>
    </row>
    <row r="17" spans="1:21" s="6" customFormat="1" ht="25.5" customHeight="1">
      <c r="A17" s="249" t="s">
        <v>740</v>
      </c>
      <c r="B17" s="299" t="s">
        <v>761</v>
      </c>
      <c r="C17" s="317">
        <f t="shared" si="0"/>
        <v>79</v>
      </c>
      <c r="D17" s="317">
        <f t="shared" si="1"/>
        <v>0</v>
      </c>
      <c r="E17" s="317">
        <f t="shared" si="16"/>
        <v>0</v>
      </c>
      <c r="F17" s="317">
        <f t="shared" si="2"/>
        <v>0</v>
      </c>
      <c r="G17" s="317">
        <f t="shared" si="3"/>
        <v>115</v>
      </c>
      <c r="H17" s="317">
        <f t="shared" si="4"/>
        <v>0</v>
      </c>
      <c r="I17" s="317">
        <f t="shared" si="5"/>
        <v>0</v>
      </c>
      <c r="J17" s="317">
        <f t="shared" si="6"/>
        <v>0</v>
      </c>
      <c r="K17" s="317">
        <f t="shared" si="7"/>
        <v>37.5</v>
      </c>
      <c r="L17" s="317">
        <f t="shared" si="8"/>
        <v>65</v>
      </c>
      <c r="M17" s="317">
        <f t="shared" si="9"/>
        <v>55</v>
      </c>
      <c r="N17" s="317">
        <f t="shared" si="10"/>
        <v>67.5</v>
      </c>
      <c r="O17" s="317">
        <f t="shared" si="11"/>
        <v>70</v>
      </c>
      <c r="P17" s="318">
        <f t="shared" si="12"/>
        <v>75</v>
      </c>
      <c r="Q17" s="318">
        <f t="shared" si="13"/>
        <v>60</v>
      </c>
      <c r="R17" s="318">
        <f t="shared" si="14"/>
        <v>27.5</v>
      </c>
      <c r="S17" s="318">
        <f t="shared" si="15"/>
        <v>0</v>
      </c>
      <c r="T17" s="667">
        <f t="shared" si="17"/>
        <v>651.5</v>
      </c>
      <c r="U17" s="316"/>
    </row>
    <row r="18" spans="1:21" s="6" customFormat="1" ht="25.5" customHeight="1">
      <c r="A18" s="249" t="s">
        <v>742</v>
      </c>
      <c r="B18" s="299" t="s">
        <v>743</v>
      </c>
      <c r="C18" s="317">
        <f t="shared" si="0"/>
        <v>0</v>
      </c>
      <c r="D18" s="317">
        <f t="shared" si="1"/>
        <v>0</v>
      </c>
      <c r="E18" s="317">
        <f t="shared" si="16"/>
        <v>0</v>
      </c>
      <c r="F18" s="317">
        <f t="shared" si="2"/>
        <v>0</v>
      </c>
      <c r="G18" s="317">
        <f t="shared" si="3"/>
        <v>0</v>
      </c>
      <c r="H18" s="317">
        <f t="shared" si="4"/>
        <v>0</v>
      </c>
      <c r="I18" s="317">
        <f t="shared" si="5"/>
        <v>0</v>
      </c>
      <c r="J18" s="317">
        <f t="shared" si="6"/>
        <v>0</v>
      </c>
      <c r="K18" s="317">
        <f t="shared" si="7"/>
        <v>75</v>
      </c>
      <c r="L18" s="317">
        <f t="shared" si="8"/>
        <v>65</v>
      </c>
      <c r="M18" s="317">
        <f t="shared" si="9"/>
        <v>110</v>
      </c>
      <c r="N18" s="317">
        <f t="shared" si="10"/>
        <v>67.5</v>
      </c>
      <c r="O18" s="317">
        <f t="shared" si="11"/>
        <v>87.5</v>
      </c>
      <c r="P18" s="318">
        <f t="shared" si="12"/>
        <v>100</v>
      </c>
      <c r="Q18" s="318">
        <f t="shared" si="13"/>
        <v>90</v>
      </c>
      <c r="R18" s="318">
        <f t="shared" si="14"/>
        <v>30</v>
      </c>
      <c r="S18" s="318">
        <f t="shared" si="15"/>
        <v>0</v>
      </c>
      <c r="T18" s="667">
        <f t="shared" si="17"/>
        <v>625</v>
      </c>
      <c r="U18" s="316"/>
    </row>
    <row r="19" spans="1:21" s="6" customFormat="1" ht="25.5" customHeight="1">
      <c r="A19" s="946" t="s">
        <v>225</v>
      </c>
      <c r="B19" s="947" t="s">
        <v>226</v>
      </c>
      <c r="C19" s="317">
        <f t="shared" si="0"/>
        <v>0</v>
      </c>
      <c r="D19" s="317">
        <f t="shared" si="1"/>
        <v>0</v>
      </c>
      <c r="E19" s="317">
        <f t="shared" si="16"/>
        <v>0</v>
      </c>
      <c r="F19" s="317">
        <f t="shared" si="2"/>
        <v>0</v>
      </c>
      <c r="G19" s="317">
        <f t="shared" si="3"/>
        <v>57.5</v>
      </c>
      <c r="H19" s="317">
        <f t="shared" si="4"/>
        <v>0</v>
      </c>
      <c r="I19" s="317">
        <f t="shared" si="5"/>
        <v>0</v>
      </c>
      <c r="J19" s="317">
        <f t="shared" si="6"/>
        <v>0</v>
      </c>
      <c r="K19" s="317">
        <f t="shared" si="7"/>
        <v>0</v>
      </c>
      <c r="L19" s="317">
        <f t="shared" si="8"/>
        <v>0</v>
      </c>
      <c r="M19" s="317">
        <f t="shared" si="9"/>
        <v>0</v>
      </c>
      <c r="N19" s="317">
        <f t="shared" si="10"/>
        <v>0</v>
      </c>
      <c r="O19" s="317">
        <f t="shared" si="11"/>
        <v>0</v>
      </c>
      <c r="P19" s="318">
        <f t="shared" si="12"/>
        <v>0</v>
      </c>
      <c r="Q19" s="318">
        <f t="shared" si="13"/>
        <v>0</v>
      </c>
      <c r="R19" s="318">
        <f t="shared" si="14"/>
        <v>0</v>
      </c>
      <c r="S19" s="318">
        <f t="shared" si="15"/>
        <v>0</v>
      </c>
      <c r="T19" s="667">
        <f t="shared" si="17"/>
        <v>57.5</v>
      </c>
      <c r="U19" s="316"/>
    </row>
    <row r="20" spans="1:21" s="6" customFormat="1" ht="25.5" customHeight="1">
      <c r="A20" s="249" t="s">
        <v>746</v>
      </c>
      <c r="B20" s="299" t="s">
        <v>747</v>
      </c>
      <c r="C20" s="317">
        <f t="shared" si="0"/>
        <v>79</v>
      </c>
      <c r="D20" s="317">
        <f t="shared" si="1"/>
        <v>0</v>
      </c>
      <c r="E20" s="317">
        <f t="shared" si="16"/>
        <v>0</v>
      </c>
      <c r="F20" s="317">
        <f t="shared" si="2"/>
        <v>0</v>
      </c>
      <c r="G20" s="317">
        <f t="shared" si="3"/>
        <v>0</v>
      </c>
      <c r="H20" s="317">
        <f t="shared" si="4"/>
        <v>0</v>
      </c>
      <c r="I20" s="317">
        <f t="shared" si="5"/>
        <v>0</v>
      </c>
      <c r="J20" s="317">
        <f t="shared" si="6"/>
        <v>0</v>
      </c>
      <c r="K20" s="317">
        <f t="shared" si="7"/>
        <v>0</v>
      </c>
      <c r="L20" s="317">
        <f t="shared" si="8"/>
        <v>0</v>
      </c>
      <c r="M20" s="317">
        <f t="shared" si="9"/>
        <v>0</v>
      </c>
      <c r="N20" s="317">
        <f t="shared" si="10"/>
        <v>0</v>
      </c>
      <c r="O20" s="317">
        <f t="shared" si="11"/>
        <v>0</v>
      </c>
      <c r="P20" s="318">
        <f t="shared" si="12"/>
        <v>12.5</v>
      </c>
      <c r="Q20" s="318">
        <f t="shared" si="13"/>
        <v>0</v>
      </c>
      <c r="R20" s="318">
        <f t="shared" si="14"/>
        <v>0</v>
      </c>
      <c r="S20" s="318">
        <f t="shared" si="15"/>
        <v>0</v>
      </c>
      <c r="T20" s="667">
        <f t="shared" si="17"/>
        <v>91.5</v>
      </c>
      <c r="U20" s="316"/>
    </row>
    <row r="21" spans="1:21" s="6" customFormat="1" ht="25.5" customHeight="1">
      <c r="A21" s="299"/>
      <c r="B21" s="299" t="s">
        <v>762</v>
      </c>
      <c r="C21" s="317">
        <f t="shared" si="0"/>
        <v>0</v>
      </c>
      <c r="D21" s="317">
        <f t="shared" si="1"/>
        <v>0</v>
      </c>
      <c r="E21" s="317">
        <f t="shared" si="16"/>
        <v>67.5</v>
      </c>
      <c r="F21" s="317">
        <f t="shared" si="2"/>
        <v>0</v>
      </c>
      <c r="G21" s="317">
        <f t="shared" si="3"/>
        <v>57.5</v>
      </c>
      <c r="H21" s="317">
        <f t="shared" si="4"/>
        <v>52.5</v>
      </c>
      <c r="I21" s="317">
        <f t="shared" si="5"/>
        <v>47.5</v>
      </c>
      <c r="J21" s="317">
        <f t="shared" si="6"/>
        <v>85</v>
      </c>
      <c r="K21" s="317">
        <f t="shared" si="7"/>
        <v>112.5</v>
      </c>
      <c r="L21" s="317">
        <f t="shared" si="8"/>
        <v>97.5</v>
      </c>
      <c r="M21" s="317">
        <f t="shared" si="9"/>
        <v>55</v>
      </c>
      <c r="N21" s="317">
        <f t="shared" si="10"/>
        <v>22.5</v>
      </c>
      <c r="O21" s="317">
        <f t="shared" si="11"/>
        <v>140</v>
      </c>
      <c r="P21" s="318">
        <f t="shared" si="12"/>
        <v>62.5</v>
      </c>
      <c r="Q21" s="318">
        <f t="shared" si="13"/>
        <v>90</v>
      </c>
      <c r="R21" s="318">
        <f t="shared" si="14"/>
        <v>40</v>
      </c>
      <c r="S21" s="318">
        <f t="shared" si="15"/>
        <v>0</v>
      </c>
      <c r="T21" s="667">
        <f t="shared" si="17"/>
        <v>930</v>
      </c>
      <c r="U21" s="316"/>
    </row>
    <row r="22" spans="1:21" ht="25.5" customHeight="1">
      <c r="A22" s="302"/>
      <c r="B22" s="302" t="s">
        <v>763</v>
      </c>
      <c r="C22" s="319">
        <f t="shared" ref="C22:T22" si="18">SUM(C10:C21)</f>
        <v>474</v>
      </c>
      <c r="D22" s="319">
        <f t="shared" si="18"/>
        <v>217.5</v>
      </c>
      <c r="E22" s="319">
        <f t="shared" si="18"/>
        <v>202.5</v>
      </c>
      <c r="F22" s="319">
        <f t="shared" si="18"/>
        <v>250</v>
      </c>
      <c r="G22" s="319">
        <f t="shared" si="18"/>
        <v>747.5</v>
      </c>
      <c r="H22" s="319">
        <f t="shared" si="18"/>
        <v>472.5</v>
      </c>
      <c r="I22" s="319">
        <f t="shared" si="18"/>
        <v>807.5</v>
      </c>
      <c r="J22" s="319">
        <f t="shared" si="18"/>
        <v>510</v>
      </c>
      <c r="K22" s="319">
        <f t="shared" si="18"/>
        <v>1200</v>
      </c>
      <c r="L22" s="319">
        <f t="shared" si="18"/>
        <v>1202.5</v>
      </c>
      <c r="M22" s="319">
        <f t="shared" si="18"/>
        <v>1402.5</v>
      </c>
      <c r="N22" s="319">
        <f t="shared" si="18"/>
        <v>2070</v>
      </c>
      <c r="O22" s="319">
        <f t="shared" si="18"/>
        <v>1942.5</v>
      </c>
      <c r="P22" s="319">
        <f>SUM(P10:P21)</f>
        <v>1700</v>
      </c>
      <c r="Q22" s="319">
        <f>SUM(Q10:Q21)</f>
        <v>1350</v>
      </c>
      <c r="R22" s="319">
        <f>SUM(R10:R21)</f>
        <v>530</v>
      </c>
      <c r="S22" s="319">
        <f t="shared" si="18"/>
        <v>0</v>
      </c>
      <c r="T22" s="306">
        <f t="shared" si="18"/>
        <v>15079</v>
      </c>
    </row>
    <row r="24" spans="1:21">
      <c r="A24" t="s">
        <v>785</v>
      </c>
    </row>
    <row r="41" spans="1:21">
      <c r="A41" s="290" t="s">
        <v>701</v>
      </c>
      <c r="B41" s="64"/>
      <c r="C41" s="182"/>
      <c r="D41" s="244"/>
      <c r="E41" s="244"/>
      <c r="F41" s="244"/>
      <c r="G41" s="244"/>
      <c r="H41" s="244"/>
      <c r="I41" s="244"/>
      <c r="J41" s="244"/>
      <c r="K41" s="244"/>
      <c r="L41" s="244"/>
      <c r="M41" s="244"/>
      <c r="N41" s="244"/>
      <c r="O41" s="244"/>
      <c r="P41" s="244"/>
      <c r="Q41" s="244"/>
      <c r="R41" s="244"/>
      <c r="S41" s="244"/>
      <c r="T41" s="311"/>
    </row>
    <row r="42" spans="1:21" ht="18">
      <c r="A42" s="312" t="s">
        <v>703</v>
      </c>
      <c r="B42" s="15" t="s">
        <v>704</v>
      </c>
      <c r="C42" s="313" t="s">
        <v>768</v>
      </c>
      <c r="D42" s="314" t="s">
        <v>769</v>
      </c>
      <c r="E42" s="314" t="s">
        <v>770</v>
      </c>
      <c r="F42" s="314" t="s">
        <v>771</v>
      </c>
      <c r="G42" s="314" t="s">
        <v>772</v>
      </c>
      <c r="H42" s="314" t="s">
        <v>773</v>
      </c>
      <c r="I42" s="314" t="s">
        <v>774</v>
      </c>
      <c r="J42" s="314" t="s">
        <v>775</v>
      </c>
      <c r="K42" s="314" t="s">
        <v>776</v>
      </c>
      <c r="L42" s="314" t="s">
        <v>777</v>
      </c>
      <c r="M42" s="314" t="s">
        <v>778</v>
      </c>
      <c r="N42" s="314" t="s">
        <v>779</v>
      </c>
      <c r="O42" s="314" t="s">
        <v>780</v>
      </c>
      <c r="P42" s="314" t="s">
        <v>781</v>
      </c>
      <c r="Q42" s="314" t="s">
        <v>782</v>
      </c>
      <c r="R42" s="314" t="s">
        <v>783</v>
      </c>
      <c r="S42" s="314" t="s">
        <v>784</v>
      </c>
      <c r="T42" s="315" t="s">
        <v>535</v>
      </c>
    </row>
    <row r="43" spans="1:21" ht="18" customHeight="1">
      <c r="A43" s="249" t="s">
        <v>712</v>
      </c>
      <c r="B43" s="299" t="s">
        <v>713</v>
      </c>
      <c r="C43" s="301"/>
      <c r="D43" s="301"/>
      <c r="E43" s="301"/>
      <c r="F43" s="301"/>
      <c r="G43" s="301">
        <v>2</v>
      </c>
      <c r="H43" s="301"/>
      <c r="I43" s="301">
        <v>2</v>
      </c>
      <c r="J43" s="301"/>
      <c r="K43" s="301">
        <v>5</v>
      </c>
      <c r="L43" s="301">
        <v>4</v>
      </c>
      <c r="M43" s="301">
        <v>8</v>
      </c>
      <c r="N43" s="47">
        <v>21</v>
      </c>
      <c r="O43" s="47">
        <v>36</v>
      </c>
      <c r="P43" s="47">
        <v>39</v>
      </c>
      <c r="Q43" s="47">
        <v>51</v>
      </c>
      <c r="R43" s="47">
        <v>57</v>
      </c>
      <c r="S43" s="301">
        <v>170</v>
      </c>
      <c r="T43" s="320">
        <f t="shared" ref="T43:T52" si="19">SUM(C43:S43)</f>
        <v>395</v>
      </c>
    </row>
    <row r="44" spans="1:21" ht="18" customHeight="1">
      <c r="A44" s="249" t="s">
        <v>714</v>
      </c>
      <c r="B44" s="299" t="s">
        <v>715</v>
      </c>
      <c r="C44" s="301">
        <v>2</v>
      </c>
      <c r="D44" s="301">
        <v>2</v>
      </c>
      <c r="E44" s="301"/>
      <c r="F44" s="301">
        <v>2</v>
      </c>
      <c r="G44" s="301"/>
      <c r="H44" s="301">
        <v>3</v>
      </c>
      <c r="I44" s="301">
        <v>1</v>
      </c>
      <c r="J44" s="301">
        <v>4</v>
      </c>
      <c r="K44" s="301">
        <v>9</v>
      </c>
      <c r="L44" s="301">
        <v>10</v>
      </c>
      <c r="M44" s="301">
        <v>14</v>
      </c>
      <c r="N44" s="47">
        <v>35</v>
      </c>
      <c r="O44" s="47">
        <v>26</v>
      </c>
      <c r="P44" s="47">
        <v>44</v>
      </c>
      <c r="Q44" s="47">
        <v>58</v>
      </c>
      <c r="R44" s="47">
        <v>58</v>
      </c>
      <c r="S44" s="301">
        <v>108</v>
      </c>
      <c r="T44" s="320">
        <f t="shared" si="19"/>
        <v>376</v>
      </c>
      <c r="U44" s="321"/>
    </row>
    <row r="45" spans="1:21" ht="18" customHeight="1">
      <c r="A45" s="249" t="s">
        <v>716</v>
      </c>
      <c r="B45" s="299" t="s">
        <v>717</v>
      </c>
      <c r="C45" s="301"/>
      <c r="D45" s="301"/>
      <c r="E45" s="301">
        <v>1</v>
      </c>
      <c r="F45" s="301"/>
      <c r="G45" s="301"/>
      <c r="H45" s="301"/>
      <c r="I45" s="301"/>
      <c r="J45" s="301"/>
      <c r="K45" s="301">
        <v>1</v>
      </c>
      <c r="L45" s="301">
        <v>1</v>
      </c>
      <c r="M45" s="301">
        <v>3</v>
      </c>
      <c r="N45" s="47">
        <v>5</v>
      </c>
      <c r="O45" s="47">
        <v>5</v>
      </c>
      <c r="P45" s="47">
        <v>12</v>
      </c>
      <c r="Q45" s="47">
        <v>19</v>
      </c>
      <c r="R45" s="47">
        <v>22</v>
      </c>
      <c r="S45" s="301">
        <v>102</v>
      </c>
      <c r="T45" s="320">
        <f t="shared" si="19"/>
        <v>171</v>
      </c>
    </row>
    <row r="46" spans="1:21" ht="18" customHeight="1">
      <c r="A46" s="249" t="s">
        <v>732</v>
      </c>
      <c r="B46" s="299" t="s">
        <v>733</v>
      </c>
      <c r="C46" s="301">
        <v>2</v>
      </c>
      <c r="D46" s="301">
        <v>1</v>
      </c>
      <c r="E46" s="301">
        <v>1</v>
      </c>
      <c r="F46" s="301">
        <v>2</v>
      </c>
      <c r="G46" s="301">
        <v>7</v>
      </c>
      <c r="H46" s="301">
        <v>5</v>
      </c>
      <c r="I46" s="301">
        <v>11</v>
      </c>
      <c r="J46" s="301">
        <v>4</v>
      </c>
      <c r="K46" s="301">
        <v>8</v>
      </c>
      <c r="L46" s="301">
        <v>3</v>
      </c>
      <c r="M46" s="301">
        <v>8</v>
      </c>
      <c r="N46" s="47">
        <v>10</v>
      </c>
      <c r="O46" s="47">
        <v>8</v>
      </c>
      <c r="P46" s="47">
        <v>4</v>
      </c>
      <c r="Q46" s="47">
        <v>3</v>
      </c>
      <c r="R46" s="47">
        <v>3</v>
      </c>
      <c r="S46" s="301">
        <v>11</v>
      </c>
      <c r="T46" s="320">
        <f t="shared" si="19"/>
        <v>91</v>
      </c>
    </row>
    <row r="47" spans="1:21" ht="18" customHeight="1">
      <c r="A47" s="249" t="s">
        <v>734</v>
      </c>
      <c r="B47" s="299" t="s">
        <v>735</v>
      </c>
      <c r="C47" s="301"/>
      <c r="D47" s="301"/>
      <c r="E47" s="301"/>
      <c r="F47" s="301"/>
      <c r="G47" s="301"/>
      <c r="H47" s="301"/>
      <c r="I47" s="301"/>
      <c r="J47" s="301">
        <v>1</v>
      </c>
      <c r="K47" s="301"/>
      <c r="L47" s="301">
        <v>7</v>
      </c>
      <c r="M47" s="301">
        <v>8</v>
      </c>
      <c r="N47" s="47">
        <v>7</v>
      </c>
      <c r="O47" s="47">
        <v>15</v>
      </c>
      <c r="P47" s="47">
        <v>10</v>
      </c>
      <c r="Q47" s="47">
        <v>10</v>
      </c>
      <c r="R47" s="47">
        <v>18</v>
      </c>
      <c r="S47" s="301">
        <v>30</v>
      </c>
      <c r="T47" s="320">
        <f t="shared" si="19"/>
        <v>106</v>
      </c>
    </row>
    <row r="48" spans="1:21" ht="18" customHeight="1">
      <c r="A48" s="249" t="s">
        <v>736</v>
      </c>
      <c r="B48" s="299" t="s">
        <v>737</v>
      </c>
      <c r="C48" s="301"/>
      <c r="D48" s="301"/>
      <c r="E48" s="301"/>
      <c r="F48" s="301"/>
      <c r="G48" s="301"/>
      <c r="H48" s="301"/>
      <c r="I48" s="301"/>
      <c r="J48" s="301"/>
      <c r="K48" s="301">
        <v>1</v>
      </c>
      <c r="L48" s="301">
        <v>1</v>
      </c>
      <c r="M48" s="301"/>
      <c r="N48" s="47">
        <v>3</v>
      </c>
      <c r="O48" s="47">
        <v>3</v>
      </c>
      <c r="P48" s="47">
        <v>3</v>
      </c>
      <c r="Q48" s="47">
        <v>3</v>
      </c>
      <c r="R48" s="47">
        <v>12</v>
      </c>
      <c r="S48" s="301">
        <v>32</v>
      </c>
      <c r="T48" s="320">
        <f t="shared" si="19"/>
        <v>58</v>
      </c>
    </row>
    <row r="49" spans="1:22" ht="18" customHeight="1">
      <c r="A49" s="249" t="s">
        <v>738</v>
      </c>
      <c r="B49" s="299" t="s">
        <v>739</v>
      </c>
      <c r="C49" s="301"/>
      <c r="D49" s="301"/>
      <c r="E49" s="301"/>
      <c r="F49" s="301"/>
      <c r="G49" s="301"/>
      <c r="H49" s="301"/>
      <c r="I49" s="301">
        <v>2</v>
      </c>
      <c r="J49" s="301">
        <v>1</v>
      </c>
      <c r="K49" s="301">
        <v>2</v>
      </c>
      <c r="L49" s="301">
        <v>4</v>
      </c>
      <c r="M49" s="301">
        <v>2</v>
      </c>
      <c r="N49" s="47">
        <v>4</v>
      </c>
      <c r="O49" s="47">
        <v>1</v>
      </c>
      <c r="P49" s="47">
        <v>4</v>
      </c>
      <c r="Q49" s="47">
        <v>4</v>
      </c>
      <c r="R49" s="47">
        <v>3</v>
      </c>
      <c r="S49" s="301">
        <v>18</v>
      </c>
      <c r="T49" s="320">
        <f t="shared" si="19"/>
        <v>45</v>
      </c>
    </row>
    <row r="50" spans="1:22" ht="18" customHeight="1">
      <c r="A50" s="249" t="s">
        <v>740</v>
      </c>
      <c r="B50" s="299" t="s">
        <v>761</v>
      </c>
      <c r="C50" s="301">
        <v>1</v>
      </c>
      <c r="D50" s="301"/>
      <c r="E50" s="301"/>
      <c r="F50" s="301"/>
      <c r="G50" s="301">
        <v>2</v>
      </c>
      <c r="H50" s="301"/>
      <c r="I50" s="301"/>
      <c r="J50" s="301"/>
      <c r="K50" s="301">
        <v>1</v>
      </c>
      <c r="L50" s="301">
        <v>2</v>
      </c>
      <c r="M50" s="301">
        <v>2</v>
      </c>
      <c r="N50" s="47">
        <v>3</v>
      </c>
      <c r="O50" s="47">
        <v>4</v>
      </c>
      <c r="P50" s="47">
        <v>6</v>
      </c>
      <c r="Q50" s="47">
        <v>8</v>
      </c>
      <c r="R50" s="47">
        <v>11</v>
      </c>
      <c r="S50" s="301">
        <v>58</v>
      </c>
      <c r="T50" s="320">
        <f t="shared" si="19"/>
        <v>98</v>
      </c>
    </row>
    <row r="51" spans="1:22" ht="18" customHeight="1">
      <c r="A51" s="249" t="s">
        <v>742</v>
      </c>
      <c r="B51" s="299" t="s">
        <v>743</v>
      </c>
      <c r="C51" s="301"/>
      <c r="D51" s="301"/>
      <c r="E51" s="301"/>
      <c r="F51" s="301"/>
      <c r="G51" s="301"/>
      <c r="H51" s="301"/>
      <c r="I51" s="301"/>
      <c r="J51" s="301"/>
      <c r="K51" s="301">
        <v>2</v>
      </c>
      <c r="L51" s="301">
        <v>2</v>
      </c>
      <c r="M51" s="301">
        <v>4</v>
      </c>
      <c r="N51" s="47">
        <v>3</v>
      </c>
      <c r="O51" s="47">
        <v>5</v>
      </c>
      <c r="P51" s="47">
        <v>8</v>
      </c>
      <c r="Q51" s="47">
        <v>12</v>
      </c>
      <c r="R51" s="47">
        <v>12</v>
      </c>
      <c r="S51" s="301">
        <v>26</v>
      </c>
      <c r="T51" s="320">
        <f t="shared" si="19"/>
        <v>74</v>
      </c>
    </row>
    <row r="52" spans="1:22" ht="18" customHeight="1">
      <c r="A52" s="946" t="s">
        <v>225</v>
      </c>
      <c r="B52" s="947" t="s">
        <v>226</v>
      </c>
      <c r="C52" s="301"/>
      <c r="D52" s="301"/>
      <c r="E52" s="301"/>
      <c r="F52" s="301"/>
      <c r="G52" s="301">
        <v>1</v>
      </c>
      <c r="H52" s="301"/>
      <c r="I52" s="301"/>
      <c r="J52" s="301"/>
      <c r="K52" s="301"/>
      <c r="L52" s="301"/>
      <c r="M52" s="301"/>
      <c r="N52" s="47"/>
      <c r="O52" s="47"/>
      <c r="P52" s="47"/>
      <c r="Q52" s="47"/>
      <c r="R52" s="47"/>
      <c r="S52" s="301"/>
      <c r="T52" s="320">
        <f t="shared" si="19"/>
        <v>1</v>
      </c>
    </row>
    <row r="53" spans="1:22" ht="18" customHeight="1">
      <c r="A53" s="249" t="s">
        <v>746</v>
      </c>
      <c r="B53" s="299" t="s">
        <v>747</v>
      </c>
      <c r="C53" s="301">
        <v>1</v>
      </c>
      <c r="D53" s="301"/>
      <c r="E53" s="301"/>
      <c r="F53" s="301"/>
      <c r="G53" s="301"/>
      <c r="H53" s="301"/>
      <c r="I53" s="301"/>
      <c r="J53" s="301"/>
      <c r="K53" s="301"/>
      <c r="L53" s="301"/>
      <c r="M53" s="301"/>
      <c r="N53" s="47"/>
      <c r="O53" s="47"/>
      <c r="P53" s="47">
        <v>1</v>
      </c>
      <c r="Q53" s="47"/>
      <c r="R53" s="47"/>
      <c r="S53" s="301"/>
      <c r="T53" s="320">
        <f>SUM(C53:S53)</f>
        <v>2</v>
      </c>
    </row>
    <row r="54" spans="1:22" ht="18" customHeight="1">
      <c r="A54" s="299"/>
      <c r="B54" s="299" t="s">
        <v>762</v>
      </c>
      <c r="C54" s="301"/>
      <c r="D54" s="301"/>
      <c r="E54" s="301">
        <v>1</v>
      </c>
      <c r="F54" s="301"/>
      <c r="G54" s="301">
        <v>1</v>
      </c>
      <c r="H54" s="301">
        <v>1</v>
      </c>
      <c r="I54" s="301">
        <v>1</v>
      </c>
      <c r="J54" s="301">
        <v>2</v>
      </c>
      <c r="K54" s="301">
        <v>3</v>
      </c>
      <c r="L54" s="301">
        <v>3</v>
      </c>
      <c r="M54" s="301">
        <v>2</v>
      </c>
      <c r="N54" s="47">
        <v>1</v>
      </c>
      <c r="O54" s="47">
        <v>8</v>
      </c>
      <c r="P54" s="47">
        <v>5</v>
      </c>
      <c r="Q54" s="47">
        <v>12</v>
      </c>
      <c r="R54" s="47">
        <v>16</v>
      </c>
      <c r="S54" s="301">
        <v>71</v>
      </c>
      <c r="T54" s="320">
        <f>SUM(C54:S54)</f>
        <v>127</v>
      </c>
    </row>
    <row r="55" spans="1:22">
      <c r="A55" s="302"/>
      <c r="B55" s="302" t="s">
        <v>763</v>
      </c>
      <c r="C55" s="304">
        <f t="shared" ref="C55:T55" si="20">SUM(C43:C54)</f>
        <v>6</v>
      </c>
      <c r="D55" s="304">
        <f t="shared" si="20"/>
        <v>3</v>
      </c>
      <c r="E55" s="304">
        <f>SUM(E43:E54)</f>
        <v>3</v>
      </c>
      <c r="F55" s="304">
        <f t="shared" si="20"/>
        <v>4</v>
      </c>
      <c r="G55" s="304">
        <f t="shared" si="20"/>
        <v>13</v>
      </c>
      <c r="H55" s="304">
        <f t="shared" si="20"/>
        <v>9</v>
      </c>
      <c r="I55" s="304">
        <f t="shared" si="20"/>
        <v>17</v>
      </c>
      <c r="J55" s="304">
        <f t="shared" si="20"/>
        <v>12</v>
      </c>
      <c r="K55" s="304">
        <f t="shared" si="20"/>
        <v>32</v>
      </c>
      <c r="L55" s="304">
        <f t="shared" si="20"/>
        <v>37</v>
      </c>
      <c r="M55" s="304">
        <f t="shared" si="20"/>
        <v>51</v>
      </c>
      <c r="N55" s="304">
        <f t="shared" si="20"/>
        <v>92</v>
      </c>
      <c r="O55" s="304">
        <f t="shared" si="20"/>
        <v>111</v>
      </c>
      <c r="P55" s="304">
        <f t="shared" si="20"/>
        <v>136</v>
      </c>
      <c r="Q55" s="304">
        <f t="shared" si="20"/>
        <v>180</v>
      </c>
      <c r="R55" s="304">
        <f t="shared" si="20"/>
        <v>212</v>
      </c>
      <c r="S55" s="304">
        <f t="shared" si="20"/>
        <v>626</v>
      </c>
      <c r="T55" s="322">
        <f t="shared" si="20"/>
        <v>1544</v>
      </c>
      <c r="V55" s="1105"/>
    </row>
    <row r="56" spans="1:22">
      <c r="B56" s="323" t="s">
        <v>786</v>
      </c>
      <c r="L56" s="324"/>
      <c r="S56" s="324"/>
    </row>
  </sheetData>
  <mergeCells count="3">
    <mergeCell ref="A1:T1"/>
    <mergeCell ref="A3:T3"/>
    <mergeCell ref="A4:T4"/>
  </mergeCells>
  <phoneticPr fontId="19" type="noConversion"/>
  <pageMargins left="0.98425196850393704" right="0" top="1.3779527559055118" bottom="0.78740157480314965" header="0.51181102362204722" footer="0.51181102362204722"/>
  <pageSetup paperSize="5" scale="70" orientation="landscape"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2"/>
  <sheetViews>
    <sheetView showGridLines="0" topLeftCell="A10" zoomScale="75" workbookViewId="0">
      <selection activeCell="G20" sqref="G20"/>
    </sheetView>
  </sheetViews>
  <sheetFormatPr baseColWidth="10" defaultRowHeight="12.75"/>
  <cols>
    <col min="2" max="2" width="22.5703125" customWidth="1"/>
    <col min="3" max="3" width="10.7109375" customWidth="1"/>
    <col min="4" max="5" width="10.28515625" customWidth="1"/>
    <col min="6" max="6" width="10.5703125" customWidth="1"/>
    <col min="7" max="7" width="10.140625" customWidth="1"/>
    <col min="8" max="8" width="9.85546875" customWidth="1"/>
  </cols>
  <sheetData>
    <row r="1" spans="1:8">
      <c r="A1" s="82" t="s">
        <v>789</v>
      </c>
      <c r="B1" s="116"/>
      <c r="C1" s="116"/>
      <c r="D1" s="116"/>
      <c r="E1" s="116"/>
      <c r="F1" s="116"/>
      <c r="G1" s="116"/>
      <c r="H1" s="1"/>
    </row>
    <row r="2" spans="1:8">
      <c r="A2" s="82"/>
      <c r="B2" s="116"/>
      <c r="C2" s="116"/>
      <c r="D2" s="116"/>
      <c r="E2" s="116"/>
      <c r="F2" s="116"/>
      <c r="G2" s="116"/>
      <c r="H2" s="1"/>
    </row>
    <row r="3" spans="1:8">
      <c r="A3" s="82" t="s">
        <v>790</v>
      </c>
      <c r="B3" s="116"/>
      <c r="C3" s="116"/>
      <c r="D3" s="116"/>
      <c r="E3" s="116"/>
      <c r="F3" s="116"/>
      <c r="G3" s="116"/>
      <c r="H3" s="1"/>
    </row>
    <row r="4" spans="1:8">
      <c r="A4" s="82"/>
      <c r="B4" s="116"/>
      <c r="C4" s="116"/>
      <c r="D4" s="116"/>
      <c r="E4" s="116"/>
      <c r="F4" s="116"/>
      <c r="G4" s="116"/>
      <c r="H4" s="1"/>
    </row>
    <row r="5" spans="1:8" ht="12" customHeight="1">
      <c r="A5" s="82">
        <v>2015</v>
      </c>
      <c r="B5" s="116"/>
      <c r="C5" s="116"/>
      <c r="D5" s="116"/>
      <c r="E5" s="116"/>
      <c r="F5" s="116"/>
      <c r="G5" s="116"/>
      <c r="H5" s="1"/>
    </row>
    <row r="6" spans="1:8">
      <c r="A6" s="116"/>
      <c r="B6" s="116"/>
      <c r="C6" s="116"/>
      <c r="D6" s="116"/>
      <c r="E6" s="116"/>
      <c r="F6" s="116"/>
      <c r="G6" s="116"/>
      <c r="H6" s="1"/>
    </row>
    <row r="7" spans="1:8">
      <c r="A7" s="116"/>
      <c r="B7" s="116"/>
      <c r="C7" s="116"/>
      <c r="D7" s="116"/>
      <c r="E7" s="116"/>
      <c r="F7" s="116"/>
      <c r="G7" s="116"/>
      <c r="H7" s="1"/>
    </row>
    <row r="10" spans="1:8">
      <c r="A10" s="326"/>
      <c r="B10" s="311"/>
      <c r="C10" s="182"/>
      <c r="D10" s="311"/>
      <c r="E10" s="182"/>
      <c r="F10" s="311"/>
      <c r="G10" s="182"/>
      <c r="H10" s="311"/>
    </row>
    <row r="11" spans="1:8">
      <c r="A11" s="327"/>
      <c r="B11" s="196"/>
      <c r="C11" s="199" t="s">
        <v>791</v>
      </c>
      <c r="D11" s="328"/>
      <c r="E11" s="199" t="s">
        <v>665</v>
      </c>
      <c r="F11" s="328"/>
      <c r="G11" s="199" t="s">
        <v>792</v>
      </c>
      <c r="H11" s="328"/>
    </row>
    <row r="12" spans="1:8">
      <c r="A12" s="327" t="s">
        <v>793</v>
      </c>
      <c r="B12" s="196"/>
      <c r="C12" s="199" t="s">
        <v>794</v>
      </c>
      <c r="D12" s="328" t="s">
        <v>682</v>
      </c>
      <c r="E12" s="199" t="s">
        <v>794</v>
      </c>
      <c r="F12" s="328" t="s">
        <v>682</v>
      </c>
      <c r="G12" s="199" t="s">
        <v>794</v>
      </c>
      <c r="H12" s="328" t="s">
        <v>682</v>
      </c>
    </row>
    <row r="13" spans="1:8">
      <c r="A13" s="329"/>
      <c r="B13" s="330"/>
      <c r="C13" s="329"/>
      <c r="D13" s="330"/>
      <c r="E13" s="329"/>
      <c r="F13" s="330"/>
      <c r="G13" s="329"/>
      <c r="H13" s="330"/>
    </row>
    <row r="14" spans="1:8" s="6" customFormat="1" ht="24" customHeight="1">
      <c r="A14" s="53" t="s">
        <v>805</v>
      </c>
      <c r="B14" s="142"/>
      <c r="C14" s="47">
        <v>0</v>
      </c>
      <c r="D14" s="333">
        <f t="shared" ref="D14:D45" si="0">+C14/C$72*100000</f>
        <v>0</v>
      </c>
      <c r="E14" s="45">
        <v>0</v>
      </c>
      <c r="F14" s="333">
        <f>+E14/E$72*100000</f>
        <v>0</v>
      </c>
      <c r="G14" s="47">
        <v>0</v>
      </c>
      <c r="H14" s="333">
        <f>+G14/G$72*100000</f>
        <v>0</v>
      </c>
    </row>
    <row r="15" spans="1:8" s="6" customFormat="1" ht="24" customHeight="1">
      <c r="A15" s="53" t="s">
        <v>265</v>
      </c>
      <c r="B15" s="142"/>
      <c r="C15" s="47">
        <v>0</v>
      </c>
      <c r="D15" s="333">
        <f t="shared" si="0"/>
        <v>0</v>
      </c>
      <c r="E15" s="45">
        <v>0</v>
      </c>
      <c r="F15" s="333">
        <f>+E15/E$72*100000</f>
        <v>0</v>
      </c>
      <c r="G15" s="47">
        <v>0</v>
      </c>
      <c r="H15" s="333">
        <f>+G15/G$72*100000</f>
        <v>0</v>
      </c>
    </row>
    <row r="16" spans="1:8" s="6" customFormat="1" ht="24" customHeight="1">
      <c r="A16" s="53" t="s">
        <v>800</v>
      </c>
      <c r="B16" s="142"/>
      <c r="C16" s="47">
        <v>81</v>
      </c>
      <c r="D16" s="333">
        <f t="shared" si="0"/>
        <v>0.45339580866361023</v>
      </c>
      <c r="E16" s="45">
        <v>1</v>
      </c>
      <c r="F16" s="333">
        <f t="shared" ref="F16:F44" si="1">+E16/E$72*100000</f>
        <v>5.403430962523964E-2</v>
      </c>
      <c r="G16" s="47">
        <v>0</v>
      </c>
      <c r="H16" s="333">
        <f t="shared" ref="H16:H44" si="2">+G16/G$72*100000</f>
        <v>0</v>
      </c>
    </row>
    <row r="17" spans="1:8" s="6" customFormat="1" ht="24" customHeight="1">
      <c r="A17" s="53" t="s">
        <v>266</v>
      </c>
      <c r="B17" s="142"/>
      <c r="C17" s="47">
        <v>17</v>
      </c>
      <c r="D17" s="333">
        <f t="shared" si="0"/>
        <v>9.5157145028165122E-2</v>
      </c>
      <c r="E17" s="45">
        <v>2</v>
      </c>
      <c r="F17" s="333">
        <f t="shared" si="1"/>
        <v>0.10806861925047928</v>
      </c>
      <c r="G17" s="47">
        <v>0</v>
      </c>
      <c r="H17" s="333">
        <f t="shared" si="2"/>
        <v>0</v>
      </c>
    </row>
    <row r="18" spans="1:8" s="6" customFormat="1" ht="24" customHeight="1">
      <c r="A18" s="53" t="s">
        <v>813</v>
      </c>
      <c r="B18" s="142"/>
      <c r="C18" s="47">
        <v>6</v>
      </c>
      <c r="D18" s="333">
        <f t="shared" si="0"/>
        <v>3.3584874715822985E-2</v>
      </c>
      <c r="E18" s="45">
        <v>0</v>
      </c>
      <c r="F18" s="333">
        <f t="shared" si="1"/>
        <v>0</v>
      </c>
      <c r="G18" s="47">
        <v>0</v>
      </c>
      <c r="H18" s="333">
        <f t="shared" si="2"/>
        <v>0</v>
      </c>
    </row>
    <row r="19" spans="1:8" s="6" customFormat="1" ht="24" customHeight="1">
      <c r="A19" s="53" t="s">
        <v>267</v>
      </c>
      <c r="B19" s="142"/>
      <c r="C19" s="47">
        <v>8</v>
      </c>
      <c r="D19" s="333">
        <f t="shared" si="0"/>
        <v>4.4779832954430644E-2</v>
      </c>
      <c r="E19" s="45">
        <v>0</v>
      </c>
      <c r="F19" s="333">
        <f t="shared" si="1"/>
        <v>0</v>
      </c>
      <c r="G19" s="47">
        <v>0</v>
      </c>
      <c r="H19" s="333">
        <f t="shared" si="2"/>
        <v>0</v>
      </c>
    </row>
    <row r="20" spans="1:8" s="6" customFormat="1" ht="24" customHeight="1">
      <c r="A20" s="53" t="s">
        <v>268</v>
      </c>
      <c r="B20" s="142"/>
      <c r="C20" s="47">
        <v>108</v>
      </c>
      <c r="D20" s="333">
        <f t="shared" si="0"/>
        <v>0.60452774488481364</v>
      </c>
      <c r="E20" s="45">
        <v>19</v>
      </c>
      <c r="F20" s="333">
        <f t="shared" si="1"/>
        <v>1.0266518828795532</v>
      </c>
      <c r="G20" s="47">
        <v>7</v>
      </c>
      <c r="H20" s="333">
        <f t="shared" si="2"/>
        <v>2.5272126649457549</v>
      </c>
    </row>
    <row r="21" spans="1:8" s="6" customFormat="1" ht="24" customHeight="1">
      <c r="A21" s="53" t="s">
        <v>269</v>
      </c>
      <c r="B21" s="142"/>
      <c r="C21" s="47">
        <v>209</v>
      </c>
      <c r="D21" s="333">
        <f t="shared" si="0"/>
        <v>1.1698731359345005</v>
      </c>
      <c r="E21" s="45">
        <v>18</v>
      </c>
      <c r="F21" s="333">
        <f t="shared" si="1"/>
        <v>0.97261757325431364</v>
      </c>
      <c r="G21" s="47">
        <v>2</v>
      </c>
      <c r="H21" s="333">
        <f t="shared" si="2"/>
        <v>0.72206076141307296</v>
      </c>
    </row>
    <row r="22" spans="1:8" s="6" customFormat="1" ht="24" customHeight="1">
      <c r="A22" s="53" t="s">
        <v>804</v>
      </c>
      <c r="B22" s="142"/>
      <c r="C22" s="47">
        <v>1878</v>
      </c>
      <c r="D22" s="333">
        <f t="shared" si="0"/>
        <v>10.512065786052593</v>
      </c>
      <c r="E22" s="45">
        <v>154</v>
      </c>
      <c r="F22" s="333">
        <f t="shared" si="1"/>
        <v>8.3212836822869036</v>
      </c>
      <c r="G22" s="47">
        <v>14</v>
      </c>
      <c r="H22" s="333">
        <f t="shared" si="2"/>
        <v>5.0544253298915098</v>
      </c>
    </row>
    <row r="23" spans="1:8" s="6" customFormat="1" ht="24" customHeight="1">
      <c r="A23" s="53" t="s">
        <v>809</v>
      </c>
      <c r="B23" s="142"/>
      <c r="C23" s="332">
        <v>1453</v>
      </c>
      <c r="D23" s="333">
        <f t="shared" si="0"/>
        <v>8.1331371603484648</v>
      </c>
      <c r="E23" s="45">
        <v>119</v>
      </c>
      <c r="F23" s="333">
        <f t="shared" si="1"/>
        <v>6.4300828454035166</v>
      </c>
      <c r="G23" s="47">
        <v>10</v>
      </c>
      <c r="H23" s="333">
        <f t="shared" si="2"/>
        <v>3.6103038070653648</v>
      </c>
    </row>
    <row r="24" spans="1:8" s="6" customFormat="1" ht="24" customHeight="1">
      <c r="A24" s="53" t="s">
        <v>808</v>
      </c>
      <c r="B24" s="142"/>
      <c r="C24" s="332">
        <v>3488</v>
      </c>
      <c r="D24" s="333">
        <f t="shared" si="0"/>
        <v>19.52400716813176</v>
      </c>
      <c r="E24" s="45">
        <v>528</v>
      </c>
      <c r="F24" s="333">
        <f t="shared" si="1"/>
        <v>28.530115482126529</v>
      </c>
      <c r="G24" s="47">
        <v>57</v>
      </c>
      <c r="H24" s="333">
        <f t="shared" si="2"/>
        <v>20.578731700272577</v>
      </c>
    </row>
    <row r="25" spans="1:8" s="6" customFormat="1" ht="24" customHeight="1">
      <c r="A25" s="53" t="s">
        <v>795</v>
      </c>
      <c r="B25" s="142"/>
      <c r="C25" s="332">
        <v>0</v>
      </c>
      <c r="D25" s="333">
        <f t="shared" si="0"/>
        <v>0</v>
      </c>
      <c r="E25" s="45">
        <v>0</v>
      </c>
      <c r="F25" s="333">
        <f t="shared" si="1"/>
        <v>0</v>
      </c>
      <c r="G25" s="47">
        <v>0</v>
      </c>
      <c r="H25" s="333">
        <f t="shared" si="2"/>
        <v>0</v>
      </c>
    </row>
    <row r="26" spans="1:8" s="6" customFormat="1" ht="24" customHeight="1">
      <c r="A26" s="53" t="s">
        <v>810</v>
      </c>
      <c r="B26" s="142"/>
      <c r="C26" s="332">
        <v>1166</v>
      </c>
      <c r="D26" s="333">
        <f t="shared" si="0"/>
        <v>6.5266606531082667</v>
      </c>
      <c r="E26" s="45">
        <v>43</v>
      </c>
      <c r="F26" s="333">
        <f t="shared" si="1"/>
        <v>2.3234753138853046</v>
      </c>
      <c r="G26" s="47">
        <v>11</v>
      </c>
      <c r="H26" s="333">
        <f t="shared" si="2"/>
        <v>3.9713341877719008</v>
      </c>
    </row>
    <row r="27" spans="1:8" s="6" customFormat="1" ht="24" customHeight="1">
      <c r="A27" s="53" t="s">
        <v>799</v>
      </c>
      <c r="B27" s="142"/>
      <c r="C27" s="332">
        <v>0</v>
      </c>
      <c r="D27" s="333">
        <f t="shared" si="0"/>
        <v>0</v>
      </c>
      <c r="E27" s="45">
        <v>0</v>
      </c>
      <c r="F27" s="333">
        <f t="shared" si="1"/>
        <v>0</v>
      </c>
      <c r="G27" s="47">
        <v>0</v>
      </c>
      <c r="H27" s="333">
        <f t="shared" si="2"/>
        <v>0</v>
      </c>
    </row>
    <row r="28" spans="1:8" s="6" customFormat="1" ht="24" customHeight="1">
      <c r="A28" s="53" t="s">
        <v>270</v>
      </c>
      <c r="B28" s="142"/>
      <c r="C28" s="332">
        <v>11</v>
      </c>
      <c r="D28" s="333">
        <f t="shared" si="0"/>
        <v>6.1572270312342137E-2</v>
      </c>
      <c r="E28" s="45">
        <v>0</v>
      </c>
      <c r="F28" s="333">
        <f t="shared" si="1"/>
        <v>0</v>
      </c>
      <c r="G28" s="47">
        <v>0</v>
      </c>
      <c r="H28" s="333">
        <f t="shared" si="2"/>
        <v>0</v>
      </c>
    </row>
    <row r="29" spans="1:8" s="6" customFormat="1" ht="24" customHeight="1">
      <c r="A29" s="53" t="s">
        <v>798</v>
      </c>
      <c r="B29" s="142"/>
      <c r="C29" s="332">
        <v>6</v>
      </c>
      <c r="D29" s="333">
        <f t="shared" si="0"/>
        <v>3.3584874715822985E-2</v>
      </c>
      <c r="E29" s="45">
        <v>0</v>
      </c>
      <c r="F29" s="333">
        <f t="shared" si="1"/>
        <v>0</v>
      </c>
      <c r="G29" s="47">
        <v>0</v>
      </c>
      <c r="H29" s="333">
        <f t="shared" si="2"/>
        <v>0</v>
      </c>
    </row>
    <row r="30" spans="1:8" s="6" customFormat="1" ht="24" customHeight="1">
      <c r="A30" s="53" t="s">
        <v>797</v>
      </c>
      <c r="B30" s="142"/>
      <c r="C30" s="47">
        <v>0</v>
      </c>
      <c r="D30" s="333">
        <f t="shared" si="0"/>
        <v>0</v>
      </c>
      <c r="E30" s="45">
        <v>0</v>
      </c>
      <c r="F30" s="333">
        <f t="shared" si="1"/>
        <v>0</v>
      </c>
      <c r="G30" s="47">
        <v>0</v>
      </c>
      <c r="H30" s="333">
        <f t="shared" si="2"/>
        <v>0</v>
      </c>
    </row>
    <row r="31" spans="1:8" s="6" customFormat="1" ht="24" customHeight="1">
      <c r="A31" s="53" t="s">
        <v>796</v>
      </c>
      <c r="B31" s="142"/>
      <c r="C31" s="332">
        <v>603</v>
      </c>
      <c r="D31" s="333">
        <f t="shared" si="0"/>
        <v>3.3752799089402097</v>
      </c>
      <c r="E31" s="45">
        <v>69</v>
      </c>
      <c r="F31" s="333">
        <f t="shared" si="1"/>
        <v>3.7283673641415351</v>
      </c>
      <c r="G31" s="47">
        <v>6</v>
      </c>
      <c r="H31" s="333">
        <f t="shared" si="2"/>
        <v>2.1661822842392184</v>
      </c>
    </row>
    <row r="32" spans="1:8" s="6" customFormat="1" ht="24" customHeight="1">
      <c r="A32" s="53" t="s">
        <v>801</v>
      </c>
      <c r="B32" s="142"/>
      <c r="C32" s="332">
        <v>1547</v>
      </c>
      <c r="D32" s="333">
        <f t="shared" si="0"/>
        <v>8.6593001975630255</v>
      </c>
      <c r="E32" s="45">
        <v>13</v>
      </c>
      <c r="F32" s="333">
        <f t="shared" si="1"/>
        <v>0.70244602512811538</v>
      </c>
      <c r="G32" s="47">
        <v>0</v>
      </c>
      <c r="H32" s="333">
        <f t="shared" si="2"/>
        <v>0</v>
      </c>
    </row>
    <row r="33" spans="1:8" s="6" customFormat="1" ht="24" customHeight="1">
      <c r="A33" s="53" t="s">
        <v>802</v>
      </c>
      <c r="B33" s="142"/>
      <c r="C33" s="332">
        <v>831</v>
      </c>
      <c r="D33" s="333">
        <f t="shared" si="0"/>
        <v>4.6515051481414833</v>
      </c>
      <c r="E33" s="45">
        <v>65</v>
      </c>
      <c r="F33" s="333">
        <f t="shared" si="1"/>
        <v>3.5122301256405768</v>
      </c>
      <c r="G33" s="47">
        <v>9</v>
      </c>
      <c r="H33" s="333">
        <f t="shared" si="2"/>
        <v>3.2492734263588279</v>
      </c>
    </row>
    <row r="34" spans="1:8" s="6" customFormat="1" ht="24" customHeight="1">
      <c r="A34" s="53" t="s">
        <v>264</v>
      </c>
      <c r="B34" s="142"/>
      <c r="C34" s="332">
        <v>348</v>
      </c>
      <c r="D34" s="333">
        <f t="shared" si="0"/>
        <v>1.9479227335177329</v>
      </c>
      <c r="E34" s="45">
        <v>32</v>
      </c>
      <c r="F34" s="333">
        <f t="shared" si="1"/>
        <v>1.7290979080076685</v>
      </c>
      <c r="G34" s="47">
        <v>5</v>
      </c>
      <c r="H34" s="333">
        <f t="shared" si="2"/>
        <v>1.8051519035326824</v>
      </c>
    </row>
    <row r="35" spans="1:8" s="6" customFormat="1" ht="24" customHeight="1">
      <c r="A35" s="53" t="s">
        <v>803</v>
      </c>
      <c r="B35" s="142"/>
      <c r="C35" s="332">
        <v>170</v>
      </c>
      <c r="D35" s="333">
        <f t="shared" si="0"/>
        <v>0.95157145028165124</v>
      </c>
      <c r="E35" s="45">
        <v>0</v>
      </c>
      <c r="F35" s="333">
        <f t="shared" si="1"/>
        <v>0</v>
      </c>
      <c r="G35" s="47">
        <v>0</v>
      </c>
      <c r="H35" s="333">
        <f t="shared" si="2"/>
        <v>0</v>
      </c>
    </row>
    <row r="36" spans="1:8" s="6" customFormat="1" ht="24" customHeight="1">
      <c r="A36" s="53" t="s">
        <v>806</v>
      </c>
      <c r="B36" s="142"/>
      <c r="C36" s="332">
        <v>2</v>
      </c>
      <c r="D36" s="333">
        <f t="shared" si="0"/>
        <v>1.1194958238607661E-2</v>
      </c>
      <c r="E36" s="45">
        <v>0</v>
      </c>
      <c r="F36" s="333">
        <f t="shared" si="1"/>
        <v>0</v>
      </c>
      <c r="G36" s="47">
        <v>0</v>
      </c>
      <c r="H36" s="333">
        <f t="shared" si="2"/>
        <v>0</v>
      </c>
    </row>
    <row r="37" spans="1:8" s="6" customFormat="1" ht="24" customHeight="1">
      <c r="A37" s="53" t="s">
        <v>815</v>
      </c>
      <c r="B37" s="142"/>
      <c r="C37" s="332">
        <v>36</v>
      </c>
      <c r="D37" s="333">
        <f t="shared" si="0"/>
        <v>0.20150924829493791</v>
      </c>
      <c r="E37" s="45">
        <v>2</v>
      </c>
      <c r="F37" s="333">
        <f t="shared" si="1"/>
        <v>0.10806861925047928</v>
      </c>
      <c r="G37" s="47">
        <v>0</v>
      </c>
      <c r="H37" s="333">
        <f t="shared" si="2"/>
        <v>0</v>
      </c>
    </row>
    <row r="38" spans="1:8" s="6" customFormat="1" ht="24" customHeight="1">
      <c r="A38" s="53" t="s">
        <v>271</v>
      </c>
      <c r="B38" s="142"/>
      <c r="C38" s="332">
        <v>157</v>
      </c>
      <c r="D38" s="333">
        <f t="shared" si="0"/>
        <v>0.87880422173070138</v>
      </c>
      <c r="E38" s="45">
        <v>29</v>
      </c>
      <c r="F38" s="333">
        <f t="shared" si="1"/>
        <v>1.5669949791319495</v>
      </c>
      <c r="G38" s="47">
        <v>2</v>
      </c>
      <c r="H38" s="333">
        <f t="shared" si="2"/>
        <v>0.72206076141307296</v>
      </c>
    </row>
    <row r="39" spans="1:8" s="6" customFormat="1" ht="24" customHeight="1">
      <c r="A39" s="53" t="s">
        <v>1268</v>
      </c>
      <c r="B39" s="142"/>
      <c r="C39" s="332">
        <v>2</v>
      </c>
      <c r="D39" s="333">
        <f t="shared" si="0"/>
        <v>1.1194958238607661E-2</v>
      </c>
      <c r="E39" s="45">
        <v>1</v>
      </c>
      <c r="F39" s="333">
        <f t="shared" si="1"/>
        <v>5.403430962523964E-2</v>
      </c>
      <c r="G39" s="47">
        <v>0</v>
      </c>
      <c r="H39" s="333">
        <f t="shared" si="2"/>
        <v>0</v>
      </c>
    </row>
    <row r="40" spans="1:8" s="6" customFormat="1" ht="24" customHeight="1">
      <c r="A40" s="53" t="s">
        <v>812</v>
      </c>
      <c r="B40" s="142"/>
      <c r="C40" s="332">
        <v>258</v>
      </c>
      <c r="D40" s="333">
        <f t="shared" si="0"/>
        <v>1.4441496127803881</v>
      </c>
      <c r="E40" s="45">
        <v>7</v>
      </c>
      <c r="F40" s="333">
        <f t="shared" si="1"/>
        <v>0.37824016737667748</v>
      </c>
      <c r="G40" s="47">
        <v>2</v>
      </c>
      <c r="H40" s="333">
        <f t="shared" si="2"/>
        <v>0.72206076141307296</v>
      </c>
    </row>
    <row r="41" spans="1:8" s="6" customFormat="1" ht="24" customHeight="1">
      <c r="A41" s="53" t="s">
        <v>814</v>
      </c>
      <c r="B41" s="142"/>
      <c r="C41" s="332">
        <v>47</v>
      </c>
      <c r="D41" s="333">
        <f t="shared" si="0"/>
        <v>0.26308151860728002</v>
      </c>
      <c r="E41" s="45">
        <v>0</v>
      </c>
      <c r="F41" s="333">
        <f t="shared" si="1"/>
        <v>0</v>
      </c>
      <c r="G41" s="47">
        <v>0</v>
      </c>
      <c r="H41" s="333">
        <f t="shared" si="2"/>
        <v>0</v>
      </c>
    </row>
    <row r="42" spans="1:8" s="6" customFormat="1" ht="24" customHeight="1">
      <c r="A42" s="53" t="s">
        <v>1224</v>
      </c>
      <c r="B42" s="142"/>
      <c r="C42" s="332">
        <v>8</v>
      </c>
      <c r="D42" s="333">
        <f t="shared" si="0"/>
        <v>4.4779832954430644E-2</v>
      </c>
      <c r="E42" s="45">
        <v>2</v>
      </c>
      <c r="F42" s="333">
        <f t="shared" si="1"/>
        <v>0.10806861925047928</v>
      </c>
      <c r="G42" s="47">
        <v>0</v>
      </c>
      <c r="H42" s="333">
        <f t="shared" si="2"/>
        <v>0</v>
      </c>
    </row>
    <row r="43" spans="1:8" s="6" customFormat="1" ht="24" customHeight="1">
      <c r="A43" s="53" t="s">
        <v>272</v>
      </c>
      <c r="B43" s="142"/>
      <c r="C43" s="332">
        <v>0</v>
      </c>
      <c r="D43" s="333">
        <f t="shared" si="0"/>
        <v>0</v>
      </c>
      <c r="E43" s="45">
        <v>0</v>
      </c>
      <c r="F43" s="333">
        <f t="shared" si="1"/>
        <v>0</v>
      </c>
      <c r="G43" s="47">
        <v>0</v>
      </c>
      <c r="H43" s="333">
        <f t="shared" si="2"/>
        <v>0</v>
      </c>
    </row>
    <row r="44" spans="1:8" s="6" customFormat="1" ht="24" customHeight="1">
      <c r="A44" s="53" t="s">
        <v>811</v>
      </c>
      <c r="B44" s="142"/>
      <c r="C44" s="332">
        <v>7</v>
      </c>
      <c r="D44" s="333">
        <f t="shared" si="0"/>
        <v>3.9182353835126811E-2</v>
      </c>
      <c r="E44" s="45">
        <v>0</v>
      </c>
      <c r="F44" s="333">
        <f t="shared" si="1"/>
        <v>0</v>
      </c>
      <c r="G44" s="47">
        <v>0</v>
      </c>
      <c r="H44" s="333">
        <f t="shared" si="2"/>
        <v>0</v>
      </c>
    </row>
    <row r="45" spans="1:8" s="6" customFormat="1" ht="24" customHeight="1">
      <c r="A45" s="222" t="s">
        <v>273</v>
      </c>
      <c r="B45" s="315"/>
      <c r="C45" s="334">
        <v>30</v>
      </c>
      <c r="D45" s="335">
        <f t="shared" si="0"/>
        <v>0.16792437357911491</v>
      </c>
      <c r="E45" s="54">
        <v>6</v>
      </c>
      <c r="F45" s="335">
        <f>+E45/E$72*100000</f>
        <v>0.32420585775143784</v>
      </c>
      <c r="G45" s="73">
        <v>2</v>
      </c>
      <c r="H45" s="335">
        <f>+G45/G$72*100000</f>
        <v>0.72206076141307296</v>
      </c>
    </row>
    <row r="47" spans="1:8">
      <c r="A47" t="s">
        <v>816</v>
      </c>
    </row>
    <row r="67" spans="3:7">
      <c r="D67" s="153"/>
      <c r="E67" s="336"/>
      <c r="F67" s="336"/>
    </row>
    <row r="72" spans="3:7">
      <c r="C72" s="118">
        <f>+'7'!$B$20</f>
        <v>17865185</v>
      </c>
      <c r="D72" s="118"/>
      <c r="E72" s="118">
        <f>+'7'!$C$20</f>
        <v>1850676</v>
      </c>
      <c r="F72" s="118"/>
      <c r="G72" s="118">
        <f>+'7'!$D$20</f>
        <v>276985</v>
      </c>
    </row>
  </sheetData>
  <phoneticPr fontId="19" type="noConversion"/>
  <printOptions horizontalCentered="1" gridLinesSet="0"/>
  <pageMargins left="1.1811023622047245" right="0.78740157480314965" top="0.70866141732283472" bottom="0.78740157480314965" header="0.51181102362204722" footer="0.51181102362204722"/>
  <pageSetup paperSize="5" scale="90"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2"/>
  <sheetViews>
    <sheetView showGridLines="0" topLeftCell="A10" zoomScale="75" workbookViewId="0">
      <selection activeCell="K12" sqref="K12"/>
    </sheetView>
  </sheetViews>
  <sheetFormatPr baseColWidth="10" defaultRowHeight="12.75"/>
  <cols>
    <col min="2" max="2" width="25" customWidth="1"/>
    <col min="3" max="3" width="10.7109375" customWidth="1"/>
    <col min="4" max="5" width="10.28515625" customWidth="1"/>
    <col min="6" max="6" width="10.5703125" customWidth="1"/>
    <col min="7" max="7" width="10.140625" customWidth="1"/>
  </cols>
  <sheetData>
    <row r="1" spans="1:7">
      <c r="A1" s="82" t="s">
        <v>789</v>
      </c>
      <c r="B1" s="116"/>
      <c r="C1" s="116"/>
      <c r="D1" s="116"/>
      <c r="E1" s="116"/>
      <c r="F1" s="116"/>
      <c r="G1" s="116"/>
    </row>
    <row r="2" spans="1:7">
      <c r="A2" s="82"/>
      <c r="B2" s="116"/>
      <c r="C2" s="116"/>
      <c r="D2" s="116"/>
      <c r="E2" s="116"/>
      <c r="F2" s="116"/>
      <c r="G2" s="116"/>
    </row>
    <row r="3" spans="1:7">
      <c r="A3" s="3" t="s">
        <v>1427</v>
      </c>
      <c r="B3" s="116"/>
      <c r="C3" s="116"/>
      <c r="D3" s="116"/>
      <c r="E3" s="116"/>
      <c r="F3" s="116"/>
      <c r="G3" s="116"/>
    </row>
    <row r="4" spans="1:7">
      <c r="A4" s="82"/>
      <c r="B4" s="116"/>
      <c r="C4" s="116"/>
      <c r="D4" s="116"/>
      <c r="E4" s="116"/>
      <c r="F4" s="116"/>
      <c r="G4" s="116"/>
    </row>
    <row r="5" spans="1:7" ht="12" customHeight="1">
      <c r="A5" s="3" t="s">
        <v>1098</v>
      </c>
      <c r="B5" s="116"/>
      <c r="C5" s="116"/>
      <c r="D5" s="116"/>
      <c r="E5" s="116"/>
      <c r="F5" s="116"/>
      <c r="G5" s="116"/>
    </row>
    <row r="6" spans="1:7">
      <c r="A6" s="116"/>
      <c r="B6" s="116"/>
      <c r="C6" s="116"/>
      <c r="D6" s="116"/>
      <c r="E6" s="116"/>
      <c r="F6" s="116"/>
      <c r="G6" s="116"/>
    </row>
    <row r="7" spans="1:7">
      <c r="A7" s="116"/>
      <c r="B7" s="116"/>
      <c r="C7" s="116"/>
      <c r="D7" s="116"/>
      <c r="E7" s="116"/>
      <c r="F7" s="116"/>
      <c r="G7" s="116"/>
    </row>
    <row r="10" spans="1:7">
      <c r="A10" s="326"/>
      <c r="B10" s="311"/>
      <c r="C10" s="182"/>
      <c r="D10" s="84"/>
      <c r="E10" s="244"/>
      <c r="F10" s="84"/>
      <c r="G10" s="311"/>
    </row>
    <row r="11" spans="1:7">
      <c r="A11" s="327"/>
      <c r="B11" s="196"/>
      <c r="C11" s="199"/>
      <c r="D11" s="183"/>
      <c r="E11" s="1221"/>
      <c r="F11" s="183"/>
      <c r="G11" s="328"/>
    </row>
    <row r="12" spans="1:7">
      <c r="A12" s="327" t="s">
        <v>793</v>
      </c>
      <c r="B12" s="196"/>
      <c r="C12" s="199">
        <v>2011</v>
      </c>
      <c r="D12" s="183">
        <v>2012</v>
      </c>
      <c r="E12" s="1221">
        <v>2013</v>
      </c>
      <c r="F12" s="183">
        <v>2014</v>
      </c>
      <c r="G12" s="328">
        <v>2015</v>
      </c>
    </row>
    <row r="13" spans="1:7">
      <c r="A13" s="329"/>
      <c r="B13" s="330"/>
      <c r="C13" s="329"/>
      <c r="D13" s="151"/>
      <c r="E13" s="755"/>
      <c r="F13" s="151"/>
      <c r="G13" s="330"/>
    </row>
    <row r="14" spans="1:7" s="6" customFormat="1" ht="24" customHeight="1">
      <c r="A14" s="53" t="s">
        <v>805</v>
      </c>
      <c r="B14" s="142"/>
      <c r="C14" s="47">
        <v>0</v>
      </c>
      <c r="D14" s="46">
        <v>0</v>
      </c>
      <c r="E14" s="47">
        <v>0</v>
      </c>
      <c r="F14" s="46">
        <v>0</v>
      </c>
      <c r="G14" s="320">
        <v>0</v>
      </c>
    </row>
    <row r="15" spans="1:7" s="6" customFormat="1" ht="24" customHeight="1">
      <c r="A15" s="53" t="s">
        <v>265</v>
      </c>
      <c r="B15" s="142"/>
      <c r="C15" s="47">
        <v>0</v>
      </c>
      <c r="D15" s="46">
        <v>0</v>
      </c>
      <c r="E15" s="47">
        <v>0</v>
      </c>
      <c r="F15" s="46">
        <v>0</v>
      </c>
      <c r="G15" s="320">
        <v>0</v>
      </c>
    </row>
    <row r="16" spans="1:7" s="6" customFormat="1" ht="24" customHeight="1">
      <c r="A16" s="53" t="s">
        <v>800</v>
      </c>
      <c r="B16" s="142"/>
      <c r="C16" s="47">
        <v>2</v>
      </c>
      <c r="D16" s="46">
        <v>1</v>
      </c>
      <c r="E16" s="47">
        <v>0</v>
      </c>
      <c r="F16" s="46">
        <v>0</v>
      </c>
      <c r="G16" s="320">
        <v>0</v>
      </c>
    </row>
    <row r="17" spans="1:7" s="6" customFormat="1" ht="24" customHeight="1">
      <c r="A17" s="53" t="s">
        <v>266</v>
      </c>
      <c r="B17" s="142"/>
      <c r="C17" s="47">
        <v>0</v>
      </c>
      <c r="D17" s="46">
        <v>0</v>
      </c>
      <c r="E17" s="47">
        <v>0</v>
      </c>
      <c r="F17" s="46">
        <v>1</v>
      </c>
      <c r="G17" s="320">
        <v>0</v>
      </c>
    </row>
    <row r="18" spans="1:7" s="6" customFormat="1" ht="24" customHeight="1">
      <c r="A18" s="53" t="s">
        <v>813</v>
      </c>
      <c r="B18" s="142"/>
      <c r="C18" s="47">
        <v>0</v>
      </c>
      <c r="D18" s="46">
        <v>0</v>
      </c>
      <c r="E18" s="47">
        <v>0</v>
      </c>
      <c r="F18" s="46">
        <v>0</v>
      </c>
      <c r="G18" s="320">
        <v>0</v>
      </c>
    </row>
    <row r="19" spans="1:7" s="6" customFormat="1" ht="24" customHeight="1">
      <c r="A19" s="53" t="s">
        <v>267</v>
      </c>
      <c r="B19" s="142"/>
      <c r="C19" s="47">
        <v>0</v>
      </c>
      <c r="D19" s="46">
        <v>0</v>
      </c>
      <c r="E19" s="47">
        <v>0</v>
      </c>
      <c r="F19" s="46">
        <v>0</v>
      </c>
      <c r="G19" s="320">
        <v>0</v>
      </c>
    </row>
    <row r="20" spans="1:7" s="6" customFormat="1" ht="24" customHeight="1">
      <c r="A20" s="53" t="s">
        <v>268</v>
      </c>
      <c r="B20" s="142"/>
      <c r="C20" s="47">
        <v>1</v>
      </c>
      <c r="D20" s="46">
        <v>1</v>
      </c>
      <c r="E20" s="47">
        <v>4</v>
      </c>
      <c r="F20" s="46">
        <v>2</v>
      </c>
      <c r="G20" s="320">
        <v>7</v>
      </c>
    </row>
    <row r="21" spans="1:7" s="6" customFormat="1" ht="24" customHeight="1">
      <c r="A21" s="53" t="s">
        <v>269</v>
      </c>
      <c r="B21" s="142"/>
      <c r="C21" s="47">
        <v>4</v>
      </c>
      <c r="D21" s="46">
        <v>4</v>
      </c>
      <c r="E21" s="47">
        <v>1</v>
      </c>
      <c r="F21" s="46">
        <v>0</v>
      </c>
      <c r="G21" s="320">
        <v>2</v>
      </c>
    </row>
    <row r="22" spans="1:7" s="6" customFormat="1" ht="24" customHeight="1">
      <c r="A22" s="53" t="s">
        <v>804</v>
      </c>
      <c r="B22" s="142"/>
      <c r="C22" s="47">
        <v>19</v>
      </c>
      <c r="D22" s="46">
        <v>13</v>
      </c>
      <c r="E22" s="47">
        <v>28</v>
      </c>
      <c r="F22" s="46">
        <v>19</v>
      </c>
      <c r="G22" s="320">
        <v>14</v>
      </c>
    </row>
    <row r="23" spans="1:7" s="6" customFormat="1" ht="24" customHeight="1">
      <c r="A23" s="53" t="s">
        <v>809</v>
      </c>
      <c r="B23" s="142"/>
      <c r="C23" s="47">
        <v>8</v>
      </c>
      <c r="D23" s="46">
        <v>6</v>
      </c>
      <c r="E23" s="47">
        <v>9</v>
      </c>
      <c r="F23" s="46">
        <v>10</v>
      </c>
      <c r="G23" s="320">
        <v>10</v>
      </c>
    </row>
    <row r="24" spans="1:7" s="6" customFormat="1" ht="24" customHeight="1">
      <c r="A24" s="53" t="s">
        <v>808</v>
      </c>
      <c r="B24" s="142"/>
      <c r="C24" s="47">
        <v>84</v>
      </c>
      <c r="D24" s="46">
        <v>70</v>
      </c>
      <c r="E24" s="47">
        <v>83</v>
      </c>
      <c r="F24" s="46">
        <v>46</v>
      </c>
      <c r="G24" s="320">
        <v>57</v>
      </c>
    </row>
    <row r="25" spans="1:7" s="6" customFormat="1" ht="24" customHeight="1">
      <c r="A25" s="53" t="s">
        <v>795</v>
      </c>
      <c r="B25" s="142"/>
      <c r="C25" s="47">
        <v>0</v>
      </c>
      <c r="D25" s="46">
        <v>0</v>
      </c>
      <c r="E25" s="47">
        <v>0</v>
      </c>
      <c r="F25" s="46">
        <v>0</v>
      </c>
      <c r="G25" s="320">
        <v>0</v>
      </c>
    </row>
    <row r="26" spans="1:7" s="6" customFormat="1" ht="24" customHeight="1">
      <c r="A26" s="53" t="s">
        <v>810</v>
      </c>
      <c r="B26" s="142"/>
      <c r="C26" s="47">
        <v>30</v>
      </c>
      <c r="D26" s="46">
        <v>22</v>
      </c>
      <c r="E26" s="47">
        <v>12</v>
      </c>
      <c r="F26" s="46">
        <v>15</v>
      </c>
      <c r="G26" s="320">
        <v>11</v>
      </c>
    </row>
    <row r="27" spans="1:7" s="6" customFormat="1" ht="24" customHeight="1">
      <c r="A27" s="53" t="s">
        <v>799</v>
      </c>
      <c r="B27" s="142"/>
      <c r="C27" s="47">
        <v>0</v>
      </c>
      <c r="D27" s="46">
        <v>0</v>
      </c>
      <c r="E27" s="47">
        <v>0</v>
      </c>
      <c r="F27" s="46">
        <v>0</v>
      </c>
      <c r="G27" s="320">
        <v>0</v>
      </c>
    </row>
    <row r="28" spans="1:7" s="6" customFormat="1" ht="24" customHeight="1">
      <c r="A28" s="53" t="s">
        <v>270</v>
      </c>
      <c r="B28" s="142"/>
      <c r="C28" s="47">
        <v>0</v>
      </c>
      <c r="D28" s="46">
        <v>0</v>
      </c>
      <c r="E28" s="47">
        <v>0</v>
      </c>
      <c r="F28" s="46">
        <v>0</v>
      </c>
      <c r="G28" s="320">
        <v>0</v>
      </c>
    </row>
    <row r="29" spans="1:7" s="6" customFormat="1" ht="24" customHeight="1">
      <c r="A29" s="53" t="s">
        <v>798</v>
      </c>
      <c r="B29" s="142"/>
      <c r="C29" s="47">
        <v>0</v>
      </c>
      <c r="D29" s="46">
        <v>0</v>
      </c>
      <c r="E29" s="47">
        <v>0</v>
      </c>
      <c r="F29" s="46">
        <v>0</v>
      </c>
      <c r="G29" s="320">
        <v>0</v>
      </c>
    </row>
    <row r="30" spans="1:7" s="6" customFormat="1" ht="24" customHeight="1">
      <c r="A30" s="53" t="s">
        <v>797</v>
      </c>
      <c r="B30" s="142"/>
      <c r="C30" s="47">
        <v>0</v>
      </c>
      <c r="D30" s="46">
        <v>0</v>
      </c>
      <c r="E30" s="47">
        <v>0</v>
      </c>
      <c r="F30" s="46">
        <v>0</v>
      </c>
      <c r="G30" s="320">
        <v>0</v>
      </c>
    </row>
    <row r="31" spans="1:7" s="6" customFormat="1" ht="24" customHeight="1">
      <c r="A31" s="53" t="s">
        <v>796</v>
      </c>
      <c r="B31" s="142"/>
      <c r="C31" s="47">
        <v>13</v>
      </c>
      <c r="D31" s="46">
        <v>10</v>
      </c>
      <c r="E31" s="47">
        <v>2</v>
      </c>
      <c r="F31" s="46">
        <v>9</v>
      </c>
      <c r="G31" s="320">
        <v>6</v>
      </c>
    </row>
    <row r="32" spans="1:7" s="6" customFormat="1" ht="24" customHeight="1">
      <c r="A32" s="53" t="s">
        <v>801</v>
      </c>
      <c r="B32" s="142"/>
      <c r="C32" s="47">
        <v>1</v>
      </c>
      <c r="D32" s="46">
        <v>7</v>
      </c>
      <c r="E32" s="47">
        <v>15</v>
      </c>
      <c r="F32" s="46">
        <v>5</v>
      </c>
      <c r="G32" s="320">
        <v>0</v>
      </c>
    </row>
    <row r="33" spans="1:7" s="6" customFormat="1" ht="24" customHeight="1">
      <c r="A33" s="53" t="s">
        <v>802</v>
      </c>
      <c r="B33" s="142"/>
      <c r="C33" s="47">
        <v>25</v>
      </c>
      <c r="D33" s="46">
        <v>9</v>
      </c>
      <c r="E33" s="47">
        <v>22</v>
      </c>
      <c r="F33" s="46">
        <v>9</v>
      </c>
      <c r="G33" s="320">
        <v>9</v>
      </c>
    </row>
    <row r="34" spans="1:7" s="6" customFormat="1" ht="24" customHeight="1">
      <c r="A34" s="53" t="s">
        <v>264</v>
      </c>
      <c r="B34" s="142"/>
      <c r="C34" s="47">
        <v>24</v>
      </c>
      <c r="D34" s="46">
        <v>5</v>
      </c>
      <c r="E34" s="47">
        <v>7</v>
      </c>
      <c r="F34" s="46">
        <v>3</v>
      </c>
      <c r="G34" s="320">
        <v>5</v>
      </c>
    </row>
    <row r="35" spans="1:7" s="6" customFormat="1" ht="24" customHeight="1">
      <c r="A35" s="53" t="s">
        <v>803</v>
      </c>
      <c r="B35" s="142"/>
      <c r="C35" s="47">
        <v>0</v>
      </c>
      <c r="D35" s="46">
        <v>1</v>
      </c>
      <c r="E35" s="47">
        <v>1</v>
      </c>
      <c r="F35" s="46">
        <v>0</v>
      </c>
      <c r="G35" s="320">
        <v>0</v>
      </c>
    </row>
    <row r="36" spans="1:7" s="6" customFormat="1" ht="24" customHeight="1">
      <c r="A36" s="53" t="s">
        <v>806</v>
      </c>
      <c r="B36" s="142"/>
      <c r="C36" s="47">
        <v>0</v>
      </c>
      <c r="D36" s="46">
        <v>0</v>
      </c>
      <c r="E36" s="47">
        <v>0</v>
      </c>
      <c r="F36" s="46">
        <v>0</v>
      </c>
      <c r="G36" s="320">
        <v>0</v>
      </c>
    </row>
    <row r="37" spans="1:7" s="6" customFormat="1" ht="24" customHeight="1">
      <c r="A37" s="53" t="s">
        <v>815</v>
      </c>
      <c r="B37" s="142"/>
      <c r="C37" s="47">
        <v>0</v>
      </c>
      <c r="D37" s="46">
        <v>0</v>
      </c>
      <c r="E37" s="47">
        <v>0</v>
      </c>
      <c r="F37" s="46">
        <v>0</v>
      </c>
      <c r="G37" s="320">
        <v>0</v>
      </c>
    </row>
    <row r="38" spans="1:7" s="6" customFormat="1" ht="24" customHeight="1">
      <c r="A38" s="53" t="s">
        <v>271</v>
      </c>
      <c r="B38" s="142"/>
      <c r="C38" s="47">
        <v>2</v>
      </c>
      <c r="D38" s="46">
        <v>4</v>
      </c>
      <c r="E38" s="47">
        <v>4</v>
      </c>
      <c r="F38" s="46">
        <v>0</v>
      </c>
      <c r="G38" s="320">
        <v>2</v>
      </c>
    </row>
    <row r="39" spans="1:7" s="6" customFormat="1" ht="24" customHeight="1">
      <c r="A39" s="53" t="s">
        <v>1268</v>
      </c>
      <c r="B39" s="142"/>
      <c r="C39" s="1193">
        <v>0</v>
      </c>
      <c r="D39" s="46">
        <v>0</v>
      </c>
      <c r="E39" s="47">
        <v>0</v>
      </c>
      <c r="F39" s="46">
        <v>1</v>
      </c>
      <c r="G39" s="320">
        <v>0</v>
      </c>
    </row>
    <row r="40" spans="1:7" s="6" customFormat="1" ht="24" customHeight="1">
      <c r="A40" s="53" t="s">
        <v>812</v>
      </c>
      <c r="B40" s="142"/>
      <c r="C40" s="47">
        <v>0</v>
      </c>
      <c r="D40" s="46">
        <v>0</v>
      </c>
      <c r="E40" s="47">
        <v>3</v>
      </c>
      <c r="F40" s="46">
        <v>0</v>
      </c>
      <c r="G40" s="320">
        <v>2</v>
      </c>
    </row>
    <row r="41" spans="1:7" s="6" customFormat="1" ht="24" customHeight="1">
      <c r="A41" s="53" t="s">
        <v>814</v>
      </c>
      <c r="B41" s="142"/>
      <c r="C41" s="47">
        <v>0</v>
      </c>
      <c r="D41" s="46">
        <v>0</v>
      </c>
      <c r="E41" s="47">
        <v>0</v>
      </c>
      <c r="F41" s="46">
        <v>0</v>
      </c>
      <c r="G41" s="320">
        <v>0</v>
      </c>
    </row>
    <row r="42" spans="1:7" s="6" customFormat="1" ht="24" customHeight="1">
      <c r="A42" s="53" t="s">
        <v>1224</v>
      </c>
      <c r="B42" s="142"/>
      <c r="C42" s="47">
        <v>0</v>
      </c>
      <c r="D42" s="46">
        <v>0</v>
      </c>
      <c r="E42" s="47">
        <v>0</v>
      </c>
      <c r="F42" s="46">
        <v>1</v>
      </c>
      <c r="G42" s="320">
        <v>0</v>
      </c>
    </row>
    <row r="43" spans="1:7" s="6" customFormat="1" ht="24" customHeight="1">
      <c r="A43" s="53" t="s">
        <v>272</v>
      </c>
      <c r="B43" s="142"/>
      <c r="C43" s="47">
        <v>0</v>
      </c>
      <c r="D43" s="46">
        <v>0</v>
      </c>
      <c r="E43" s="47">
        <v>0</v>
      </c>
      <c r="F43" s="46">
        <v>0</v>
      </c>
      <c r="G43" s="320">
        <v>0</v>
      </c>
    </row>
    <row r="44" spans="1:7" s="6" customFormat="1" ht="24" customHeight="1">
      <c r="A44" s="53" t="s">
        <v>811</v>
      </c>
      <c r="B44" s="142"/>
      <c r="C44" s="47">
        <v>0</v>
      </c>
      <c r="D44" s="46">
        <v>0</v>
      </c>
      <c r="E44" s="47">
        <v>0</v>
      </c>
      <c r="F44" s="46">
        <v>0</v>
      </c>
      <c r="G44" s="320">
        <v>0</v>
      </c>
    </row>
    <row r="45" spans="1:7" s="6" customFormat="1" ht="24" customHeight="1">
      <c r="A45" s="222" t="s">
        <v>273</v>
      </c>
      <c r="B45" s="315"/>
      <c r="C45" s="73">
        <v>0</v>
      </c>
      <c r="D45" s="56">
        <v>0</v>
      </c>
      <c r="E45" s="73">
        <v>1</v>
      </c>
      <c r="F45" s="56">
        <v>0</v>
      </c>
      <c r="G45" s="1220">
        <v>2</v>
      </c>
    </row>
    <row r="67" spans="3:7">
      <c r="D67" s="153"/>
      <c r="E67" s="336"/>
      <c r="F67" s="336"/>
    </row>
    <row r="72" spans="3:7">
      <c r="C72" s="118"/>
      <c r="D72" s="118"/>
      <c r="E72" s="118"/>
      <c r="F72" s="118"/>
      <c r="G72" s="118"/>
    </row>
  </sheetData>
  <printOptions horizontalCentered="1" gridLinesSet="0"/>
  <pageMargins left="1.1811023622047245" right="0.78740157480314965" top="0.70866141732283472" bottom="0.78740157480314965" header="0.51181102362204722" footer="0.51181102362204722"/>
  <pageSetup paperSize="5" scale="90"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33"/>
  <sheetViews>
    <sheetView showGridLines="0" topLeftCell="B88" workbookViewId="0">
      <selection activeCell="L105" sqref="L105"/>
    </sheetView>
  </sheetViews>
  <sheetFormatPr baseColWidth="10" defaultRowHeight="12.75"/>
  <cols>
    <col min="2" max="2" width="34.85546875" customWidth="1"/>
  </cols>
  <sheetData>
    <row r="1" spans="1:13" ht="22.5" customHeight="1">
      <c r="A1" s="1377"/>
      <c r="B1" s="1377"/>
      <c r="C1" s="1377"/>
      <c r="D1" s="1377"/>
      <c r="E1" s="1377"/>
      <c r="F1" s="1377"/>
      <c r="G1" s="1377"/>
      <c r="H1" s="1377"/>
      <c r="I1" s="1377"/>
      <c r="J1" s="1377"/>
      <c r="K1" s="1377"/>
      <c r="L1" s="1377"/>
    </row>
    <row r="4" spans="1:13" ht="24.75" customHeight="1">
      <c r="A4" s="6"/>
      <c r="B4" s="1040"/>
      <c r="C4" s="1379"/>
      <c r="D4" s="1379"/>
      <c r="E4" s="1379"/>
      <c r="F4" s="1379"/>
      <c r="G4" s="1379"/>
      <c r="H4" s="1379"/>
      <c r="I4" s="1379"/>
      <c r="J4" s="1379"/>
      <c r="K4" s="1379"/>
      <c r="L4" s="1379"/>
      <c r="M4" s="1379"/>
    </row>
    <row r="5" spans="1:13">
      <c r="A5" s="6"/>
      <c r="B5" s="6"/>
      <c r="C5" s="6"/>
      <c r="D5" s="6"/>
      <c r="E5" s="6"/>
      <c r="F5" s="6"/>
      <c r="G5" s="6"/>
      <c r="H5" s="6"/>
      <c r="I5" s="6"/>
      <c r="J5" s="6"/>
      <c r="K5" s="6"/>
      <c r="L5" s="6"/>
      <c r="M5" s="6"/>
    </row>
    <row r="6" spans="1:13" ht="26.25" customHeight="1">
      <c r="A6" s="6"/>
      <c r="B6" s="1040"/>
      <c r="C6" s="1379"/>
      <c r="D6" s="1379"/>
      <c r="E6" s="1379"/>
      <c r="F6" s="1379"/>
      <c r="G6" s="1379"/>
      <c r="H6" s="1379"/>
      <c r="I6" s="1379"/>
      <c r="J6" s="1379"/>
      <c r="K6" s="1379"/>
      <c r="L6" s="1379"/>
      <c r="M6" s="1379"/>
    </row>
    <row r="7" spans="1:13">
      <c r="A7" s="6"/>
      <c r="B7" s="6"/>
      <c r="C7" s="6"/>
      <c r="D7" s="6"/>
      <c r="E7" s="6"/>
      <c r="F7" s="6"/>
      <c r="G7" s="6"/>
      <c r="H7" s="6"/>
      <c r="I7" s="6"/>
      <c r="J7" s="6"/>
      <c r="K7" s="6"/>
      <c r="L7" s="6"/>
      <c r="M7" s="6"/>
    </row>
    <row r="8" spans="1:13">
      <c r="A8" s="6"/>
      <c r="B8" s="6"/>
      <c r="C8" s="6"/>
      <c r="D8" s="6"/>
      <c r="E8" s="6"/>
      <c r="F8" s="6"/>
      <c r="G8" s="6"/>
      <c r="H8" s="6"/>
      <c r="I8" s="6"/>
      <c r="J8" s="6"/>
      <c r="K8" s="6"/>
      <c r="L8" s="6"/>
      <c r="M8" s="6"/>
    </row>
    <row r="9" spans="1:13" ht="29.25" customHeight="1">
      <c r="A9" s="6"/>
      <c r="B9" s="1040"/>
      <c r="C9" s="1379"/>
      <c r="D9" s="1379"/>
      <c r="E9" s="1379"/>
      <c r="F9" s="1379"/>
      <c r="G9" s="1379"/>
      <c r="H9" s="1379"/>
      <c r="I9" s="1379"/>
      <c r="J9" s="1379"/>
      <c r="K9" s="1379"/>
      <c r="L9" s="1379"/>
      <c r="M9" s="1379"/>
    </row>
    <row r="10" spans="1:13" ht="23.25">
      <c r="A10" s="1316"/>
      <c r="B10" s="5"/>
      <c r="C10" s="5"/>
      <c r="D10" s="5"/>
      <c r="E10" s="5"/>
      <c r="F10" s="5"/>
      <c r="G10" s="5"/>
      <c r="H10" s="6"/>
      <c r="I10" s="6"/>
      <c r="J10" s="6"/>
      <c r="K10" s="6"/>
      <c r="L10" s="6"/>
      <c r="M10" s="6"/>
    </row>
    <row r="11" spans="1:13" ht="36.75" customHeight="1">
      <c r="A11" s="1316"/>
      <c r="B11" s="1040"/>
      <c r="C11" s="1379"/>
      <c r="D11" s="1379"/>
      <c r="E11" s="1379"/>
      <c r="F11" s="1379"/>
      <c r="G11" s="1379"/>
      <c r="H11" s="1379"/>
      <c r="I11" s="1379"/>
      <c r="J11" s="1379"/>
      <c r="K11" s="1379"/>
      <c r="L11" s="1379"/>
      <c r="M11" s="1379"/>
    </row>
    <row r="12" spans="1:13" ht="23.25">
      <c r="A12" s="1380"/>
      <c r="B12" s="1380"/>
      <c r="C12" s="1380"/>
      <c r="D12" s="1380"/>
      <c r="E12" s="1380"/>
      <c r="F12" s="1380"/>
      <c r="G12" s="1380"/>
      <c r="H12" s="1069"/>
      <c r="I12" s="6"/>
      <c r="J12" s="6"/>
      <c r="K12" s="6"/>
      <c r="L12" s="6"/>
      <c r="M12" s="6"/>
    </row>
    <row r="13" spans="1:13" ht="35.25" customHeight="1">
      <c r="A13" s="1317"/>
      <c r="B13" s="1040"/>
      <c r="C13" s="1379"/>
      <c r="D13" s="1379"/>
      <c r="E13" s="1379"/>
      <c r="F13" s="1379"/>
      <c r="G13" s="1379"/>
      <c r="H13" s="1379"/>
      <c r="I13" s="1379"/>
      <c r="J13" s="1379"/>
      <c r="K13" s="1379"/>
      <c r="L13" s="1379"/>
      <c r="M13" s="1379"/>
    </row>
    <row r="14" spans="1:13" ht="23.25">
      <c r="A14" s="1317"/>
      <c r="B14" s="713"/>
      <c r="C14" s="713"/>
      <c r="D14" s="713"/>
      <c r="E14" s="713"/>
      <c r="F14" s="713"/>
      <c r="G14" s="713"/>
      <c r="H14" s="6"/>
      <c r="I14" s="6"/>
      <c r="J14" s="6"/>
      <c r="K14" s="6"/>
      <c r="L14" s="6"/>
      <c r="M14" s="6"/>
    </row>
    <row r="15" spans="1:13" ht="23.25">
      <c r="A15" s="1317"/>
      <c r="B15" s="1040"/>
      <c r="C15" s="1379"/>
      <c r="D15" s="1379"/>
      <c r="E15" s="1379"/>
      <c r="F15" s="1379"/>
      <c r="G15" s="1379"/>
      <c r="H15" s="1379"/>
      <c r="I15" s="1379"/>
      <c r="J15" s="1379"/>
      <c r="K15" s="1379"/>
      <c r="L15" s="1379"/>
      <c r="M15" s="1379"/>
    </row>
    <row r="16" spans="1:13" ht="23.25">
      <c r="A16" s="1369"/>
      <c r="B16" s="1369"/>
      <c r="C16" s="1369"/>
      <c r="D16" s="1369"/>
      <c r="E16" s="1369"/>
      <c r="F16" s="1369"/>
      <c r="G16" s="1369"/>
    </row>
    <row r="17" spans="1:13" ht="22.5" customHeight="1">
      <c r="A17" s="337"/>
      <c r="B17" s="1040"/>
      <c r="C17" s="1379"/>
      <c r="D17" s="1379"/>
      <c r="E17" s="1379"/>
      <c r="F17" s="1379"/>
      <c r="G17" s="1379"/>
      <c r="H17" s="1379"/>
      <c r="I17" s="1379"/>
      <c r="J17" s="1379"/>
      <c r="K17" s="1379"/>
      <c r="L17" s="1379"/>
      <c r="M17" s="1379"/>
    </row>
    <row r="18" spans="1:13" ht="23.25">
      <c r="A18" s="337"/>
      <c r="B18" s="338"/>
      <c r="C18" s="338"/>
      <c r="D18" s="338"/>
      <c r="E18" s="338"/>
      <c r="F18" s="338"/>
      <c r="G18" s="338"/>
    </row>
    <row r="19" spans="1:13" ht="23.25">
      <c r="A19" s="337"/>
      <c r="B19" s="1040"/>
      <c r="C19" s="1379"/>
      <c r="D19" s="1379"/>
      <c r="E19" s="1379"/>
      <c r="F19" s="1379"/>
      <c r="G19" s="1379"/>
      <c r="H19" s="1379"/>
      <c r="I19" s="1379"/>
      <c r="J19" s="1379"/>
      <c r="K19" s="1379"/>
      <c r="L19" s="1379"/>
      <c r="M19" s="1379"/>
    </row>
    <row r="20" spans="1:13" ht="23.25">
      <c r="A20" s="337"/>
      <c r="B20" s="338"/>
      <c r="C20" s="338"/>
      <c r="D20" s="338"/>
      <c r="E20" s="338"/>
      <c r="F20" s="338"/>
      <c r="G20" s="338"/>
    </row>
    <row r="21" spans="1:13" ht="27.75" customHeight="1">
      <c r="A21" s="171"/>
      <c r="B21" s="1040"/>
      <c r="C21" s="1379"/>
      <c r="D21" s="1379"/>
      <c r="E21" s="1379"/>
      <c r="F21" s="1379"/>
      <c r="G21" s="1379"/>
      <c r="H21" s="1379"/>
      <c r="I21" s="1379"/>
      <c r="J21" s="1379"/>
      <c r="K21" s="1379"/>
      <c r="L21" s="1379"/>
      <c r="M21" s="1379"/>
    </row>
    <row r="23" spans="1:13" ht="27" customHeight="1">
      <c r="B23" s="1040"/>
      <c r="C23" s="1379"/>
      <c r="D23" s="1379"/>
      <c r="E23" s="1379"/>
      <c r="F23" s="1379"/>
      <c r="G23" s="1379"/>
      <c r="H23" s="1379"/>
      <c r="I23" s="1379"/>
      <c r="J23" s="1379"/>
      <c r="K23" s="1379"/>
      <c r="L23" s="1379"/>
      <c r="M23" s="1379"/>
    </row>
    <row r="25" spans="1:13" ht="24" customHeight="1">
      <c r="B25" s="1040"/>
      <c r="C25" s="1379"/>
      <c r="D25" s="1379"/>
      <c r="E25" s="1379"/>
      <c r="F25" s="1379"/>
      <c r="G25" s="1379"/>
      <c r="H25" s="1379"/>
      <c r="I25" s="1379"/>
      <c r="J25" s="1379"/>
      <c r="K25" s="1379"/>
      <c r="L25" s="1379"/>
      <c r="M25" s="1379"/>
    </row>
    <row r="27" spans="1:13" ht="26.25" customHeight="1">
      <c r="B27" s="1040"/>
      <c r="C27" s="1379"/>
      <c r="D27" s="1379"/>
      <c r="E27" s="1379"/>
      <c r="F27" s="1379"/>
      <c r="G27" s="1379"/>
      <c r="H27" s="1379"/>
      <c r="I27" s="1379"/>
      <c r="J27" s="1379"/>
      <c r="K27" s="1379"/>
      <c r="L27" s="1379"/>
      <c r="M27" s="1379"/>
    </row>
    <row r="29" spans="1:13" ht="28.5" customHeight="1">
      <c r="B29" s="1040"/>
      <c r="C29" s="1379"/>
      <c r="D29" s="1379"/>
      <c r="E29" s="1379"/>
      <c r="F29" s="1379"/>
      <c r="G29" s="1379"/>
      <c r="H29" s="1379"/>
      <c r="I29" s="1379"/>
      <c r="J29" s="1379"/>
      <c r="K29" s="1379"/>
      <c r="L29" s="1379"/>
      <c r="M29" s="1379"/>
    </row>
    <row r="31" spans="1:13" ht="27.75" customHeight="1">
      <c r="B31" s="1040"/>
      <c r="C31" s="1379"/>
      <c r="D31" s="1379"/>
      <c r="E31" s="1379"/>
      <c r="F31" s="1379"/>
      <c r="G31" s="1379"/>
      <c r="H31" s="1379"/>
      <c r="I31" s="1379"/>
      <c r="J31" s="1379"/>
      <c r="K31" s="1379"/>
      <c r="L31" s="1379"/>
      <c r="M31" s="1379"/>
    </row>
    <row r="33" spans="2:13" ht="24.75" customHeight="1">
      <c r="B33" s="1039"/>
      <c r="C33" s="1379"/>
      <c r="D33" s="1379"/>
      <c r="E33" s="1379"/>
      <c r="F33" s="1379"/>
      <c r="G33" s="1379"/>
      <c r="H33" s="1379"/>
      <c r="I33" s="1379"/>
      <c r="J33" s="1379"/>
      <c r="K33" s="1379"/>
      <c r="L33" s="1379"/>
      <c r="M33" s="1379"/>
    </row>
  </sheetData>
  <mergeCells count="18">
    <mergeCell ref="C17:M17"/>
    <mergeCell ref="C19:M19"/>
    <mergeCell ref="A12:G12"/>
    <mergeCell ref="A16:G16"/>
    <mergeCell ref="A1:L1"/>
    <mergeCell ref="C4:M4"/>
    <mergeCell ref="C6:M6"/>
    <mergeCell ref="C9:M9"/>
    <mergeCell ref="C11:M11"/>
    <mergeCell ref="C13:M13"/>
    <mergeCell ref="C15:M15"/>
    <mergeCell ref="C29:M29"/>
    <mergeCell ref="C31:M31"/>
    <mergeCell ref="C33:M33"/>
    <mergeCell ref="C21:M21"/>
    <mergeCell ref="C23:M23"/>
    <mergeCell ref="C25:M25"/>
    <mergeCell ref="C27:M27"/>
  </mergeCells>
  <printOptions gridLinesSet="0"/>
  <pageMargins left="1.1811023622047245" right="0.78740157480314965" top="2.3622047244094491" bottom="0.98425196850393704" header="0.51181102362204722" footer="0.51181102362204722"/>
  <pageSetup paperSize="304" orientation="portrait" horizontalDpi="300" verticalDpi="30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
  <sheetViews>
    <sheetView topLeftCell="A25" workbookViewId="0">
      <selection activeCell="E31" sqref="E31"/>
    </sheetView>
  </sheetViews>
  <sheetFormatPr baseColWidth="10" defaultRowHeight="12.75"/>
  <cols>
    <col min="1" max="1" width="12.140625" customWidth="1"/>
    <col min="2" max="2" width="18.7109375" customWidth="1"/>
    <col min="3" max="3" width="8.28515625" customWidth="1"/>
    <col min="4" max="9" width="7.42578125" customWidth="1"/>
  </cols>
  <sheetData>
    <row r="1" spans="1:9" ht="18" customHeight="1">
      <c r="A1" s="1378" t="s">
        <v>817</v>
      </c>
      <c r="B1" s="1378"/>
      <c r="C1" s="1378"/>
      <c r="D1" s="1378"/>
      <c r="E1" s="1378"/>
      <c r="F1" s="1378"/>
      <c r="G1" s="1378"/>
      <c r="H1" s="1378"/>
      <c r="I1" s="1378"/>
    </row>
    <row r="2" spans="1:9" ht="18" customHeight="1">
      <c r="A2" s="1378" t="s">
        <v>818</v>
      </c>
      <c r="B2" s="1378"/>
      <c r="C2" s="1378"/>
      <c r="D2" s="1378"/>
      <c r="E2" s="1378"/>
      <c r="F2" s="1378"/>
      <c r="G2" s="1378"/>
      <c r="H2" s="1378"/>
      <c r="I2" s="1378"/>
    </row>
    <row r="3" spans="1:9" ht="20.25" customHeight="1">
      <c r="A3" s="1383" t="s">
        <v>1368</v>
      </c>
      <c r="B3" s="1383"/>
      <c r="C3" s="1383"/>
      <c r="D3" s="1383"/>
      <c r="E3" s="1383"/>
      <c r="F3" s="1383"/>
      <c r="G3" s="1383"/>
      <c r="H3" s="1383"/>
      <c r="I3" s="1383"/>
    </row>
    <row r="4" spans="1:9">
      <c r="A4" s="310"/>
      <c r="B4" s="116"/>
      <c r="C4" s="116"/>
      <c r="D4" s="116"/>
      <c r="E4" s="116"/>
      <c r="F4" s="116"/>
      <c r="G4" s="116"/>
      <c r="H4" s="116"/>
      <c r="I4" s="116"/>
    </row>
    <row r="5" spans="1:9">
      <c r="B5" s="116"/>
      <c r="C5" s="116"/>
      <c r="D5" s="116"/>
      <c r="E5" s="116"/>
      <c r="F5" s="116"/>
      <c r="G5" s="116"/>
      <c r="H5" s="116"/>
      <c r="I5" s="116"/>
    </row>
    <row r="7" spans="1:9" ht="19.5" customHeight="1">
      <c r="A7" s="339"/>
      <c r="B7" s="339"/>
      <c r="C7" s="340" t="s">
        <v>819</v>
      </c>
      <c r="D7" s="85" t="s">
        <v>820</v>
      </c>
      <c r="E7" s="158"/>
      <c r="F7" s="158"/>
      <c r="G7" s="158"/>
      <c r="H7" s="158"/>
      <c r="I7" s="159"/>
    </row>
    <row r="8" spans="1:9" ht="18.75" customHeight="1">
      <c r="A8" s="94" t="s">
        <v>821</v>
      </c>
      <c r="B8" s="94" t="s">
        <v>822</v>
      </c>
      <c r="C8" s="341" t="s">
        <v>823</v>
      </c>
      <c r="D8" s="85" t="s">
        <v>824</v>
      </c>
      <c r="E8" s="159"/>
      <c r="F8" s="158" t="s">
        <v>825</v>
      </c>
      <c r="G8" s="158"/>
      <c r="H8" s="85" t="s">
        <v>826</v>
      </c>
      <c r="I8" s="159"/>
    </row>
    <row r="9" spans="1:9" ht="18" customHeight="1">
      <c r="A9" s="15"/>
      <c r="B9" s="15"/>
      <c r="C9" s="15"/>
      <c r="D9" s="342" t="s">
        <v>681</v>
      </c>
      <c r="E9" s="322" t="s">
        <v>529</v>
      </c>
      <c r="F9" s="304" t="s">
        <v>681</v>
      </c>
      <c r="G9" s="304" t="s">
        <v>529</v>
      </c>
      <c r="H9" s="342" t="s">
        <v>681</v>
      </c>
      <c r="I9" s="322" t="s">
        <v>529</v>
      </c>
    </row>
    <row r="10" spans="1:9" ht="18.75" customHeight="1">
      <c r="A10" s="299" t="s">
        <v>635</v>
      </c>
      <c r="B10" s="299" t="s">
        <v>1480</v>
      </c>
      <c r="C10" s="344">
        <v>2033</v>
      </c>
      <c r="D10" s="344">
        <v>112</v>
      </c>
      <c r="E10" s="345">
        <f t="shared" ref="E10:E18" si="0">+D10/C10*100</f>
        <v>5.5090998524348258</v>
      </c>
      <c r="F10" s="344">
        <v>529</v>
      </c>
      <c r="G10" s="345">
        <f>+F10/C10*100</f>
        <v>26.020659124446631</v>
      </c>
      <c r="H10" s="344">
        <v>220</v>
      </c>
      <c r="I10" s="346">
        <f>+H10/C10*100</f>
        <v>10.821446138711265</v>
      </c>
    </row>
    <row r="11" spans="1:9" ht="15.75" customHeight="1">
      <c r="A11" s="299"/>
      <c r="B11" s="299" t="s">
        <v>1484</v>
      </c>
      <c r="C11" s="344">
        <v>1999</v>
      </c>
      <c r="D11" s="344">
        <v>146</v>
      </c>
      <c r="E11" s="345">
        <f t="shared" si="0"/>
        <v>7.3036518259129561</v>
      </c>
      <c r="F11" s="344">
        <v>676</v>
      </c>
      <c r="G11" s="345">
        <f>+F11/C11*100</f>
        <v>33.816908454227111</v>
      </c>
      <c r="H11" s="344">
        <v>352</v>
      </c>
      <c r="I11" s="346">
        <f>+H11/C11*100</f>
        <v>17.608804402201102</v>
      </c>
    </row>
    <row r="12" spans="1:9" ht="15.75" customHeight="1">
      <c r="A12" s="299"/>
      <c r="B12" s="343" t="s">
        <v>829</v>
      </c>
      <c r="C12" s="344">
        <v>396</v>
      </c>
      <c r="D12" s="344">
        <v>22</v>
      </c>
      <c r="E12" s="345">
        <f t="shared" si="0"/>
        <v>5.5555555555555554</v>
      </c>
      <c r="F12" s="344">
        <v>126</v>
      </c>
      <c r="G12" s="345">
        <f>+F12/C12*100</f>
        <v>31.818181818181817</v>
      </c>
      <c r="H12" s="344">
        <v>12</v>
      </c>
      <c r="I12" s="346">
        <f>+H12/C12*100</f>
        <v>3.0303030303030303</v>
      </c>
    </row>
    <row r="13" spans="1:9" ht="15.75" customHeight="1">
      <c r="A13" s="299"/>
      <c r="B13" s="299" t="s">
        <v>763</v>
      </c>
      <c r="C13" s="344">
        <f>SUM(C10:C12)</f>
        <v>4428</v>
      </c>
      <c r="D13" s="344">
        <f>SUM(D10:D12)</f>
        <v>280</v>
      </c>
      <c r="E13" s="345">
        <f t="shared" si="0"/>
        <v>6.3233965672990067</v>
      </c>
      <c r="F13" s="344">
        <f>SUM(F10:F12)</f>
        <v>1331</v>
      </c>
      <c r="G13" s="345">
        <f>+F13/C13*100</f>
        <v>30.058717253839205</v>
      </c>
      <c r="H13" s="344">
        <f>SUM(H10:H12)</f>
        <v>584</v>
      </c>
      <c r="I13" s="346">
        <f>+H13/C13*100</f>
        <v>13.188798554652212</v>
      </c>
    </row>
    <row r="14" spans="1:9" ht="16.5" customHeight="1">
      <c r="A14" s="299" t="s">
        <v>636</v>
      </c>
      <c r="B14" s="343" t="s">
        <v>830</v>
      </c>
      <c r="C14" s="344">
        <v>1417</v>
      </c>
      <c r="D14" s="344">
        <v>72</v>
      </c>
      <c r="E14" s="345">
        <f t="shared" si="0"/>
        <v>5.0811573747353567</v>
      </c>
      <c r="F14" s="344">
        <v>334</v>
      </c>
      <c r="G14" s="345">
        <f t="shared" ref="G14:G33" si="1">+F14/C14*100</f>
        <v>23.570924488355683</v>
      </c>
      <c r="H14" s="344">
        <v>183</v>
      </c>
      <c r="I14" s="346">
        <f t="shared" ref="I14:I33" si="2">+H14/C14*100</f>
        <v>12.914608327452365</v>
      </c>
    </row>
    <row r="15" spans="1:9" ht="16.5" customHeight="1">
      <c r="A15" s="299"/>
      <c r="B15" s="299" t="s">
        <v>1269</v>
      </c>
      <c r="C15" s="344">
        <v>235</v>
      </c>
      <c r="D15" s="344">
        <v>15</v>
      </c>
      <c r="E15" s="345">
        <f>+D15/C15*100</f>
        <v>6.3829787234042552</v>
      </c>
      <c r="F15" s="344">
        <v>85</v>
      </c>
      <c r="G15" s="345">
        <f>+F15/C15*100</f>
        <v>36.170212765957451</v>
      </c>
      <c r="H15" s="344">
        <v>36</v>
      </c>
      <c r="I15" s="346">
        <f>+H15/C15*100</f>
        <v>15.319148936170212</v>
      </c>
    </row>
    <row r="16" spans="1:9" ht="17.25" customHeight="1">
      <c r="A16" s="299" t="s">
        <v>831</v>
      </c>
      <c r="B16" s="343" t="s">
        <v>832</v>
      </c>
      <c r="C16" s="344">
        <v>882</v>
      </c>
      <c r="D16" s="344">
        <v>69</v>
      </c>
      <c r="E16" s="345">
        <f t="shared" si="0"/>
        <v>7.8231292517006805</v>
      </c>
      <c r="F16" s="344">
        <v>289</v>
      </c>
      <c r="G16" s="345">
        <f t="shared" si="1"/>
        <v>32.766439909297048</v>
      </c>
      <c r="H16" s="344">
        <v>128</v>
      </c>
      <c r="I16" s="346">
        <f t="shared" si="2"/>
        <v>14.512471655328799</v>
      </c>
    </row>
    <row r="17" spans="1:9" ht="15.75" customHeight="1">
      <c r="A17" s="299" t="s">
        <v>637</v>
      </c>
      <c r="B17" s="343" t="s">
        <v>833</v>
      </c>
      <c r="C17" s="344">
        <v>903</v>
      </c>
      <c r="D17" s="344">
        <v>51</v>
      </c>
      <c r="E17" s="345">
        <f t="shared" si="0"/>
        <v>5.6478405315614619</v>
      </c>
      <c r="F17" s="344">
        <v>245</v>
      </c>
      <c r="G17" s="345">
        <f t="shared" si="1"/>
        <v>27.131782945736433</v>
      </c>
      <c r="H17" s="344">
        <v>84</v>
      </c>
      <c r="I17" s="346">
        <f t="shared" si="2"/>
        <v>9.3023255813953494</v>
      </c>
    </row>
    <row r="18" spans="1:9" ht="18" customHeight="1">
      <c r="A18" s="299" t="s">
        <v>834</v>
      </c>
      <c r="B18" s="299" t="s">
        <v>834</v>
      </c>
      <c r="C18" s="344">
        <f>SUM(C13:C17)</f>
        <v>7865</v>
      </c>
      <c r="D18" s="344">
        <f>SUM(D13:D17)</f>
        <v>487</v>
      </c>
      <c r="E18" s="345">
        <f t="shared" si="0"/>
        <v>6.1919898283534645</v>
      </c>
      <c r="F18" s="344">
        <f>SUM(F13:F17)</f>
        <v>2284</v>
      </c>
      <c r="G18" s="345">
        <f t="shared" si="1"/>
        <v>29.040050858232675</v>
      </c>
      <c r="H18" s="344">
        <f>SUM(H13:H17)</f>
        <v>1015</v>
      </c>
      <c r="I18" s="346">
        <f t="shared" si="2"/>
        <v>12.905276541640179</v>
      </c>
    </row>
    <row r="19" spans="1:9">
      <c r="A19" s="299"/>
      <c r="B19" s="299"/>
      <c r="C19" s="344"/>
      <c r="D19" s="344"/>
      <c r="E19" s="345"/>
      <c r="F19" s="344"/>
      <c r="G19" s="345"/>
      <c r="H19" s="344"/>
      <c r="I19" s="346"/>
    </row>
    <row r="20" spans="1:9" ht="18" customHeight="1">
      <c r="A20" s="299" t="s">
        <v>638</v>
      </c>
      <c r="B20" s="343" t="s">
        <v>835</v>
      </c>
      <c r="C20" s="344">
        <v>2148</v>
      </c>
      <c r="D20" s="344">
        <v>108</v>
      </c>
      <c r="E20" s="345">
        <f>+D20/C20*100</f>
        <v>5.027932960893855</v>
      </c>
      <c r="F20" s="344">
        <v>655</v>
      </c>
      <c r="G20" s="345">
        <f t="shared" si="1"/>
        <v>30.493482309124769</v>
      </c>
      <c r="H20" s="344">
        <v>246</v>
      </c>
      <c r="I20" s="346">
        <f t="shared" si="2"/>
        <v>11.452513966480447</v>
      </c>
    </row>
    <row r="21" spans="1:9" ht="18" customHeight="1">
      <c r="A21" s="299"/>
      <c r="B21" s="343" t="s">
        <v>836</v>
      </c>
      <c r="C21" s="344">
        <v>3151</v>
      </c>
      <c r="D21" s="344">
        <v>201</v>
      </c>
      <c r="E21" s="345">
        <f>+D21/C21*100</f>
        <v>6.3789273246588385</v>
      </c>
      <c r="F21" s="344">
        <v>1034</v>
      </c>
      <c r="G21" s="345">
        <f t="shared" si="1"/>
        <v>32.814979371628056</v>
      </c>
      <c r="H21" s="344">
        <v>488</v>
      </c>
      <c r="I21" s="346">
        <f t="shared" si="2"/>
        <v>15.487146937480164</v>
      </c>
    </row>
    <row r="22" spans="1:9" ht="18" customHeight="1">
      <c r="A22" s="299"/>
      <c r="B22" s="343" t="s">
        <v>932</v>
      </c>
      <c r="C22" s="344">
        <v>271</v>
      </c>
      <c r="D22" s="344">
        <v>19</v>
      </c>
      <c r="E22" s="345">
        <f>+D22/C22*100</f>
        <v>7.0110701107011062</v>
      </c>
      <c r="F22" s="344">
        <v>64</v>
      </c>
      <c r="G22" s="345">
        <f t="shared" si="1"/>
        <v>23.616236162361623</v>
      </c>
      <c r="H22" s="344">
        <v>43</v>
      </c>
      <c r="I22" s="346">
        <f t="shared" si="2"/>
        <v>15.867158671586715</v>
      </c>
    </row>
    <row r="23" spans="1:9" ht="18" customHeight="1">
      <c r="A23" s="299"/>
      <c r="B23" s="343" t="s">
        <v>837</v>
      </c>
      <c r="C23" s="344">
        <v>435</v>
      </c>
      <c r="D23" s="344">
        <v>19</v>
      </c>
      <c r="E23" s="345">
        <f t="shared" ref="E23:E33" si="3">+D23/C23*100</f>
        <v>4.3678160919540225</v>
      </c>
      <c r="F23" s="344">
        <v>92</v>
      </c>
      <c r="G23" s="345">
        <f t="shared" si="1"/>
        <v>21.149425287356323</v>
      </c>
      <c r="H23" s="344">
        <v>12</v>
      </c>
      <c r="I23" s="346">
        <f t="shared" si="2"/>
        <v>2.7586206896551726</v>
      </c>
    </row>
    <row r="24" spans="1:9" ht="18" customHeight="1">
      <c r="A24" s="299"/>
      <c r="B24" s="299" t="s">
        <v>763</v>
      </c>
      <c r="C24" s="344">
        <f>SUM(C20:C23)</f>
        <v>6005</v>
      </c>
      <c r="D24" s="344">
        <f>SUM(D20:D23)</f>
        <v>347</v>
      </c>
      <c r="E24" s="345">
        <f t="shared" si="3"/>
        <v>5.7785179017485433</v>
      </c>
      <c r="F24" s="344">
        <f>SUM(F20:F23)</f>
        <v>1845</v>
      </c>
      <c r="G24" s="345">
        <f t="shared" si="1"/>
        <v>30.724396336386345</v>
      </c>
      <c r="H24" s="344">
        <f>SUM(H20:H23)</f>
        <v>789</v>
      </c>
      <c r="I24" s="346">
        <f t="shared" si="2"/>
        <v>13.139050791007495</v>
      </c>
    </row>
    <row r="25" spans="1:9" ht="17.25" customHeight="1">
      <c r="A25" s="299" t="s">
        <v>639</v>
      </c>
      <c r="B25" s="343" t="s">
        <v>838</v>
      </c>
      <c r="C25" s="344">
        <v>1346</v>
      </c>
      <c r="D25" s="344">
        <v>68</v>
      </c>
      <c r="E25" s="345">
        <f t="shared" si="3"/>
        <v>5.052005943536404</v>
      </c>
      <c r="F25" s="344">
        <v>344</v>
      </c>
      <c r="G25" s="345">
        <f t="shared" si="1"/>
        <v>25.557206537890043</v>
      </c>
      <c r="H25" s="344">
        <v>192</v>
      </c>
      <c r="I25" s="346">
        <f t="shared" si="2"/>
        <v>14.26448736998514</v>
      </c>
    </row>
    <row r="26" spans="1:9" ht="17.25" customHeight="1">
      <c r="A26" s="299" t="s">
        <v>640</v>
      </c>
      <c r="B26" s="343" t="s">
        <v>839</v>
      </c>
      <c r="C26" s="344">
        <v>1051</v>
      </c>
      <c r="D26" s="344">
        <v>63</v>
      </c>
      <c r="E26" s="345">
        <f t="shared" si="3"/>
        <v>5.9942911512844903</v>
      </c>
      <c r="F26" s="344">
        <v>360</v>
      </c>
      <c r="G26" s="345">
        <f t="shared" si="1"/>
        <v>34.25309229305423</v>
      </c>
      <c r="H26" s="344">
        <v>165</v>
      </c>
      <c r="I26" s="346">
        <f t="shared" si="2"/>
        <v>15.699333967649856</v>
      </c>
    </row>
    <row r="27" spans="1:9" ht="17.25" customHeight="1">
      <c r="A27" s="299"/>
      <c r="B27" s="343" t="s">
        <v>840</v>
      </c>
      <c r="C27" s="344">
        <v>148</v>
      </c>
      <c r="D27" s="344">
        <v>10</v>
      </c>
      <c r="E27" s="345">
        <f>+D27/C27*100</f>
        <v>6.756756756756757</v>
      </c>
      <c r="F27" s="344">
        <v>45</v>
      </c>
      <c r="G27" s="345">
        <f>+F27/C27*100</f>
        <v>30.405405405405407</v>
      </c>
      <c r="H27" s="344">
        <v>27</v>
      </c>
      <c r="I27" s="346">
        <f>+H27/C27*100</f>
        <v>18.243243243243242</v>
      </c>
    </row>
    <row r="28" spans="1:9" ht="17.25" customHeight="1">
      <c r="A28" s="299" t="s">
        <v>641</v>
      </c>
      <c r="B28" s="343" t="s">
        <v>841</v>
      </c>
      <c r="C28" s="344">
        <v>521</v>
      </c>
      <c r="D28" s="344">
        <v>37</v>
      </c>
      <c r="E28" s="345">
        <f t="shared" si="3"/>
        <v>7.1017274472168905</v>
      </c>
      <c r="F28" s="344">
        <v>137</v>
      </c>
      <c r="G28" s="345">
        <f t="shared" si="1"/>
        <v>26.29558541266795</v>
      </c>
      <c r="H28" s="344">
        <v>70</v>
      </c>
      <c r="I28" s="346">
        <f t="shared" si="2"/>
        <v>13.435700575815741</v>
      </c>
    </row>
    <row r="29" spans="1:9" ht="18" customHeight="1">
      <c r="A29" s="299" t="s">
        <v>642</v>
      </c>
      <c r="B29" s="343" t="s">
        <v>842</v>
      </c>
      <c r="C29" s="344">
        <v>2287</v>
      </c>
      <c r="D29" s="344">
        <v>190</v>
      </c>
      <c r="E29" s="345">
        <f>+D29/C29*100</f>
        <v>8.3078268473983385</v>
      </c>
      <c r="F29" s="344">
        <v>817</v>
      </c>
      <c r="G29" s="345">
        <f t="shared" si="1"/>
        <v>35.723655443812859</v>
      </c>
      <c r="H29" s="344">
        <v>383</v>
      </c>
      <c r="I29" s="346">
        <f t="shared" si="2"/>
        <v>16.74682990817665</v>
      </c>
    </row>
    <row r="30" spans="1:9" ht="18" customHeight="1">
      <c r="A30" s="299" t="s">
        <v>643</v>
      </c>
      <c r="B30" s="343" t="s">
        <v>843</v>
      </c>
      <c r="C30" s="344">
        <v>925</v>
      </c>
      <c r="D30" s="344">
        <v>68</v>
      </c>
      <c r="E30" s="345">
        <f t="shared" si="3"/>
        <v>7.3513513513513509</v>
      </c>
      <c r="F30" s="344">
        <v>338</v>
      </c>
      <c r="G30" s="345">
        <f t="shared" si="1"/>
        <v>36.54054054054054</v>
      </c>
      <c r="H30" s="344">
        <v>186</v>
      </c>
      <c r="I30" s="346">
        <f t="shared" si="2"/>
        <v>20.108108108108109</v>
      </c>
    </row>
    <row r="31" spans="1:9" ht="18" customHeight="1">
      <c r="A31" s="299"/>
      <c r="B31" s="299" t="s">
        <v>1270</v>
      </c>
      <c r="C31" s="344">
        <v>146</v>
      </c>
      <c r="D31" s="344">
        <v>10</v>
      </c>
      <c r="E31" s="345">
        <f>+D31/C31*100</f>
        <v>6.8493150684931505</v>
      </c>
      <c r="F31" s="344">
        <v>48</v>
      </c>
      <c r="G31" s="345">
        <f>+F31/C31*100</f>
        <v>32.87671232876712</v>
      </c>
      <c r="H31" s="344">
        <v>18</v>
      </c>
      <c r="I31" s="346">
        <f>+H31/C31*100</f>
        <v>12.328767123287671</v>
      </c>
    </row>
    <row r="32" spans="1:9" ht="17.25" customHeight="1">
      <c r="A32" s="299" t="s">
        <v>834</v>
      </c>
      <c r="B32" s="299" t="s">
        <v>834</v>
      </c>
      <c r="C32" s="344">
        <f>SUM(C24:C31)</f>
        <v>12429</v>
      </c>
      <c r="D32" s="344">
        <f>SUM(D24:D31)</f>
        <v>793</v>
      </c>
      <c r="E32" s="345">
        <f>+D32/C32*100</f>
        <v>6.3802397618472924</v>
      </c>
      <c r="F32" s="344">
        <f>SUM(F24:F31)</f>
        <v>3934</v>
      </c>
      <c r="G32" s="345">
        <f>+F32/C32*100</f>
        <v>31.651782122455547</v>
      </c>
      <c r="H32" s="344">
        <f>SUM(H24:H31)</f>
        <v>1830</v>
      </c>
      <c r="I32" s="346">
        <f t="shared" si="2"/>
        <v>14.7236302196476</v>
      </c>
    </row>
    <row r="33" spans="1:9" ht="17.25" customHeight="1">
      <c r="A33" s="302" t="s">
        <v>644</v>
      </c>
      <c r="B33" s="302"/>
      <c r="C33" s="347">
        <f>+C18+C32</f>
        <v>20294</v>
      </c>
      <c r="D33" s="347">
        <f>+D18+D32</f>
        <v>1280</v>
      </c>
      <c r="E33" s="348">
        <f t="shared" si="3"/>
        <v>6.307282940770671</v>
      </c>
      <c r="F33" s="347">
        <f>+F18+F32</f>
        <v>6218</v>
      </c>
      <c r="G33" s="348">
        <f t="shared" si="1"/>
        <v>30.639597910712524</v>
      </c>
      <c r="H33" s="347">
        <f>+H18+H32</f>
        <v>2845</v>
      </c>
      <c r="I33" s="349">
        <f t="shared" si="2"/>
        <v>14.018921848822313</v>
      </c>
    </row>
    <row r="34" spans="1:9">
      <c r="A34" s="220"/>
      <c r="B34" s="220"/>
      <c r="C34" s="167"/>
      <c r="D34" s="167"/>
      <c r="E34" s="167"/>
      <c r="F34" s="167"/>
      <c r="G34" s="167"/>
      <c r="H34" s="167"/>
      <c r="I34" s="167"/>
    </row>
    <row r="35" spans="1:9">
      <c r="A35" s="220"/>
      <c r="B35" s="220"/>
      <c r="C35" s="167"/>
      <c r="D35" s="167"/>
      <c r="E35" s="167"/>
      <c r="F35" s="167"/>
      <c r="G35" s="167"/>
      <c r="H35" s="167"/>
      <c r="I35" s="167"/>
    </row>
    <row r="36" spans="1:9">
      <c r="A36" s="350" t="s">
        <v>659</v>
      </c>
      <c r="B36" s="1171">
        <v>2012</v>
      </c>
      <c r="C36" s="1172"/>
      <c r="D36" s="1171">
        <v>2013</v>
      </c>
      <c r="E36" s="1172"/>
      <c r="F36" s="1381">
        <v>2014</v>
      </c>
      <c r="G36" s="1382"/>
      <c r="H36" s="1381">
        <v>2015</v>
      </c>
      <c r="I36" s="1382"/>
    </row>
    <row r="37" spans="1:9" s="6" customFormat="1" ht="16.5" customHeight="1">
      <c r="A37" s="351" t="s">
        <v>844</v>
      </c>
      <c r="B37" s="352">
        <v>1186</v>
      </c>
      <c r="C37" s="353">
        <v>6.2807816554572886</v>
      </c>
      <c r="D37" s="352">
        <v>1194</v>
      </c>
      <c r="E37" s="353">
        <v>6.2807816554572886</v>
      </c>
      <c r="F37" s="352">
        <v>1163</v>
      </c>
      <c r="G37" s="353">
        <v>5.9230965113318055</v>
      </c>
      <c r="H37" s="352">
        <f>+D33</f>
        <v>1280</v>
      </c>
      <c r="I37" s="353">
        <f>+E33</f>
        <v>6.307282940770671</v>
      </c>
    </row>
    <row r="38" spans="1:9" s="6" customFormat="1" ht="16.5" customHeight="1">
      <c r="A38" s="351" t="s">
        <v>845</v>
      </c>
      <c r="B38" s="352">
        <v>6291</v>
      </c>
      <c r="C38" s="353">
        <v>33.315680771063924</v>
      </c>
      <c r="D38" s="352">
        <v>6238</v>
      </c>
      <c r="E38" s="353">
        <v>32.9</v>
      </c>
      <c r="F38" s="352">
        <v>6193</v>
      </c>
      <c r="G38" s="353">
        <v>31.540616246498598</v>
      </c>
      <c r="H38" s="352">
        <f>+F33</f>
        <v>6218</v>
      </c>
      <c r="I38" s="353">
        <f>+G33</f>
        <v>30.639597910712524</v>
      </c>
    </row>
    <row r="39" spans="1:9" s="6" customFormat="1" ht="16.5" customHeight="1">
      <c r="A39" s="351" t="s">
        <v>846</v>
      </c>
      <c r="B39" s="352">
        <v>2788</v>
      </c>
      <c r="C39" s="353">
        <v>14.764603082137373</v>
      </c>
      <c r="D39" s="352">
        <v>2826</v>
      </c>
      <c r="E39" s="353">
        <v>14.9</v>
      </c>
      <c r="F39" s="352">
        <v>2786</v>
      </c>
      <c r="G39" s="353">
        <v>14.188948306595364</v>
      </c>
      <c r="H39" s="352">
        <f>+H33</f>
        <v>2845</v>
      </c>
      <c r="I39" s="353">
        <f>+I33</f>
        <v>14.018921848822313</v>
      </c>
    </row>
    <row r="40" spans="1:9">
      <c r="C40" s="354"/>
      <c r="D40" s="354"/>
      <c r="E40" s="354"/>
      <c r="F40" s="354"/>
      <c r="G40" s="354"/>
      <c r="H40" s="354"/>
      <c r="I40" s="354"/>
    </row>
    <row r="41" spans="1:9">
      <c r="C41" s="354"/>
      <c r="D41" s="354"/>
      <c r="E41" s="354"/>
      <c r="F41" s="354"/>
      <c r="G41" s="354"/>
      <c r="H41" s="354"/>
      <c r="I41" s="354"/>
    </row>
    <row r="42" spans="1:9">
      <c r="C42" s="354"/>
      <c r="D42" s="354"/>
      <c r="E42" s="354"/>
      <c r="F42" s="354"/>
      <c r="G42" s="354"/>
      <c r="H42" s="354"/>
      <c r="I42" s="354"/>
    </row>
    <row r="43" spans="1:9">
      <c r="C43" s="354"/>
      <c r="D43" s="354"/>
      <c r="E43" s="354"/>
      <c r="F43" s="354"/>
      <c r="G43" s="354"/>
      <c r="H43" s="354"/>
      <c r="I43" s="354"/>
    </row>
  </sheetData>
  <mergeCells count="5">
    <mergeCell ref="F36:G36"/>
    <mergeCell ref="H36:I36"/>
    <mergeCell ref="A1:I1"/>
    <mergeCell ref="A2:I2"/>
    <mergeCell ref="A3:I3"/>
  </mergeCells>
  <phoneticPr fontId="19" type="noConversion"/>
  <pageMargins left="0.78740157480314965" right="0.78740157480314965" top="0.78740157480314965" bottom="0.59055118110236227" header="0.51181102362204722" footer="0.51181102362204722"/>
  <pageSetup paperSize="5" orientation="portrait" horizontalDpi="300" verticalDpi="300" r:id="rId1"/>
  <headerFooter alignWithMargins="0">
    <oddHeader xml:space="preserve">&amp;R
</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6"/>
  <sheetViews>
    <sheetView topLeftCell="A31" workbookViewId="0">
      <selection sqref="A1:W2"/>
    </sheetView>
  </sheetViews>
  <sheetFormatPr baseColWidth="10" defaultRowHeight="12.75"/>
  <cols>
    <col min="1" max="1" width="13.85546875" customWidth="1"/>
    <col min="2" max="2" width="17.85546875" customWidth="1"/>
    <col min="3" max="23" width="7" customWidth="1"/>
    <col min="24" max="29" width="8.140625" customWidth="1"/>
  </cols>
  <sheetData>
    <row r="1" spans="1:23">
      <c r="A1" s="1378" t="s">
        <v>847</v>
      </c>
      <c r="B1" s="1378"/>
      <c r="C1" s="1378"/>
      <c r="D1" s="1378"/>
      <c r="E1" s="1378"/>
      <c r="F1" s="1378"/>
      <c r="G1" s="1378"/>
      <c r="H1" s="1378"/>
      <c r="I1" s="1378"/>
      <c r="J1" s="1378"/>
      <c r="K1" s="1378"/>
      <c r="L1" s="1378"/>
      <c r="M1" s="1378"/>
      <c r="N1" s="1378"/>
      <c r="O1" s="1378"/>
      <c r="P1" s="1378"/>
      <c r="Q1" s="1378"/>
      <c r="R1" s="1378"/>
      <c r="S1" s="1378"/>
      <c r="T1" s="1378"/>
      <c r="U1" s="1378"/>
      <c r="V1" s="1378"/>
      <c r="W1" s="1378"/>
    </row>
    <row r="2" spans="1:23">
      <c r="A2" s="1378" t="s">
        <v>848</v>
      </c>
      <c r="B2" s="1378"/>
      <c r="C2" s="1378"/>
      <c r="D2" s="1378"/>
      <c r="E2" s="1378"/>
      <c r="F2" s="1378"/>
      <c r="G2" s="1378"/>
      <c r="H2" s="1378"/>
      <c r="I2" s="1378"/>
      <c r="J2" s="1378"/>
      <c r="K2" s="1378"/>
      <c r="L2" s="1378"/>
      <c r="M2" s="1378"/>
      <c r="N2" s="1378"/>
      <c r="O2" s="1378"/>
      <c r="P2" s="1378"/>
      <c r="Q2" s="1378"/>
      <c r="R2" s="1378"/>
      <c r="S2" s="1378"/>
      <c r="T2" s="1378"/>
      <c r="U2" s="1378"/>
      <c r="V2" s="1378"/>
      <c r="W2" s="1378"/>
    </row>
    <row r="3" spans="1:23">
      <c r="A3" s="1378" t="s">
        <v>1369</v>
      </c>
      <c r="B3" s="1378"/>
      <c r="C3" s="1378"/>
      <c r="D3" s="1378"/>
      <c r="E3" s="1378"/>
      <c r="F3" s="1378"/>
      <c r="G3" s="1378"/>
      <c r="H3" s="1378"/>
      <c r="I3" s="1378"/>
      <c r="J3" s="1378"/>
      <c r="K3" s="1378"/>
      <c r="L3" s="1378"/>
      <c r="M3" s="1378"/>
      <c r="N3" s="1378"/>
      <c r="O3" s="1378"/>
      <c r="P3" s="1378"/>
      <c r="Q3" s="1378"/>
      <c r="R3" s="1378"/>
      <c r="S3" s="1378"/>
      <c r="T3" s="1378"/>
      <c r="U3" s="1378"/>
      <c r="V3" s="1378"/>
      <c r="W3" s="1378"/>
    </row>
    <row r="8" spans="1:23" ht="25.5" customHeight="1">
      <c r="A8" s="355"/>
      <c r="B8" s="356"/>
      <c r="C8" s="1384" t="s">
        <v>849</v>
      </c>
      <c r="D8" s="1385"/>
      <c r="E8" s="1386"/>
      <c r="F8" s="1385" t="s">
        <v>850</v>
      </c>
      <c r="G8" s="1385"/>
      <c r="H8" s="1385"/>
      <c r="I8" s="1384" t="s">
        <v>851</v>
      </c>
      <c r="J8" s="1385"/>
      <c r="K8" s="1386"/>
      <c r="L8" s="1385" t="s">
        <v>852</v>
      </c>
      <c r="M8" s="1385"/>
      <c r="N8" s="1385"/>
      <c r="O8" s="1384" t="s">
        <v>853</v>
      </c>
      <c r="P8" s="1385"/>
      <c r="Q8" s="1386"/>
      <c r="R8" s="1387" t="s">
        <v>854</v>
      </c>
      <c r="S8" s="1385"/>
      <c r="T8" s="1385"/>
      <c r="U8" s="1384" t="s">
        <v>656</v>
      </c>
      <c r="V8" s="1385"/>
      <c r="W8" s="1386"/>
    </row>
    <row r="9" spans="1:23" ht="9.75" customHeight="1">
      <c r="A9" s="357" t="s">
        <v>821</v>
      </c>
      <c r="B9" s="358" t="s">
        <v>855</v>
      </c>
      <c r="C9" s="359"/>
      <c r="D9" s="360"/>
      <c r="E9" s="361"/>
      <c r="F9" s="360"/>
      <c r="G9" s="360"/>
      <c r="H9" s="360"/>
      <c r="I9" s="359"/>
      <c r="J9" s="360"/>
      <c r="K9" s="361"/>
      <c r="L9" s="360"/>
      <c r="M9" s="360"/>
      <c r="N9" s="360"/>
      <c r="O9" s="359"/>
      <c r="P9" s="360"/>
      <c r="Q9" s="361"/>
      <c r="R9" s="360"/>
      <c r="S9" s="360"/>
      <c r="T9" s="360"/>
      <c r="U9" s="359"/>
      <c r="V9" s="360"/>
      <c r="W9" s="361"/>
    </row>
    <row r="10" spans="1:23" ht="17.25" customHeight="1">
      <c r="A10" s="362"/>
      <c r="B10" s="363"/>
      <c r="C10" s="365">
        <v>2014</v>
      </c>
      <c r="D10" s="365">
        <v>2015</v>
      </c>
      <c r="E10" s="366" t="s">
        <v>529</v>
      </c>
      <c r="F10" s="365">
        <f>+C10</f>
        <v>2014</v>
      </c>
      <c r="G10" s="365">
        <f>+D10</f>
        <v>2015</v>
      </c>
      <c r="H10" s="365" t="s">
        <v>529</v>
      </c>
      <c r="I10" s="364">
        <f>+F10</f>
        <v>2014</v>
      </c>
      <c r="J10" s="365">
        <f>+G10</f>
        <v>2015</v>
      </c>
      <c r="K10" s="366" t="s">
        <v>529</v>
      </c>
      <c r="L10" s="365">
        <f>+I10</f>
        <v>2014</v>
      </c>
      <c r="M10" s="365">
        <f>+G10</f>
        <v>2015</v>
      </c>
      <c r="N10" s="365" t="s">
        <v>529</v>
      </c>
      <c r="O10" s="364">
        <f>+L10</f>
        <v>2014</v>
      </c>
      <c r="P10" s="365">
        <f>+M10</f>
        <v>2015</v>
      </c>
      <c r="Q10" s="366" t="s">
        <v>529</v>
      </c>
      <c r="R10" s="365">
        <f>+O10</f>
        <v>2014</v>
      </c>
      <c r="S10" s="365">
        <f>+P10</f>
        <v>2015</v>
      </c>
      <c r="T10" s="365" t="s">
        <v>529</v>
      </c>
      <c r="U10" s="364">
        <f>+R10</f>
        <v>2014</v>
      </c>
      <c r="V10" s="365">
        <f>+S10</f>
        <v>2015</v>
      </c>
      <c r="W10" s="366" t="s">
        <v>529</v>
      </c>
    </row>
    <row r="11" spans="1:23">
      <c r="A11" s="357"/>
      <c r="B11" s="358"/>
      <c r="C11" s="360"/>
      <c r="D11" s="360"/>
      <c r="E11" s="361"/>
      <c r="F11" s="1173"/>
      <c r="G11" s="1174"/>
      <c r="H11" s="1175"/>
      <c r="I11" s="360"/>
      <c r="J11" s="360"/>
      <c r="K11" s="361"/>
      <c r="L11" s="1173"/>
      <c r="M11" s="1174"/>
      <c r="N11" s="1175"/>
      <c r="O11" s="360"/>
      <c r="P11" s="360"/>
      <c r="Q11" s="361"/>
      <c r="R11" s="360"/>
      <c r="S11" s="360"/>
      <c r="T11" s="360"/>
      <c r="U11" s="359"/>
      <c r="V11" s="360"/>
      <c r="W11" s="361"/>
    </row>
    <row r="12" spans="1:23" ht="15.75" customHeight="1">
      <c r="A12" s="357" t="s">
        <v>635</v>
      </c>
      <c r="B12" s="299" t="s">
        <v>1480</v>
      </c>
      <c r="C12" s="360">
        <v>56</v>
      </c>
      <c r="D12" s="360">
        <v>71</v>
      </c>
      <c r="E12" s="367">
        <f>(+D12-C12)/C12*100</f>
        <v>26.785714285714285</v>
      </c>
      <c r="F12" s="359">
        <v>3</v>
      </c>
      <c r="G12" s="360">
        <v>9</v>
      </c>
      <c r="H12" s="367">
        <f>(+G12-F12)/F12*100</f>
        <v>200</v>
      </c>
      <c r="I12" s="370">
        <v>361</v>
      </c>
      <c r="J12" s="370">
        <v>392</v>
      </c>
      <c r="K12" s="367">
        <f>(+J12-I12)/I12*100</f>
        <v>8.5872576177285325</v>
      </c>
      <c r="L12" s="359">
        <v>150</v>
      </c>
      <c r="M12" s="360">
        <v>194</v>
      </c>
      <c r="N12" s="367">
        <f>(+M12-L12)/L12*100</f>
        <v>29.333333333333332</v>
      </c>
      <c r="O12" s="370">
        <v>1158</v>
      </c>
      <c r="P12" s="370">
        <v>1346</v>
      </c>
      <c r="Q12" s="367">
        <f>(+P12-O12)/O12*100</f>
        <v>16.234887737478413</v>
      </c>
      <c r="R12" s="360"/>
      <c r="S12" s="360"/>
      <c r="T12" s="368"/>
      <c r="U12" s="369">
        <f t="shared" ref="U12:V14" si="0">+R12+O12+L12+I12+F12+C12</f>
        <v>1728</v>
      </c>
      <c r="V12" s="370">
        <f t="shared" si="0"/>
        <v>2012</v>
      </c>
      <c r="W12" s="367">
        <f>(+V12-U12)/U12*100</f>
        <v>16.435185185185187</v>
      </c>
    </row>
    <row r="13" spans="1:23" ht="15.75" customHeight="1">
      <c r="A13" s="357"/>
      <c r="B13" s="299" t="s">
        <v>1484</v>
      </c>
      <c r="C13" s="360">
        <v>58</v>
      </c>
      <c r="D13" s="360">
        <v>59</v>
      </c>
      <c r="E13" s="367">
        <f t="shared" ref="E13:E34" si="1">(+D13-C13)/C13*100</f>
        <v>1.7241379310344827</v>
      </c>
      <c r="F13" s="359">
        <v>8</v>
      </c>
      <c r="G13" s="360">
        <v>5</v>
      </c>
      <c r="H13" s="367">
        <f t="shared" ref="H13:H34" si="2">(+G13-F13)/F13*100</f>
        <v>-37.5</v>
      </c>
      <c r="I13" s="370">
        <v>442</v>
      </c>
      <c r="J13" s="370">
        <v>422</v>
      </c>
      <c r="K13" s="367">
        <f t="shared" ref="K13:K34" si="3">(+J13-I13)/I13*100</f>
        <v>-4.5248868778280542</v>
      </c>
      <c r="L13" s="359">
        <v>169</v>
      </c>
      <c r="M13" s="360">
        <v>181</v>
      </c>
      <c r="N13" s="367">
        <f t="shared" ref="N13:N34" si="4">(+M13-L13)/L13*100</f>
        <v>7.1005917159763312</v>
      </c>
      <c r="O13" s="370">
        <v>1313</v>
      </c>
      <c r="P13" s="370">
        <v>1297</v>
      </c>
      <c r="Q13" s="367">
        <f t="shared" ref="Q13:Q34" si="5">(+P13-O13)/O13*100</f>
        <v>-1.2185833968012185</v>
      </c>
      <c r="R13" s="360">
        <v>1</v>
      </c>
      <c r="S13" s="360">
        <v>1</v>
      </c>
      <c r="T13" s="368">
        <f>(+S13-R13)/R13*100</f>
        <v>0</v>
      </c>
      <c r="U13" s="369">
        <f t="shared" si="0"/>
        <v>1991</v>
      </c>
      <c r="V13" s="370">
        <f t="shared" si="0"/>
        <v>1965</v>
      </c>
      <c r="W13" s="367">
        <f>(+V13-U13)/U13*100</f>
        <v>-1.3058764439979909</v>
      </c>
    </row>
    <row r="14" spans="1:23" ht="15.75" customHeight="1">
      <c r="A14" s="357"/>
      <c r="B14" s="343" t="s">
        <v>829</v>
      </c>
      <c r="C14" s="360">
        <v>15</v>
      </c>
      <c r="D14" s="360">
        <v>23</v>
      </c>
      <c r="E14" s="367">
        <f t="shared" si="1"/>
        <v>53.333333333333336</v>
      </c>
      <c r="F14" s="359"/>
      <c r="G14" s="360"/>
      <c r="H14" s="367"/>
      <c r="I14" s="370">
        <v>92</v>
      </c>
      <c r="J14" s="370">
        <v>102</v>
      </c>
      <c r="K14" s="367">
        <f t="shared" si="3"/>
        <v>10.869565217391305</v>
      </c>
      <c r="L14" s="359">
        <v>26</v>
      </c>
      <c r="M14" s="360">
        <v>43</v>
      </c>
      <c r="N14" s="367">
        <f t="shared" si="4"/>
        <v>65.384615384615387</v>
      </c>
      <c r="O14" s="370">
        <v>209</v>
      </c>
      <c r="P14" s="370">
        <v>222</v>
      </c>
      <c r="Q14" s="367">
        <f t="shared" si="5"/>
        <v>6.2200956937799043</v>
      </c>
      <c r="R14" s="360"/>
      <c r="S14" s="360"/>
      <c r="T14" s="360"/>
      <c r="U14" s="369">
        <f t="shared" si="0"/>
        <v>342</v>
      </c>
      <c r="V14" s="370">
        <f t="shared" si="0"/>
        <v>390</v>
      </c>
      <c r="W14" s="367">
        <f t="shared" ref="W14:W34" si="6">(+V14-U14)/U14*100</f>
        <v>14.035087719298245</v>
      </c>
    </row>
    <row r="15" spans="1:23" ht="15.75" customHeight="1">
      <c r="A15" s="357"/>
      <c r="B15" s="358" t="s">
        <v>763</v>
      </c>
      <c r="C15" s="360">
        <f>SUM(C12:C14)</f>
        <v>129</v>
      </c>
      <c r="D15" s="360">
        <f>SUM(D12:D14)</f>
        <v>153</v>
      </c>
      <c r="E15" s="367">
        <f t="shared" si="1"/>
        <v>18.604651162790699</v>
      </c>
      <c r="F15" s="359">
        <f>SUM(F12:F14)</f>
        <v>11</v>
      </c>
      <c r="G15" s="360">
        <f>SUM(G12:G14)</f>
        <v>14</v>
      </c>
      <c r="H15" s="367">
        <f t="shared" si="2"/>
        <v>27.27272727272727</v>
      </c>
      <c r="I15" s="360">
        <f>SUM(I12:I14)</f>
        <v>895</v>
      </c>
      <c r="J15" s="360">
        <f>SUM(J12:J14)</f>
        <v>916</v>
      </c>
      <c r="K15" s="367">
        <f t="shared" si="3"/>
        <v>2.3463687150837989</v>
      </c>
      <c r="L15" s="359">
        <f>SUM(L12:L14)</f>
        <v>345</v>
      </c>
      <c r="M15" s="360">
        <f>SUM(M12:M14)</f>
        <v>418</v>
      </c>
      <c r="N15" s="367">
        <f t="shared" si="4"/>
        <v>21.159420289855071</v>
      </c>
      <c r="O15" s="360">
        <f>SUM(O12:O14)</f>
        <v>2680</v>
      </c>
      <c r="P15" s="360">
        <f>SUM(P12:P14)</f>
        <v>2865</v>
      </c>
      <c r="Q15" s="367">
        <f t="shared" si="5"/>
        <v>6.9029850746268657</v>
      </c>
      <c r="R15" s="360">
        <f>SUM(R12:R14)</f>
        <v>1</v>
      </c>
      <c r="S15" s="360">
        <f>SUM(S12:S14)</f>
        <v>1</v>
      </c>
      <c r="T15" s="368">
        <f>(+S15-R15)/R15*100</f>
        <v>0</v>
      </c>
      <c r="U15" s="369">
        <f>SUM(U12:U14)</f>
        <v>4061</v>
      </c>
      <c r="V15" s="360">
        <f>SUM(V12:V14)</f>
        <v>4367</v>
      </c>
      <c r="W15" s="367">
        <f t="shared" si="6"/>
        <v>7.535089879340064</v>
      </c>
    </row>
    <row r="16" spans="1:23" ht="15.75" customHeight="1">
      <c r="A16" s="357" t="s">
        <v>636</v>
      </c>
      <c r="B16" s="343" t="s">
        <v>830</v>
      </c>
      <c r="C16" s="360">
        <v>31</v>
      </c>
      <c r="D16" s="360">
        <v>37</v>
      </c>
      <c r="E16" s="367">
        <f t="shared" si="1"/>
        <v>19.35483870967742</v>
      </c>
      <c r="F16" s="359">
        <v>8</v>
      </c>
      <c r="G16" s="360"/>
      <c r="H16" s="367">
        <f t="shared" si="2"/>
        <v>-100</v>
      </c>
      <c r="I16" s="370">
        <v>277</v>
      </c>
      <c r="J16" s="370">
        <v>235</v>
      </c>
      <c r="K16" s="367">
        <f t="shared" si="3"/>
        <v>-15.162454873646208</v>
      </c>
      <c r="L16" s="359">
        <v>159</v>
      </c>
      <c r="M16" s="360">
        <v>152</v>
      </c>
      <c r="N16" s="367">
        <f t="shared" si="4"/>
        <v>-4.4025157232704402</v>
      </c>
      <c r="O16" s="370">
        <v>1033</v>
      </c>
      <c r="P16" s="370">
        <v>985</v>
      </c>
      <c r="Q16" s="367">
        <f t="shared" si="5"/>
        <v>-4.646660212971927</v>
      </c>
      <c r="R16" s="360"/>
      <c r="S16" s="360">
        <v>3</v>
      </c>
      <c r="T16" s="368"/>
      <c r="U16" s="369">
        <f t="shared" ref="U16:V18" si="7">+R16+O16+L16+I16+F16+C16</f>
        <v>1508</v>
      </c>
      <c r="V16" s="370">
        <f t="shared" si="7"/>
        <v>1412</v>
      </c>
      <c r="W16" s="367">
        <f t="shared" si="6"/>
        <v>-6.3660477453580899</v>
      </c>
    </row>
    <row r="17" spans="1:23" ht="15.75" customHeight="1">
      <c r="A17" s="357"/>
      <c r="B17" s="299" t="s">
        <v>1269</v>
      </c>
      <c r="C17" s="360">
        <v>6</v>
      </c>
      <c r="D17" s="360">
        <v>6</v>
      </c>
      <c r="E17" s="367">
        <f t="shared" si="1"/>
        <v>0</v>
      </c>
      <c r="F17" s="359">
        <v>1</v>
      </c>
      <c r="G17" s="360"/>
      <c r="H17" s="367">
        <f t="shared" si="2"/>
        <v>-100</v>
      </c>
      <c r="I17" s="370">
        <v>54</v>
      </c>
      <c r="J17" s="370">
        <v>65</v>
      </c>
      <c r="K17" s="367">
        <f t="shared" si="3"/>
        <v>20.37037037037037</v>
      </c>
      <c r="L17" s="359">
        <v>30</v>
      </c>
      <c r="M17" s="360">
        <v>36</v>
      </c>
      <c r="N17" s="367">
        <f t="shared" si="4"/>
        <v>20</v>
      </c>
      <c r="O17" s="370">
        <v>151</v>
      </c>
      <c r="P17" s="370">
        <v>127</v>
      </c>
      <c r="Q17" s="367">
        <f t="shared" si="5"/>
        <v>-15.894039735099339</v>
      </c>
      <c r="R17" s="360"/>
      <c r="S17" s="360"/>
      <c r="T17" s="360"/>
      <c r="U17" s="369">
        <f t="shared" si="7"/>
        <v>242</v>
      </c>
      <c r="V17" s="370">
        <f t="shared" si="7"/>
        <v>234</v>
      </c>
      <c r="W17" s="367">
        <f t="shared" si="6"/>
        <v>-3.3057851239669422</v>
      </c>
    </row>
    <row r="18" spans="1:23" ht="15.75" customHeight="1">
      <c r="A18" s="357" t="s">
        <v>831</v>
      </c>
      <c r="B18" s="343" t="s">
        <v>832</v>
      </c>
      <c r="C18" s="360">
        <v>16</v>
      </c>
      <c r="D18" s="360">
        <v>36</v>
      </c>
      <c r="E18" s="367">
        <f t="shared" si="1"/>
        <v>125</v>
      </c>
      <c r="F18" s="359">
        <v>3</v>
      </c>
      <c r="G18" s="360">
        <v>5</v>
      </c>
      <c r="H18" s="367">
        <f t="shared" si="2"/>
        <v>66.666666666666657</v>
      </c>
      <c r="I18" s="370">
        <v>216</v>
      </c>
      <c r="J18" s="370">
        <v>177</v>
      </c>
      <c r="K18" s="367">
        <f t="shared" si="3"/>
        <v>-18.055555555555554</v>
      </c>
      <c r="L18" s="359">
        <v>141</v>
      </c>
      <c r="M18" s="360">
        <v>94</v>
      </c>
      <c r="N18" s="367">
        <f t="shared" si="4"/>
        <v>-33.333333333333329</v>
      </c>
      <c r="O18" s="370">
        <v>771</v>
      </c>
      <c r="P18" s="370">
        <v>563</v>
      </c>
      <c r="Q18" s="367">
        <f t="shared" si="5"/>
        <v>-26.977950713359274</v>
      </c>
      <c r="R18" s="360"/>
      <c r="S18" s="360"/>
      <c r="T18" s="360"/>
      <c r="U18" s="369">
        <f t="shared" si="7"/>
        <v>1147</v>
      </c>
      <c r="V18" s="370">
        <f t="shared" si="7"/>
        <v>875</v>
      </c>
      <c r="W18" s="367">
        <f t="shared" si="6"/>
        <v>-23.714036617262423</v>
      </c>
    </row>
    <row r="19" spans="1:23" ht="15.75" customHeight="1">
      <c r="A19" s="357" t="s">
        <v>637</v>
      </c>
      <c r="B19" s="343" t="s">
        <v>833</v>
      </c>
      <c r="C19" s="360">
        <v>29</v>
      </c>
      <c r="D19" s="360">
        <v>48</v>
      </c>
      <c r="E19" s="367">
        <f t="shared" si="1"/>
        <v>65.517241379310349</v>
      </c>
      <c r="F19" s="359">
        <v>2</v>
      </c>
      <c r="G19" s="360">
        <v>3</v>
      </c>
      <c r="H19" s="367">
        <f t="shared" si="2"/>
        <v>50</v>
      </c>
      <c r="I19" s="370">
        <v>160</v>
      </c>
      <c r="J19" s="370">
        <v>174</v>
      </c>
      <c r="K19" s="367">
        <f t="shared" si="3"/>
        <v>8.75</v>
      </c>
      <c r="L19" s="359">
        <v>71</v>
      </c>
      <c r="M19" s="360">
        <v>93</v>
      </c>
      <c r="N19" s="367">
        <f t="shared" si="4"/>
        <v>30.985915492957744</v>
      </c>
      <c r="O19" s="370">
        <v>574</v>
      </c>
      <c r="P19" s="370">
        <v>573</v>
      </c>
      <c r="Q19" s="367">
        <f t="shared" si="5"/>
        <v>-0.17421602787456447</v>
      </c>
      <c r="R19" s="360"/>
      <c r="S19" s="360"/>
      <c r="T19" s="360"/>
      <c r="U19" s="369">
        <f t="shared" ref="U19:V25" si="8">+R19+O19+L19+I19+F19+C19</f>
        <v>836</v>
      </c>
      <c r="V19" s="370">
        <f t="shared" si="8"/>
        <v>891</v>
      </c>
      <c r="W19" s="367">
        <f t="shared" si="6"/>
        <v>6.5789473684210522</v>
      </c>
    </row>
    <row r="20" spans="1:23" ht="21.75" customHeight="1">
      <c r="A20" s="357" t="s">
        <v>834</v>
      </c>
      <c r="B20" s="358" t="s">
        <v>834</v>
      </c>
      <c r="C20" s="360">
        <f>SUM(C15:C19)</f>
        <v>211</v>
      </c>
      <c r="D20" s="360">
        <f>SUM(D15:D19)</f>
        <v>280</v>
      </c>
      <c r="E20" s="367">
        <f t="shared" si="1"/>
        <v>32.70142180094787</v>
      </c>
      <c r="F20" s="359">
        <f>SUM(F15:F19)</f>
        <v>25</v>
      </c>
      <c r="G20" s="360">
        <f>SUM(G15:G19)</f>
        <v>22</v>
      </c>
      <c r="H20" s="367">
        <f t="shared" si="2"/>
        <v>-12</v>
      </c>
      <c r="I20" s="370">
        <f>SUM(I15:I19)</f>
        <v>1602</v>
      </c>
      <c r="J20" s="370">
        <f>SUM(J15:J19)</f>
        <v>1567</v>
      </c>
      <c r="K20" s="367">
        <f t="shared" si="3"/>
        <v>-2.184769038701623</v>
      </c>
      <c r="L20" s="359">
        <f>SUM(L15:L19)</f>
        <v>746</v>
      </c>
      <c r="M20" s="360">
        <f>SUM(M15:M19)</f>
        <v>793</v>
      </c>
      <c r="N20" s="367">
        <f t="shared" si="4"/>
        <v>6.3002680965147455</v>
      </c>
      <c r="O20" s="370">
        <f>SUM(O15:O19)</f>
        <v>5209</v>
      </c>
      <c r="P20" s="370">
        <f>SUM(P15:P19)</f>
        <v>5113</v>
      </c>
      <c r="Q20" s="367">
        <f t="shared" si="5"/>
        <v>-1.8429641005951241</v>
      </c>
      <c r="R20" s="360">
        <f>SUM(R15:R19)</f>
        <v>1</v>
      </c>
      <c r="S20" s="360">
        <f>SUM(S15:S19)</f>
        <v>4</v>
      </c>
      <c r="T20" s="368">
        <f>(+S20-R20)/R20*100</f>
        <v>300</v>
      </c>
      <c r="U20" s="369">
        <f>SUM(U15:U19)</f>
        <v>7794</v>
      </c>
      <c r="V20" s="370">
        <f>SUM(V15:V19)</f>
        <v>7779</v>
      </c>
      <c r="W20" s="367">
        <f t="shared" si="6"/>
        <v>-0.19245573518090839</v>
      </c>
    </row>
    <row r="21" spans="1:23" ht="15.75" customHeight="1">
      <c r="A21" s="357"/>
      <c r="B21" s="358"/>
      <c r="C21" s="360"/>
      <c r="D21" s="360"/>
      <c r="E21" s="367"/>
      <c r="F21" s="359"/>
      <c r="G21" s="360"/>
      <c r="H21" s="367"/>
      <c r="I21" s="370"/>
      <c r="J21" s="370"/>
      <c r="K21" s="367"/>
      <c r="L21" s="359"/>
      <c r="M21" s="360"/>
      <c r="N21" s="367"/>
      <c r="O21" s="370"/>
      <c r="P21" s="370"/>
      <c r="Q21" s="367"/>
      <c r="R21" s="360"/>
      <c r="S21" s="360"/>
      <c r="T21" s="368"/>
      <c r="U21" s="369"/>
      <c r="V21" s="370"/>
      <c r="W21" s="367"/>
    </row>
    <row r="22" spans="1:23" ht="15.75" customHeight="1">
      <c r="A22" s="357" t="s">
        <v>638</v>
      </c>
      <c r="B22" s="343" t="s">
        <v>835</v>
      </c>
      <c r="C22" s="360">
        <v>47</v>
      </c>
      <c r="D22" s="360">
        <v>64</v>
      </c>
      <c r="E22" s="367">
        <f>(+D22-C22)/C22*100</f>
        <v>36.170212765957451</v>
      </c>
      <c r="F22" s="359">
        <v>8</v>
      </c>
      <c r="G22" s="360">
        <v>12</v>
      </c>
      <c r="H22" s="367">
        <f>(+G22-F22)/F22*100</f>
        <v>50</v>
      </c>
      <c r="I22" s="370">
        <v>474</v>
      </c>
      <c r="J22" s="370">
        <v>469</v>
      </c>
      <c r="K22" s="367">
        <f>(+J22-I22)/I22*100</f>
        <v>-1.0548523206751055</v>
      </c>
      <c r="L22" s="359">
        <v>215</v>
      </c>
      <c r="M22" s="360">
        <v>251</v>
      </c>
      <c r="N22" s="367">
        <f>(+M22-L22)/L22*100</f>
        <v>16.744186046511629</v>
      </c>
      <c r="O22" s="370">
        <v>1259</v>
      </c>
      <c r="P22" s="370">
        <v>1326</v>
      </c>
      <c r="Q22" s="367">
        <f>(+P22-O22)/O22*100</f>
        <v>5.3216838760921359</v>
      </c>
      <c r="R22" s="360">
        <v>4</v>
      </c>
      <c r="S22" s="360">
        <v>4</v>
      </c>
      <c r="T22" s="368">
        <f>(+S22-R22)/R22*100</f>
        <v>0</v>
      </c>
      <c r="U22" s="369">
        <f t="shared" si="8"/>
        <v>2007</v>
      </c>
      <c r="V22" s="370">
        <f t="shared" si="8"/>
        <v>2126</v>
      </c>
      <c r="W22" s="367">
        <f t="shared" si="6"/>
        <v>5.9292476332835076</v>
      </c>
    </row>
    <row r="23" spans="1:23" ht="15.75" customHeight="1">
      <c r="A23" s="357"/>
      <c r="B23" s="343" t="s">
        <v>836</v>
      </c>
      <c r="C23" s="360">
        <v>76</v>
      </c>
      <c r="D23" s="360">
        <v>93</v>
      </c>
      <c r="E23" s="367">
        <f>(+D23-C23)/C23*100</f>
        <v>22.368421052631579</v>
      </c>
      <c r="F23" s="359">
        <v>14</v>
      </c>
      <c r="G23" s="360">
        <v>18</v>
      </c>
      <c r="H23" s="367">
        <f>(+G23-F23)/F23*100</f>
        <v>28.571428571428569</v>
      </c>
      <c r="I23" s="370">
        <v>607</v>
      </c>
      <c r="J23" s="370">
        <v>676</v>
      </c>
      <c r="K23" s="367">
        <f>(+J23-I23)/I23*100</f>
        <v>11.367380560131796</v>
      </c>
      <c r="L23" s="359">
        <v>213</v>
      </c>
      <c r="M23" s="360">
        <v>328</v>
      </c>
      <c r="N23" s="367">
        <f>(+M23-L23)/L23*100</f>
        <v>53.990610328638496</v>
      </c>
      <c r="O23" s="370">
        <v>1957</v>
      </c>
      <c r="P23" s="370">
        <v>2002</v>
      </c>
      <c r="Q23" s="367">
        <f>(+P23-O23)/O23*100</f>
        <v>2.2994379151762905</v>
      </c>
      <c r="R23" s="360"/>
      <c r="S23" s="360"/>
      <c r="T23" s="368"/>
      <c r="U23" s="369">
        <f t="shared" si="8"/>
        <v>2867</v>
      </c>
      <c r="V23" s="370">
        <f t="shared" si="8"/>
        <v>3117</v>
      </c>
      <c r="W23" s="367">
        <f t="shared" si="6"/>
        <v>8.7199162888036277</v>
      </c>
    </row>
    <row r="24" spans="1:23" ht="15.75" customHeight="1">
      <c r="A24" s="357"/>
      <c r="B24" s="343" t="s">
        <v>932</v>
      </c>
      <c r="C24" s="360">
        <v>10</v>
      </c>
      <c r="D24" s="360">
        <v>10</v>
      </c>
      <c r="E24" s="367">
        <f>(+D24-C24)/C24*100</f>
        <v>0</v>
      </c>
      <c r="F24" s="359">
        <v>1</v>
      </c>
      <c r="G24" s="360"/>
      <c r="H24" s="367">
        <f>(+G24-F24)/F24*100</f>
        <v>-100</v>
      </c>
      <c r="I24" s="370">
        <v>56</v>
      </c>
      <c r="J24" s="370">
        <v>41</v>
      </c>
      <c r="K24" s="367">
        <f>(+J24-I24)/I24*100</f>
        <v>-26.785714285714285</v>
      </c>
      <c r="L24" s="359">
        <v>15</v>
      </c>
      <c r="M24" s="360">
        <v>19</v>
      </c>
      <c r="N24" s="367">
        <f>(+M24-L24)/L24*100</f>
        <v>26.666666666666668</v>
      </c>
      <c r="O24" s="370">
        <v>186</v>
      </c>
      <c r="P24" s="370">
        <v>195</v>
      </c>
      <c r="Q24" s="367">
        <f>(+P24-O24)/O24*100</f>
        <v>4.838709677419355</v>
      </c>
      <c r="R24" s="360"/>
      <c r="S24" s="360"/>
      <c r="T24" s="367"/>
      <c r="U24" s="370">
        <f t="shared" si="8"/>
        <v>268</v>
      </c>
      <c r="V24" s="370">
        <f t="shared" si="8"/>
        <v>265</v>
      </c>
      <c r="W24" s="367">
        <f t="shared" si="6"/>
        <v>-1.1194029850746268</v>
      </c>
    </row>
    <row r="25" spans="1:23" ht="15.75" customHeight="1">
      <c r="A25" s="357"/>
      <c r="B25" s="343" t="s">
        <v>837</v>
      </c>
      <c r="C25" s="360">
        <v>14</v>
      </c>
      <c r="D25" s="360">
        <v>27</v>
      </c>
      <c r="E25" s="367">
        <f t="shared" si="1"/>
        <v>92.857142857142861</v>
      </c>
      <c r="F25" s="359">
        <v>2</v>
      </c>
      <c r="G25" s="360">
        <v>9</v>
      </c>
      <c r="H25" s="367">
        <f>(+G25-F25)/F25*100</f>
        <v>350</v>
      </c>
      <c r="I25" s="370">
        <v>84</v>
      </c>
      <c r="J25" s="370">
        <v>66</v>
      </c>
      <c r="K25" s="367">
        <f t="shared" si="3"/>
        <v>-21.428571428571427</v>
      </c>
      <c r="L25" s="359">
        <v>33</v>
      </c>
      <c r="M25" s="360">
        <v>33</v>
      </c>
      <c r="N25" s="367">
        <f t="shared" si="4"/>
        <v>0</v>
      </c>
      <c r="O25" s="370">
        <v>335</v>
      </c>
      <c r="P25" s="370">
        <v>288</v>
      </c>
      <c r="Q25" s="367">
        <f t="shared" si="5"/>
        <v>-14.029850746268657</v>
      </c>
      <c r="R25" s="360"/>
      <c r="S25" s="360"/>
      <c r="T25" s="360"/>
      <c r="U25" s="369">
        <f t="shared" si="8"/>
        <v>468</v>
      </c>
      <c r="V25" s="370">
        <f t="shared" si="8"/>
        <v>423</v>
      </c>
      <c r="W25" s="367">
        <f t="shared" si="6"/>
        <v>-9.6153846153846168</v>
      </c>
    </row>
    <row r="26" spans="1:23" ht="15.75" customHeight="1">
      <c r="A26" s="357"/>
      <c r="B26" s="358" t="s">
        <v>763</v>
      </c>
      <c r="C26" s="360">
        <f>SUM(C22:C25)</f>
        <v>147</v>
      </c>
      <c r="D26" s="360">
        <f>SUM(D22:D25)</f>
        <v>194</v>
      </c>
      <c r="E26" s="367">
        <f t="shared" si="1"/>
        <v>31.972789115646261</v>
      </c>
      <c r="F26" s="359">
        <f>SUM(F22:F25)</f>
        <v>25</v>
      </c>
      <c r="G26" s="360">
        <f>SUM(G22:G25)</f>
        <v>39</v>
      </c>
      <c r="H26" s="367">
        <f t="shared" si="2"/>
        <v>56.000000000000007</v>
      </c>
      <c r="I26" s="370">
        <f>SUM(I22:I25)</f>
        <v>1221</v>
      </c>
      <c r="J26" s="370">
        <f>SUM(J22:J25)</f>
        <v>1252</v>
      </c>
      <c r="K26" s="367">
        <f t="shared" si="3"/>
        <v>2.5389025389025388</v>
      </c>
      <c r="L26" s="359">
        <f>SUM(L22:L25)</f>
        <v>476</v>
      </c>
      <c r="M26" s="360">
        <f>SUM(M22:M25)</f>
        <v>631</v>
      </c>
      <c r="N26" s="367">
        <f t="shared" si="4"/>
        <v>32.563025210084035</v>
      </c>
      <c r="O26" s="370">
        <f>SUM(O22:O25)</f>
        <v>3737</v>
      </c>
      <c r="P26" s="370">
        <f>SUM(P22:P25)</f>
        <v>3811</v>
      </c>
      <c r="Q26" s="367">
        <f t="shared" si="5"/>
        <v>1.9801980198019802</v>
      </c>
      <c r="R26" s="360">
        <f>SUM(R22:R25)</f>
        <v>4</v>
      </c>
      <c r="S26" s="360">
        <f>SUM(S22:S25)</f>
        <v>4</v>
      </c>
      <c r="T26" s="360">
        <f>(+S26-R26)/R26*100</f>
        <v>0</v>
      </c>
      <c r="U26" s="369">
        <f>SUM(U22:U25)</f>
        <v>5610</v>
      </c>
      <c r="V26" s="370">
        <f>SUM(V22:V25)</f>
        <v>5931</v>
      </c>
      <c r="W26" s="367">
        <f t="shared" si="6"/>
        <v>5.7219251336898393</v>
      </c>
    </row>
    <row r="27" spans="1:23" ht="15.75" customHeight="1">
      <c r="A27" s="357" t="s">
        <v>639</v>
      </c>
      <c r="B27" s="343" t="s">
        <v>838</v>
      </c>
      <c r="C27" s="360">
        <v>34</v>
      </c>
      <c r="D27" s="360">
        <v>18</v>
      </c>
      <c r="E27" s="367">
        <f t="shared" si="1"/>
        <v>-47.058823529411761</v>
      </c>
      <c r="F27" s="359">
        <v>6</v>
      </c>
      <c r="G27" s="360"/>
      <c r="H27" s="367">
        <f t="shared" si="2"/>
        <v>-100</v>
      </c>
      <c r="I27" s="370">
        <v>260</v>
      </c>
      <c r="J27" s="370">
        <v>243</v>
      </c>
      <c r="K27" s="367">
        <f t="shared" si="3"/>
        <v>-6.5384615384615392</v>
      </c>
      <c r="L27" s="359">
        <v>129</v>
      </c>
      <c r="M27" s="360">
        <v>188</v>
      </c>
      <c r="N27" s="367">
        <f t="shared" si="4"/>
        <v>45.736434108527128</v>
      </c>
      <c r="O27" s="370">
        <v>761</v>
      </c>
      <c r="P27" s="370">
        <v>877</v>
      </c>
      <c r="Q27" s="367">
        <f t="shared" si="5"/>
        <v>15.243101182654403</v>
      </c>
      <c r="R27" s="360"/>
      <c r="S27" s="360"/>
      <c r="T27" s="360"/>
      <c r="U27" s="369">
        <f t="shared" ref="U27:V33" si="9">+R27+O27+L27+I27+F27+C27</f>
        <v>1190</v>
      </c>
      <c r="V27" s="370">
        <f t="shared" si="9"/>
        <v>1326</v>
      </c>
      <c r="W27" s="367">
        <f t="shared" si="6"/>
        <v>11.428571428571429</v>
      </c>
    </row>
    <row r="28" spans="1:23" ht="15.75" customHeight="1">
      <c r="A28" s="357" t="s">
        <v>640</v>
      </c>
      <c r="B28" s="343" t="s">
        <v>839</v>
      </c>
      <c r="C28" s="360">
        <v>29</v>
      </c>
      <c r="D28" s="360">
        <v>27</v>
      </c>
      <c r="E28" s="367">
        <f t="shared" si="1"/>
        <v>-6.8965517241379306</v>
      </c>
      <c r="F28" s="359">
        <v>6</v>
      </c>
      <c r="G28" s="360">
        <v>7</v>
      </c>
      <c r="H28" s="367">
        <f t="shared" si="2"/>
        <v>16.666666666666664</v>
      </c>
      <c r="I28" s="370">
        <v>217</v>
      </c>
      <c r="J28" s="370">
        <v>224</v>
      </c>
      <c r="K28" s="367">
        <f t="shared" si="3"/>
        <v>3.225806451612903</v>
      </c>
      <c r="L28" s="359">
        <v>84</v>
      </c>
      <c r="M28" s="360">
        <v>106</v>
      </c>
      <c r="N28" s="367">
        <f t="shared" si="4"/>
        <v>26.190476190476193</v>
      </c>
      <c r="O28" s="370">
        <v>622</v>
      </c>
      <c r="P28" s="370">
        <v>676</v>
      </c>
      <c r="Q28" s="367">
        <f t="shared" si="5"/>
        <v>8.6816720257234739</v>
      </c>
      <c r="R28" s="360"/>
      <c r="S28" s="360"/>
      <c r="T28" s="360"/>
      <c r="U28" s="369">
        <f t="shared" si="9"/>
        <v>958</v>
      </c>
      <c r="V28" s="370">
        <f t="shared" si="9"/>
        <v>1040</v>
      </c>
      <c r="W28" s="367">
        <f t="shared" si="6"/>
        <v>8.559498956158663</v>
      </c>
    </row>
    <row r="29" spans="1:23" ht="15.75" customHeight="1">
      <c r="A29" s="357"/>
      <c r="B29" s="343" t="s">
        <v>840</v>
      </c>
      <c r="C29" s="360">
        <v>4</v>
      </c>
      <c r="D29" s="360">
        <v>6</v>
      </c>
      <c r="E29" s="367">
        <f t="shared" si="1"/>
        <v>50</v>
      </c>
      <c r="F29" s="359">
        <v>1</v>
      </c>
      <c r="G29" s="360">
        <v>1</v>
      </c>
      <c r="H29" s="367">
        <f t="shared" si="2"/>
        <v>0</v>
      </c>
      <c r="I29" s="370">
        <v>36</v>
      </c>
      <c r="J29" s="370">
        <v>34</v>
      </c>
      <c r="K29" s="367">
        <f t="shared" si="3"/>
        <v>-5.5555555555555554</v>
      </c>
      <c r="L29" s="359">
        <v>5</v>
      </c>
      <c r="M29" s="360">
        <v>5</v>
      </c>
      <c r="N29" s="367">
        <f t="shared" si="4"/>
        <v>0</v>
      </c>
      <c r="O29" s="370">
        <v>90</v>
      </c>
      <c r="P29" s="370">
        <v>100</v>
      </c>
      <c r="Q29" s="367">
        <f t="shared" si="5"/>
        <v>11.111111111111111</v>
      </c>
      <c r="R29" s="360"/>
      <c r="S29" s="360"/>
      <c r="T29" s="360"/>
      <c r="U29" s="369">
        <f t="shared" si="9"/>
        <v>136</v>
      </c>
      <c r="V29" s="370">
        <f t="shared" si="9"/>
        <v>146</v>
      </c>
      <c r="W29" s="367">
        <f t="shared" si="6"/>
        <v>7.3529411764705888</v>
      </c>
    </row>
    <row r="30" spans="1:23" ht="15.75" customHeight="1">
      <c r="A30" s="357" t="s">
        <v>641</v>
      </c>
      <c r="B30" s="343" t="s">
        <v>841</v>
      </c>
      <c r="C30" s="360">
        <v>8</v>
      </c>
      <c r="D30" s="360">
        <v>9</v>
      </c>
      <c r="E30" s="367">
        <f t="shared" si="1"/>
        <v>12.5</v>
      </c>
      <c r="F30" s="359"/>
      <c r="G30" s="360"/>
      <c r="H30" s="367"/>
      <c r="I30" s="370">
        <v>86</v>
      </c>
      <c r="J30" s="370">
        <v>80</v>
      </c>
      <c r="K30" s="367">
        <f t="shared" si="3"/>
        <v>-6.9767441860465116</v>
      </c>
      <c r="L30" s="359">
        <v>37</v>
      </c>
      <c r="M30" s="360">
        <v>40</v>
      </c>
      <c r="N30" s="367">
        <f t="shared" si="4"/>
        <v>8.1081081081081088</v>
      </c>
      <c r="O30" s="370">
        <v>357</v>
      </c>
      <c r="P30" s="370">
        <v>392</v>
      </c>
      <c r="Q30" s="367">
        <f t="shared" si="5"/>
        <v>9.8039215686274517</v>
      </c>
      <c r="R30" s="360"/>
      <c r="S30" s="360"/>
      <c r="T30" s="360"/>
      <c r="U30" s="369">
        <f t="shared" si="9"/>
        <v>488</v>
      </c>
      <c r="V30" s="370">
        <f t="shared" si="9"/>
        <v>521</v>
      </c>
      <c r="W30" s="367">
        <f t="shared" si="6"/>
        <v>6.7622950819672134</v>
      </c>
    </row>
    <row r="31" spans="1:23" ht="15.75" customHeight="1">
      <c r="A31" s="357" t="s">
        <v>642</v>
      </c>
      <c r="B31" s="343" t="s">
        <v>842</v>
      </c>
      <c r="C31" s="360">
        <v>108</v>
      </c>
      <c r="D31" s="360">
        <v>128</v>
      </c>
      <c r="E31" s="367">
        <f t="shared" si="1"/>
        <v>18.518518518518519</v>
      </c>
      <c r="F31" s="359">
        <v>22</v>
      </c>
      <c r="G31" s="360">
        <v>19</v>
      </c>
      <c r="H31" s="367">
        <f t="shared" si="2"/>
        <v>-13.636363636363635</v>
      </c>
      <c r="I31" s="370">
        <v>547</v>
      </c>
      <c r="J31" s="370">
        <v>495</v>
      </c>
      <c r="K31" s="367">
        <f t="shared" si="3"/>
        <v>-9.506398537477148</v>
      </c>
      <c r="L31" s="359">
        <v>258</v>
      </c>
      <c r="M31" s="360">
        <v>217</v>
      </c>
      <c r="N31" s="367">
        <f t="shared" si="4"/>
        <v>-15.891472868217054</v>
      </c>
      <c r="O31" s="370">
        <v>1296</v>
      </c>
      <c r="P31" s="370">
        <v>1428</v>
      </c>
      <c r="Q31" s="367">
        <f t="shared" si="5"/>
        <v>10.185185185185185</v>
      </c>
      <c r="R31" s="360">
        <v>1</v>
      </c>
      <c r="S31" s="360"/>
      <c r="T31" s="368">
        <f>(+S31-R31)/R31*100</f>
        <v>-100</v>
      </c>
      <c r="U31" s="369">
        <f t="shared" si="9"/>
        <v>2232</v>
      </c>
      <c r="V31" s="370">
        <f t="shared" si="9"/>
        <v>2287</v>
      </c>
      <c r="W31" s="367">
        <f t="shared" si="6"/>
        <v>2.4641577060931898</v>
      </c>
    </row>
    <row r="32" spans="1:23" ht="15.75" customHeight="1">
      <c r="A32" s="357" t="s">
        <v>643</v>
      </c>
      <c r="B32" s="343" t="s">
        <v>843</v>
      </c>
      <c r="C32" s="360">
        <v>6</v>
      </c>
      <c r="D32" s="360">
        <v>12</v>
      </c>
      <c r="E32" s="367">
        <f t="shared" si="1"/>
        <v>100</v>
      </c>
      <c r="F32" s="359">
        <v>5</v>
      </c>
      <c r="G32" s="360"/>
      <c r="H32" s="367"/>
      <c r="I32" s="370">
        <v>236</v>
      </c>
      <c r="J32" s="370">
        <v>207</v>
      </c>
      <c r="K32" s="367">
        <f t="shared" si="3"/>
        <v>-12.288135593220339</v>
      </c>
      <c r="L32" s="359">
        <v>125</v>
      </c>
      <c r="M32" s="360">
        <v>114</v>
      </c>
      <c r="N32" s="367">
        <f t="shared" si="4"/>
        <v>-8.7999999999999989</v>
      </c>
      <c r="O32" s="370">
        <v>543</v>
      </c>
      <c r="P32" s="370">
        <v>578</v>
      </c>
      <c r="Q32" s="367">
        <f t="shared" si="5"/>
        <v>6.4456721915285451</v>
      </c>
      <c r="R32" s="360"/>
      <c r="S32" s="360"/>
      <c r="T32" s="368"/>
      <c r="U32" s="369">
        <f t="shared" si="9"/>
        <v>915</v>
      </c>
      <c r="V32" s="370">
        <f t="shared" si="9"/>
        <v>911</v>
      </c>
      <c r="W32" s="367">
        <f t="shared" si="6"/>
        <v>-0.43715846994535518</v>
      </c>
    </row>
    <row r="33" spans="1:23" ht="15.75" customHeight="1">
      <c r="A33" s="357"/>
      <c r="B33" s="299" t="s">
        <v>1270</v>
      </c>
      <c r="C33" s="360">
        <v>1</v>
      </c>
      <c r="D33" s="360"/>
      <c r="E33" s="367">
        <f t="shared" si="1"/>
        <v>-100</v>
      </c>
      <c r="F33" s="359">
        <v>1</v>
      </c>
      <c r="G33" s="360">
        <v>1</v>
      </c>
      <c r="H33" s="367">
        <f t="shared" si="2"/>
        <v>0</v>
      </c>
      <c r="I33" s="370">
        <v>26</v>
      </c>
      <c r="J33" s="370">
        <v>30</v>
      </c>
      <c r="K33" s="367">
        <f t="shared" si="3"/>
        <v>15.384615384615385</v>
      </c>
      <c r="L33" s="359">
        <v>20</v>
      </c>
      <c r="M33" s="360">
        <v>16</v>
      </c>
      <c r="N33" s="367">
        <f t="shared" si="4"/>
        <v>-20</v>
      </c>
      <c r="O33" s="370">
        <v>82</v>
      </c>
      <c r="P33" s="370">
        <v>98</v>
      </c>
      <c r="Q33" s="367">
        <f t="shared" si="5"/>
        <v>19.512195121951219</v>
      </c>
      <c r="R33" s="360"/>
      <c r="S33" s="360"/>
      <c r="T33" s="368"/>
      <c r="U33" s="369">
        <f t="shared" si="9"/>
        <v>130</v>
      </c>
      <c r="V33" s="370">
        <f t="shared" si="9"/>
        <v>145</v>
      </c>
      <c r="W33" s="367">
        <f t="shared" si="6"/>
        <v>11.538461538461538</v>
      </c>
    </row>
    <row r="34" spans="1:23" ht="15.75" customHeight="1">
      <c r="A34" s="357" t="s">
        <v>834</v>
      </c>
      <c r="B34" s="358" t="s">
        <v>834</v>
      </c>
      <c r="C34" s="360">
        <f>SUM(C26:C33)</f>
        <v>337</v>
      </c>
      <c r="D34" s="360">
        <f>SUM(D26:D33)</f>
        <v>394</v>
      </c>
      <c r="E34" s="367">
        <f t="shared" si="1"/>
        <v>16.913946587537094</v>
      </c>
      <c r="F34" s="359">
        <f>SUM(F26:F33)</f>
        <v>66</v>
      </c>
      <c r="G34" s="360">
        <f>SUM(G26:G33)</f>
        <v>67</v>
      </c>
      <c r="H34" s="367">
        <f t="shared" si="2"/>
        <v>1.5151515151515151</v>
      </c>
      <c r="I34" s="360">
        <f>SUM(I26:I33)</f>
        <v>2629</v>
      </c>
      <c r="J34" s="360">
        <f>SUM(J26:J33)</f>
        <v>2565</v>
      </c>
      <c r="K34" s="367">
        <f t="shared" si="3"/>
        <v>-2.4343856979840246</v>
      </c>
      <c r="L34" s="359">
        <f>SUM(L26:L33)</f>
        <v>1134</v>
      </c>
      <c r="M34" s="360">
        <f>SUM(M26:M33)</f>
        <v>1317</v>
      </c>
      <c r="N34" s="367">
        <f t="shared" si="4"/>
        <v>16.137566137566136</v>
      </c>
      <c r="O34" s="360">
        <f>SUM(O26:O33)</f>
        <v>7488</v>
      </c>
      <c r="P34" s="360">
        <f>SUM(P26:P33)</f>
        <v>7960</v>
      </c>
      <c r="Q34" s="367">
        <f t="shared" si="5"/>
        <v>6.3034188034188032</v>
      </c>
      <c r="R34" s="360">
        <f>SUM(R26:R33)</f>
        <v>5</v>
      </c>
      <c r="S34" s="360">
        <f>SUM(S26:S33)</f>
        <v>4</v>
      </c>
      <c r="T34" s="360">
        <f>(+S34-R34)/R34*100</f>
        <v>-20</v>
      </c>
      <c r="U34" s="369">
        <f>SUM(U26:U33)</f>
        <v>11659</v>
      </c>
      <c r="V34" s="360">
        <f>SUM(V26:V33)</f>
        <v>12307</v>
      </c>
      <c r="W34" s="367">
        <f t="shared" si="6"/>
        <v>5.5579380735912167</v>
      </c>
    </row>
    <row r="35" spans="1:23" ht="20.25" customHeight="1">
      <c r="A35" s="362" t="s">
        <v>644</v>
      </c>
      <c r="B35" s="363"/>
      <c r="C35" s="364">
        <f>+C20+C34</f>
        <v>548</v>
      </c>
      <c r="D35" s="365">
        <f>+D20+D34</f>
        <v>674</v>
      </c>
      <c r="E35" s="371">
        <f>(+D35-C35)/C35*100</f>
        <v>22.992700729927009</v>
      </c>
      <c r="F35" s="364">
        <f>+F20+F34</f>
        <v>91</v>
      </c>
      <c r="G35" s="365">
        <f>+G20+G34</f>
        <v>89</v>
      </c>
      <c r="H35" s="371">
        <f>(+G35-F35)/F35*100</f>
        <v>-2.197802197802198</v>
      </c>
      <c r="I35" s="374">
        <f>+I20+I34</f>
        <v>4231</v>
      </c>
      <c r="J35" s="374">
        <f>+J20+J34</f>
        <v>4132</v>
      </c>
      <c r="K35" s="371">
        <f>(+J35-I35)/I35*100</f>
        <v>-2.3398723705979672</v>
      </c>
      <c r="L35" s="364">
        <f>+L20+L34</f>
        <v>1880</v>
      </c>
      <c r="M35" s="365">
        <f>+M20+M34</f>
        <v>2110</v>
      </c>
      <c r="N35" s="371">
        <f>(+M35-L35)/L35*100</f>
        <v>12.23404255319149</v>
      </c>
      <c r="O35" s="374">
        <f>+O20+O34</f>
        <v>12697</v>
      </c>
      <c r="P35" s="374">
        <f>+P20+P34</f>
        <v>13073</v>
      </c>
      <c r="Q35" s="371">
        <f>(+P35-O35)/O35*100</f>
        <v>2.961329447901079</v>
      </c>
      <c r="R35" s="365">
        <f>+R20+R34</f>
        <v>6</v>
      </c>
      <c r="S35" s="365">
        <f>+S20+S34</f>
        <v>8</v>
      </c>
      <c r="T35" s="372">
        <f>(+S35-R35)/R35*100</f>
        <v>33.333333333333329</v>
      </c>
      <c r="U35" s="373">
        <f>+U20+U34</f>
        <v>19453</v>
      </c>
      <c r="V35" s="374">
        <f>+V20+V34</f>
        <v>20086</v>
      </c>
      <c r="W35" s="371">
        <f>(+V35-U35)/U35*100</f>
        <v>3.253996812830926</v>
      </c>
    </row>
    <row r="36" spans="1:23">
      <c r="A36" s="1150" t="s">
        <v>1332</v>
      </c>
    </row>
  </sheetData>
  <mergeCells count="10">
    <mergeCell ref="A1:W1"/>
    <mergeCell ref="A2:W2"/>
    <mergeCell ref="A3:W3"/>
    <mergeCell ref="U8:W8"/>
    <mergeCell ref="R8:T8"/>
    <mergeCell ref="O8:Q8"/>
    <mergeCell ref="L8:N8"/>
    <mergeCell ref="I8:K8"/>
    <mergeCell ref="F8:H8"/>
    <mergeCell ref="C8:E8"/>
  </mergeCells>
  <phoneticPr fontId="19" type="noConversion"/>
  <pageMargins left="0.78740157480314965" right="0.19685039370078741" top="0.98425196850393704" bottom="0.98425196850393704" header="0" footer="0"/>
  <pageSetup paperSize="5" scale="87" orientation="landscape" horizontalDpi="300" verticalDpi="300" r:id="rId1"/>
  <headerFooter alignWithMargins="0"/>
  <ignoredErrors>
    <ignoredError sqref="E15:T15 E20:U21 E19:F19 H19:I19 K19:L19 N19:O19 Q19:U19 E34:U35 E31:F31 H31:I31 K31:L31 N31:O31 Q31:S31 E17:I17 E16:I16 K16:L16 N16:O16 Q16:R16 U16 E32:I32 K32:L32 N32:O32 Q32:U32 E29:F29 E27:I27 K27:L27 N27:O27 Q27:U27 E24:I24 E22:F22 H22:I22 K22:L22 N22:O22 Q22:R22 T22:U22 E18:F18 H18:I18 K18:L18 N18:O18 Q18:U18 E28:F28 H28:I28 K28:L28 N28:O28 Q28:U28 E26:U26 E25:F25 I25 K25:L25 N25:O25 Q25:U25 E30:I30 K30:L30 N30:O30 Q30:U30 E23:F23 H23:I23 K23:L23 N23:O23 Q23:U23 K17:L17 N17:O17 Q17:U17 E33:F33 I33 K33:L33 N33:O33 Q33:U33 H29:I29 K29:L29 N29:O29 Q29:U29 K24:L24 N24:O24 Q24:U24 U15 U31" formula="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5"/>
  <sheetViews>
    <sheetView topLeftCell="B30" zoomScale="80" workbookViewId="0">
      <selection activeCell="J35" sqref="J35"/>
    </sheetView>
  </sheetViews>
  <sheetFormatPr baseColWidth="10" defaultRowHeight="12.75"/>
  <cols>
    <col min="1" max="1" width="14.42578125" customWidth="1"/>
    <col min="2" max="2" width="20.85546875" customWidth="1"/>
    <col min="3" max="22" width="7" style="240" customWidth="1"/>
  </cols>
  <sheetData>
    <row r="1" spans="1:22">
      <c r="A1" s="1378" t="s">
        <v>856</v>
      </c>
      <c r="B1" s="1378"/>
      <c r="C1" s="1378"/>
      <c r="D1" s="1378"/>
      <c r="E1" s="1378"/>
      <c r="F1" s="1378"/>
      <c r="G1" s="1378"/>
      <c r="H1" s="1378"/>
      <c r="I1" s="1378"/>
      <c r="J1" s="1378"/>
      <c r="K1" s="1378"/>
      <c r="L1" s="1378"/>
      <c r="M1" s="1378"/>
      <c r="N1" s="1378"/>
      <c r="O1" s="1378"/>
      <c r="P1" s="1378"/>
      <c r="Q1" s="1378"/>
      <c r="R1" s="1378"/>
      <c r="S1" s="1378"/>
      <c r="T1" s="1378"/>
      <c r="U1" s="1378"/>
      <c r="V1" s="1378"/>
    </row>
    <row r="2" spans="1:22">
      <c r="A2" s="375"/>
      <c r="B2" s="375"/>
      <c r="C2" s="308"/>
      <c r="D2" s="308"/>
      <c r="E2" s="308"/>
      <c r="F2" s="308"/>
      <c r="G2" s="308"/>
      <c r="H2" s="308"/>
      <c r="I2" s="308"/>
      <c r="J2" s="308"/>
      <c r="K2" s="308"/>
      <c r="L2" s="308"/>
      <c r="M2" s="308"/>
      <c r="N2" s="308"/>
      <c r="O2" s="308"/>
      <c r="P2" s="308"/>
      <c r="Q2" s="308"/>
      <c r="R2" s="308"/>
      <c r="S2" s="308"/>
      <c r="T2" s="308"/>
      <c r="U2" s="308"/>
      <c r="V2" s="308"/>
    </row>
    <row r="3" spans="1:22">
      <c r="A3" s="1378" t="str">
        <f>+'35'!A3:W3</f>
        <v>VARIACION     DICIEMBRE    2014    -     2015</v>
      </c>
      <c r="B3" s="1378"/>
      <c r="C3" s="1378"/>
      <c r="D3" s="1378"/>
      <c r="E3" s="1378"/>
      <c r="F3" s="1378"/>
      <c r="G3" s="1378"/>
      <c r="H3" s="1378"/>
      <c r="I3" s="1378"/>
      <c r="J3" s="1378"/>
      <c r="K3" s="1378"/>
      <c r="L3" s="1378"/>
      <c r="M3" s="1378"/>
      <c r="N3" s="1378"/>
      <c r="O3" s="1378"/>
      <c r="P3" s="1378"/>
      <c r="Q3" s="1378"/>
      <c r="R3" s="1378"/>
      <c r="S3" s="1378"/>
      <c r="T3" s="1378"/>
      <c r="U3" s="1378"/>
      <c r="V3" s="1378"/>
    </row>
    <row r="9" spans="1:22" ht="15.75" customHeight="1">
      <c r="A9" s="376"/>
      <c r="B9" s="376"/>
      <c r="C9" s="1388" t="s">
        <v>656</v>
      </c>
      <c r="D9" s="1389"/>
      <c r="E9" s="1389"/>
      <c r="F9" s="1390"/>
      <c r="G9" s="1389" t="s">
        <v>857</v>
      </c>
      <c r="H9" s="1389"/>
      <c r="I9" s="1389"/>
      <c r="J9" s="1389"/>
      <c r="K9" s="1388" t="s">
        <v>851</v>
      </c>
      <c r="L9" s="1389"/>
      <c r="M9" s="1389"/>
      <c r="N9" s="1390"/>
      <c r="O9" s="1389" t="s">
        <v>853</v>
      </c>
      <c r="P9" s="1389"/>
      <c r="Q9" s="1389"/>
      <c r="R9" s="1389"/>
      <c r="S9" s="1388" t="s">
        <v>858</v>
      </c>
      <c r="T9" s="1389"/>
      <c r="U9" s="1389"/>
      <c r="V9" s="1390"/>
    </row>
    <row r="10" spans="1:22" ht="15.75" customHeight="1">
      <c r="A10" s="380" t="s">
        <v>554</v>
      </c>
      <c r="B10" s="380"/>
      <c r="C10" s="359">
        <f>+'35'!C10</f>
        <v>2014</v>
      </c>
      <c r="D10" s="360"/>
      <c r="E10" s="360">
        <f>+'35'!D10</f>
        <v>2015</v>
      </c>
      <c r="F10" s="361"/>
      <c r="G10" s="360">
        <f>+C10</f>
        <v>2014</v>
      </c>
      <c r="H10" s="360"/>
      <c r="I10" s="360">
        <f>+E10</f>
        <v>2015</v>
      </c>
      <c r="J10" s="360"/>
      <c r="K10" s="359">
        <f>+G10</f>
        <v>2014</v>
      </c>
      <c r="L10" s="360"/>
      <c r="M10" s="360">
        <f>+I10</f>
        <v>2015</v>
      </c>
      <c r="N10" s="361"/>
      <c r="O10" s="360">
        <f>+K10</f>
        <v>2014</v>
      </c>
      <c r="P10" s="360"/>
      <c r="Q10" s="360">
        <f>+M10</f>
        <v>2015</v>
      </c>
      <c r="R10" s="360"/>
      <c r="S10" s="359">
        <f>+O10</f>
        <v>2014</v>
      </c>
      <c r="T10" s="360"/>
      <c r="U10" s="360">
        <f>+Q10</f>
        <v>2015</v>
      </c>
      <c r="V10" s="361"/>
    </row>
    <row r="11" spans="1:22" ht="15.75" customHeight="1">
      <c r="A11" s="381"/>
      <c r="B11" s="381"/>
      <c r="C11" s="364" t="s">
        <v>681</v>
      </c>
      <c r="D11" s="365" t="s">
        <v>529</v>
      </c>
      <c r="E11" s="365" t="s">
        <v>681</v>
      </c>
      <c r="F11" s="366" t="s">
        <v>529</v>
      </c>
      <c r="G11" s="365" t="s">
        <v>681</v>
      </c>
      <c r="H11" s="365" t="s">
        <v>529</v>
      </c>
      <c r="I11" s="365" t="s">
        <v>681</v>
      </c>
      <c r="J11" s="365" t="s">
        <v>529</v>
      </c>
      <c r="K11" s="364" t="s">
        <v>681</v>
      </c>
      <c r="L11" s="365" t="s">
        <v>529</v>
      </c>
      <c r="M11" s="365" t="s">
        <v>681</v>
      </c>
      <c r="N11" s="366" t="s">
        <v>529</v>
      </c>
      <c r="O11" s="365" t="s">
        <v>681</v>
      </c>
      <c r="P11" s="365" t="s">
        <v>529</v>
      </c>
      <c r="Q11" s="365" t="s">
        <v>681</v>
      </c>
      <c r="R11" s="365" t="s">
        <v>529</v>
      </c>
      <c r="S11" s="364" t="s">
        <v>681</v>
      </c>
      <c r="T11" s="365" t="s">
        <v>529</v>
      </c>
      <c r="U11" s="365" t="s">
        <v>681</v>
      </c>
      <c r="V11" s="366" t="s">
        <v>529</v>
      </c>
    </row>
    <row r="12" spans="1:22" ht="15.75" customHeight="1">
      <c r="A12" s="380" t="s">
        <v>635</v>
      </c>
      <c r="B12" s="299" t="s">
        <v>1480</v>
      </c>
      <c r="C12" s="359">
        <f>+G12+K12+O12+S12</f>
        <v>184</v>
      </c>
      <c r="D12" s="360">
        <f t="shared" ref="D12:F20" si="0">+H12+L12+P12+T12</f>
        <v>100</v>
      </c>
      <c r="E12" s="360">
        <f t="shared" si="0"/>
        <v>174</v>
      </c>
      <c r="F12" s="361">
        <f t="shared" si="0"/>
        <v>100</v>
      </c>
      <c r="G12" s="360">
        <v>38</v>
      </c>
      <c r="H12" s="368">
        <f>+G12/C12*100</f>
        <v>20.652173913043477</v>
      </c>
      <c r="I12" s="360">
        <v>50</v>
      </c>
      <c r="J12" s="368">
        <f>+I12/E12*100</f>
        <v>28.735632183908045</v>
      </c>
      <c r="K12" s="359">
        <v>66</v>
      </c>
      <c r="L12" s="368">
        <f>+K12/C12*100</f>
        <v>35.869565217391305</v>
      </c>
      <c r="M12" s="360">
        <v>55</v>
      </c>
      <c r="N12" s="367">
        <f>+M12/E12*100</f>
        <v>31.609195402298852</v>
      </c>
      <c r="O12" s="360">
        <v>76</v>
      </c>
      <c r="P12" s="368">
        <f>+O12/C12*100</f>
        <v>41.304347826086953</v>
      </c>
      <c r="Q12" s="360">
        <v>60</v>
      </c>
      <c r="R12" s="368">
        <f>+Q12/E12*100</f>
        <v>34.482758620689658</v>
      </c>
      <c r="S12" s="359">
        <v>4</v>
      </c>
      <c r="T12" s="368">
        <f>+S12/C12*100</f>
        <v>2.1739130434782608</v>
      </c>
      <c r="U12" s="360">
        <v>9</v>
      </c>
      <c r="V12" s="367">
        <f>+U12/E12*100</f>
        <v>5.1724137931034484</v>
      </c>
    </row>
    <row r="13" spans="1:22" ht="15.75" customHeight="1">
      <c r="A13" s="380"/>
      <c r="B13" s="299" t="s">
        <v>1484</v>
      </c>
      <c r="C13" s="359">
        <f>+G13+K13+O13+S13</f>
        <v>239</v>
      </c>
      <c r="D13" s="360">
        <f t="shared" si="0"/>
        <v>100</v>
      </c>
      <c r="E13" s="360">
        <f t="shared" si="0"/>
        <v>244</v>
      </c>
      <c r="F13" s="382">
        <f t="shared" si="0"/>
        <v>100.00000000000001</v>
      </c>
      <c r="G13" s="360">
        <v>61</v>
      </c>
      <c r="H13" s="368">
        <f>+G13/C13*100</f>
        <v>25.523012552301257</v>
      </c>
      <c r="I13" s="360">
        <v>49</v>
      </c>
      <c r="J13" s="368">
        <f>+I13/E13*100</f>
        <v>20.081967213114755</v>
      </c>
      <c r="K13" s="359">
        <v>79</v>
      </c>
      <c r="L13" s="368">
        <f>+K13/C13*100</f>
        <v>33.054393305439326</v>
      </c>
      <c r="M13" s="360">
        <v>95</v>
      </c>
      <c r="N13" s="367">
        <f>+M13/E13*100</f>
        <v>38.934426229508198</v>
      </c>
      <c r="O13" s="359">
        <v>80</v>
      </c>
      <c r="P13" s="368">
        <f>+O13/C13*100</f>
        <v>33.472803347280333</v>
      </c>
      <c r="Q13" s="360">
        <v>87</v>
      </c>
      <c r="R13" s="368">
        <f>+Q13/E13*100</f>
        <v>35.655737704918032</v>
      </c>
      <c r="S13" s="359">
        <v>19</v>
      </c>
      <c r="T13" s="368">
        <f>+S13/C13*100</f>
        <v>7.9497907949790791</v>
      </c>
      <c r="U13" s="360">
        <v>13</v>
      </c>
      <c r="V13" s="367">
        <f>+U13/E13*100</f>
        <v>5.3278688524590159</v>
      </c>
    </row>
    <row r="14" spans="1:22" ht="15.75" customHeight="1">
      <c r="A14" s="380"/>
      <c r="B14" s="343" t="s">
        <v>829</v>
      </c>
      <c r="C14" s="359">
        <f>+G14+K14+O14+S14</f>
        <v>27</v>
      </c>
      <c r="D14" s="360">
        <f>+H14+L14+P14+T14</f>
        <v>100</v>
      </c>
      <c r="E14" s="360">
        <f>+I14+M14+Q14+U14</f>
        <v>31</v>
      </c>
      <c r="F14" s="382">
        <f>+J14+N14+R14+V14</f>
        <v>99.999999999999986</v>
      </c>
      <c r="G14" s="360">
        <v>6</v>
      </c>
      <c r="H14" s="368">
        <f>+G14/C14*100</f>
        <v>22.222222222222221</v>
      </c>
      <c r="I14" s="360">
        <v>6</v>
      </c>
      <c r="J14" s="368">
        <f>+I14/E14*100</f>
        <v>19.35483870967742</v>
      </c>
      <c r="K14" s="359">
        <v>11</v>
      </c>
      <c r="L14" s="368">
        <f>+K14/C14*100</f>
        <v>40.74074074074074</v>
      </c>
      <c r="M14" s="360">
        <v>12</v>
      </c>
      <c r="N14" s="367">
        <f>+M14/E14*100</f>
        <v>38.70967741935484</v>
      </c>
      <c r="O14" s="359">
        <v>7</v>
      </c>
      <c r="P14" s="368">
        <f>+O14/C14*100</f>
        <v>25.925925925925924</v>
      </c>
      <c r="Q14" s="360">
        <v>10</v>
      </c>
      <c r="R14" s="368">
        <f>+Q14/E14*100</f>
        <v>32.258064516129032</v>
      </c>
      <c r="S14" s="359">
        <v>3</v>
      </c>
      <c r="T14" s="368">
        <f>+S14/C14*100</f>
        <v>11.111111111111111</v>
      </c>
      <c r="U14" s="360">
        <v>3</v>
      </c>
      <c r="V14" s="367">
        <f>+U14/E14*100</f>
        <v>9.67741935483871</v>
      </c>
    </row>
    <row r="15" spans="1:22" ht="15.75" customHeight="1">
      <c r="A15" s="380"/>
      <c r="B15" s="358" t="s">
        <v>763</v>
      </c>
      <c r="C15" s="359">
        <f>SUM(C12:C14)</f>
        <v>450</v>
      </c>
      <c r="D15" s="383">
        <f t="shared" si="0"/>
        <v>100</v>
      </c>
      <c r="E15" s="360">
        <f>SUM(E12:E14)</f>
        <v>449</v>
      </c>
      <c r="F15" s="382">
        <f t="shared" si="0"/>
        <v>100</v>
      </c>
      <c r="G15" s="359">
        <v>105</v>
      </c>
      <c r="H15" s="368">
        <f>+G15/C15*100</f>
        <v>23.333333333333332</v>
      </c>
      <c r="I15" s="360">
        <f>SUM(I12:I14)</f>
        <v>105</v>
      </c>
      <c r="J15" s="368">
        <f>+I15/E15*100</f>
        <v>23.385300668151448</v>
      </c>
      <c r="K15" s="359">
        <v>156</v>
      </c>
      <c r="L15" s="368">
        <f>+K15/C15*100</f>
        <v>34.666666666666671</v>
      </c>
      <c r="M15" s="360">
        <f>SUM(M12:M14)</f>
        <v>162</v>
      </c>
      <c r="N15" s="367">
        <f>+M15/E15*100</f>
        <v>36.080178173719375</v>
      </c>
      <c r="O15" s="359">
        <v>163</v>
      </c>
      <c r="P15" s="368">
        <f>+O15/C15*100</f>
        <v>36.222222222222221</v>
      </c>
      <c r="Q15" s="360">
        <f>SUM(Q12:Q14)</f>
        <v>157</v>
      </c>
      <c r="R15" s="368">
        <f>+Q15/E15*100</f>
        <v>34.966592427616931</v>
      </c>
      <c r="S15" s="359">
        <v>26</v>
      </c>
      <c r="T15" s="368">
        <f>+S15/C15*100</f>
        <v>5.7777777777777777</v>
      </c>
      <c r="U15" s="360">
        <f>SUM(U12:U14)</f>
        <v>25</v>
      </c>
      <c r="V15" s="367">
        <f>+U15/E15*100</f>
        <v>5.56792873051225</v>
      </c>
    </row>
    <row r="16" spans="1:22" ht="15.75" customHeight="1">
      <c r="A16" s="380" t="s">
        <v>636</v>
      </c>
      <c r="B16" s="343" t="s">
        <v>830</v>
      </c>
      <c r="C16" s="359">
        <f>+G16+K16+O16+S16</f>
        <v>109</v>
      </c>
      <c r="D16" s="360">
        <f t="shared" si="0"/>
        <v>100</v>
      </c>
      <c r="E16" s="360">
        <f t="shared" si="0"/>
        <v>87</v>
      </c>
      <c r="F16" s="361">
        <f t="shared" si="0"/>
        <v>100</v>
      </c>
      <c r="G16" s="360">
        <v>30</v>
      </c>
      <c r="H16" s="368">
        <f t="shared" ref="H16:J35" si="1">+G16/C16*100</f>
        <v>27.522935779816514</v>
      </c>
      <c r="I16" s="360">
        <v>35</v>
      </c>
      <c r="J16" s="368">
        <f t="shared" si="1"/>
        <v>40.229885057471265</v>
      </c>
      <c r="K16" s="359">
        <v>41</v>
      </c>
      <c r="L16" s="368">
        <f t="shared" ref="L16:N35" si="2">+K16/C16*100</f>
        <v>37.61467889908257</v>
      </c>
      <c r="M16" s="360">
        <v>35</v>
      </c>
      <c r="N16" s="367">
        <f t="shared" si="2"/>
        <v>40.229885057471265</v>
      </c>
      <c r="O16" s="360">
        <v>33</v>
      </c>
      <c r="P16" s="368">
        <f t="shared" ref="P16:R35" si="3">+O16/C16*100</f>
        <v>30.275229357798167</v>
      </c>
      <c r="Q16" s="360">
        <v>15</v>
      </c>
      <c r="R16" s="368">
        <f t="shared" si="3"/>
        <v>17.241379310344829</v>
      </c>
      <c r="S16" s="359">
        <v>5</v>
      </c>
      <c r="T16" s="368">
        <f t="shared" ref="T16:V35" si="4">+S16/C16*100</f>
        <v>4.5871559633027523</v>
      </c>
      <c r="U16" s="360">
        <v>2</v>
      </c>
      <c r="V16" s="367">
        <f t="shared" si="4"/>
        <v>2.2988505747126435</v>
      </c>
    </row>
    <row r="17" spans="1:22" ht="15.75" customHeight="1">
      <c r="A17" s="380"/>
      <c r="B17" s="299" t="s">
        <v>1269</v>
      </c>
      <c r="C17" s="359">
        <f>+G17+K17+O17+S17</f>
        <v>5</v>
      </c>
      <c r="D17" s="383">
        <f>+H17+L17+P17+T17</f>
        <v>100</v>
      </c>
      <c r="E17" s="360">
        <f t="shared" si="0"/>
        <v>8</v>
      </c>
      <c r="F17" s="361">
        <f t="shared" si="0"/>
        <v>100</v>
      </c>
      <c r="G17" s="360">
        <v>3</v>
      </c>
      <c r="H17" s="368">
        <f t="shared" si="1"/>
        <v>60</v>
      </c>
      <c r="I17" s="360">
        <v>3</v>
      </c>
      <c r="J17" s="368">
        <f t="shared" si="1"/>
        <v>37.5</v>
      </c>
      <c r="K17" s="359">
        <v>1</v>
      </c>
      <c r="L17" s="368">
        <f t="shared" si="2"/>
        <v>20</v>
      </c>
      <c r="M17" s="360">
        <v>2</v>
      </c>
      <c r="N17" s="367">
        <f t="shared" si="2"/>
        <v>25</v>
      </c>
      <c r="O17" s="360">
        <v>1</v>
      </c>
      <c r="P17" s="368">
        <f t="shared" si="3"/>
        <v>20</v>
      </c>
      <c r="Q17" s="360">
        <v>3</v>
      </c>
      <c r="R17" s="368">
        <f t="shared" si="3"/>
        <v>37.5</v>
      </c>
      <c r="S17" s="359"/>
      <c r="T17" s="368">
        <f t="shared" si="4"/>
        <v>0</v>
      </c>
      <c r="U17" s="360"/>
      <c r="V17" s="367">
        <f t="shared" si="4"/>
        <v>0</v>
      </c>
    </row>
    <row r="18" spans="1:22" ht="15.75" customHeight="1">
      <c r="A18" s="380" t="s">
        <v>859</v>
      </c>
      <c r="B18" s="343" t="s">
        <v>832</v>
      </c>
      <c r="C18" s="359">
        <f>+G18+K18+O18+S18</f>
        <v>90</v>
      </c>
      <c r="D18" s="360">
        <f t="shared" si="0"/>
        <v>100</v>
      </c>
      <c r="E18" s="360">
        <f t="shared" si="0"/>
        <v>104</v>
      </c>
      <c r="F18" s="361">
        <f t="shared" si="0"/>
        <v>100</v>
      </c>
      <c r="G18" s="360">
        <v>25</v>
      </c>
      <c r="H18" s="368">
        <f t="shared" si="1"/>
        <v>27.777777777777779</v>
      </c>
      <c r="I18" s="360">
        <v>32</v>
      </c>
      <c r="J18" s="368">
        <f t="shared" si="1"/>
        <v>30.76923076923077</v>
      </c>
      <c r="K18" s="359">
        <v>33</v>
      </c>
      <c r="L18" s="368">
        <f t="shared" si="2"/>
        <v>36.666666666666664</v>
      </c>
      <c r="M18" s="360">
        <v>43</v>
      </c>
      <c r="N18" s="367">
        <f t="shared" si="2"/>
        <v>41.346153846153847</v>
      </c>
      <c r="O18" s="360">
        <v>28</v>
      </c>
      <c r="P18" s="368">
        <f t="shared" si="3"/>
        <v>31.111111111111111</v>
      </c>
      <c r="Q18" s="360">
        <v>25</v>
      </c>
      <c r="R18" s="368">
        <f t="shared" si="3"/>
        <v>24.03846153846154</v>
      </c>
      <c r="S18" s="359">
        <v>4</v>
      </c>
      <c r="T18" s="368">
        <f t="shared" si="4"/>
        <v>4.4444444444444446</v>
      </c>
      <c r="U18" s="360">
        <v>4</v>
      </c>
      <c r="V18" s="367">
        <f t="shared" si="4"/>
        <v>3.8461538461538463</v>
      </c>
    </row>
    <row r="19" spans="1:22" ht="15.75" customHeight="1">
      <c r="A19" s="380" t="s">
        <v>637</v>
      </c>
      <c r="B19" s="343" t="s">
        <v>833</v>
      </c>
      <c r="C19" s="359">
        <f>+G19+K19+O19+S19</f>
        <v>69</v>
      </c>
      <c r="D19" s="360">
        <f t="shared" si="0"/>
        <v>100</v>
      </c>
      <c r="E19" s="360">
        <f t="shared" si="0"/>
        <v>69</v>
      </c>
      <c r="F19" s="361">
        <f t="shared" si="0"/>
        <v>100</v>
      </c>
      <c r="G19" s="360">
        <v>18</v>
      </c>
      <c r="H19" s="368">
        <f t="shared" si="1"/>
        <v>26.086956521739129</v>
      </c>
      <c r="I19" s="360">
        <v>23</v>
      </c>
      <c r="J19" s="368">
        <f t="shared" si="1"/>
        <v>33.333333333333329</v>
      </c>
      <c r="K19" s="359">
        <v>23</v>
      </c>
      <c r="L19" s="368">
        <f t="shared" si="2"/>
        <v>33.333333333333329</v>
      </c>
      <c r="M19" s="360">
        <v>26</v>
      </c>
      <c r="N19" s="367">
        <f t="shared" si="2"/>
        <v>37.681159420289859</v>
      </c>
      <c r="O19" s="360">
        <v>26</v>
      </c>
      <c r="P19" s="368">
        <f t="shared" si="3"/>
        <v>37.681159420289859</v>
      </c>
      <c r="Q19" s="360">
        <v>18</v>
      </c>
      <c r="R19" s="368">
        <f t="shared" si="3"/>
        <v>26.086956521739129</v>
      </c>
      <c r="S19" s="359">
        <v>2</v>
      </c>
      <c r="T19" s="368">
        <f t="shared" si="4"/>
        <v>2.8985507246376812</v>
      </c>
      <c r="U19" s="360">
        <v>2</v>
      </c>
      <c r="V19" s="367">
        <f t="shared" si="4"/>
        <v>2.8985507246376812</v>
      </c>
    </row>
    <row r="20" spans="1:22" ht="15.75" customHeight="1">
      <c r="A20" s="380" t="s">
        <v>834</v>
      </c>
      <c r="B20" s="358" t="s">
        <v>834</v>
      </c>
      <c r="C20" s="359">
        <f>SUM(C15:C19)</f>
        <v>723</v>
      </c>
      <c r="D20" s="360">
        <f t="shared" si="0"/>
        <v>100</v>
      </c>
      <c r="E20" s="360">
        <f>SUM(E15:E19)</f>
        <v>717</v>
      </c>
      <c r="F20" s="361">
        <f t="shared" si="0"/>
        <v>99.999999999999986</v>
      </c>
      <c r="G20" s="359">
        <v>181</v>
      </c>
      <c r="H20" s="368">
        <f t="shared" si="1"/>
        <v>25.034578146611342</v>
      </c>
      <c r="I20" s="360">
        <f>SUM(I15:I19)</f>
        <v>198</v>
      </c>
      <c r="J20" s="368">
        <f t="shared" si="1"/>
        <v>27.615062761506277</v>
      </c>
      <c r="K20" s="359">
        <v>254</v>
      </c>
      <c r="L20" s="368">
        <f t="shared" si="2"/>
        <v>35.131396957123094</v>
      </c>
      <c r="M20" s="360">
        <f>SUM(M15:M19)</f>
        <v>268</v>
      </c>
      <c r="N20" s="367">
        <f t="shared" si="2"/>
        <v>37.377963737796371</v>
      </c>
      <c r="O20" s="359">
        <v>251</v>
      </c>
      <c r="P20" s="368">
        <f t="shared" si="3"/>
        <v>34.716459197786996</v>
      </c>
      <c r="Q20" s="360">
        <f>SUM(Q15:Q19)</f>
        <v>218</v>
      </c>
      <c r="R20" s="368">
        <f t="shared" si="3"/>
        <v>30.404463040446306</v>
      </c>
      <c r="S20" s="359">
        <v>37</v>
      </c>
      <c r="T20" s="368">
        <f t="shared" si="4"/>
        <v>5.1175656984785611</v>
      </c>
      <c r="U20" s="360">
        <f>SUM(U15:U19)</f>
        <v>33</v>
      </c>
      <c r="V20" s="367">
        <f t="shared" si="4"/>
        <v>4.6025104602510458</v>
      </c>
    </row>
    <row r="21" spans="1:22" ht="15.75" customHeight="1">
      <c r="A21" s="380"/>
      <c r="B21" s="358"/>
      <c r="C21" s="359"/>
      <c r="D21" s="360"/>
      <c r="E21" s="360"/>
      <c r="F21" s="361"/>
      <c r="G21" s="360"/>
      <c r="H21" s="368"/>
      <c r="I21" s="360"/>
      <c r="J21" s="368"/>
      <c r="K21" s="359"/>
      <c r="L21" s="368"/>
      <c r="M21" s="360"/>
      <c r="N21" s="367"/>
      <c r="O21" s="360"/>
      <c r="P21" s="368"/>
      <c r="Q21" s="360"/>
      <c r="R21" s="368"/>
      <c r="S21" s="359"/>
      <c r="T21" s="368"/>
      <c r="U21" s="360"/>
      <c r="V21" s="367"/>
    </row>
    <row r="22" spans="1:22" ht="15.75" customHeight="1">
      <c r="A22" s="380" t="s">
        <v>860</v>
      </c>
      <c r="B22" s="343" t="s">
        <v>835</v>
      </c>
      <c r="C22" s="359">
        <f t="shared" ref="C22:C32" si="5">+G22+K22+O22+S22</f>
        <v>206</v>
      </c>
      <c r="D22" s="360">
        <f t="shared" ref="C22:F35" si="6">+H22+L22+P22+T22</f>
        <v>99.999999999999986</v>
      </c>
      <c r="E22" s="360">
        <f t="shared" si="6"/>
        <v>175</v>
      </c>
      <c r="F22" s="361">
        <f t="shared" si="6"/>
        <v>100.00000000000001</v>
      </c>
      <c r="G22" s="360">
        <v>61</v>
      </c>
      <c r="H22" s="368">
        <f t="shared" si="1"/>
        <v>29.61165048543689</v>
      </c>
      <c r="I22" s="360">
        <v>57</v>
      </c>
      <c r="J22" s="368">
        <f t="shared" si="1"/>
        <v>32.571428571428577</v>
      </c>
      <c r="K22" s="359">
        <v>56</v>
      </c>
      <c r="L22" s="368">
        <f t="shared" si="2"/>
        <v>27.184466019417474</v>
      </c>
      <c r="M22" s="360">
        <v>70</v>
      </c>
      <c r="N22" s="367">
        <f t="shared" si="2"/>
        <v>40</v>
      </c>
      <c r="O22" s="360">
        <v>71</v>
      </c>
      <c r="P22" s="368">
        <f t="shared" si="3"/>
        <v>34.466019417475728</v>
      </c>
      <c r="Q22" s="360">
        <v>41</v>
      </c>
      <c r="R22" s="368">
        <f t="shared" si="3"/>
        <v>23.428571428571431</v>
      </c>
      <c r="S22" s="359">
        <v>18</v>
      </c>
      <c r="T22" s="368">
        <f t="shared" si="4"/>
        <v>8.7378640776699026</v>
      </c>
      <c r="U22" s="360">
        <v>7</v>
      </c>
      <c r="V22" s="367">
        <f t="shared" si="4"/>
        <v>4</v>
      </c>
    </row>
    <row r="23" spans="1:22" ht="15.75" customHeight="1">
      <c r="A23" s="380"/>
      <c r="B23" s="343" t="s">
        <v>836</v>
      </c>
      <c r="C23" s="359">
        <f t="shared" si="6"/>
        <v>310</v>
      </c>
      <c r="D23" s="360">
        <f t="shared" si="6"/>
        <v>100.00000000000001</v>
      </c>
      <c r="E23" s="360">
        <f t="shared" si="6"/>
        <v>299</v>
      </c>
      <c r="F23" s="361">
        <f t="shared" si="6"/>
        <v>100</v>
      </c>
      <c r="G23" s="360">
        <v>90</v>
      </c>
      <c r="H23" s="368">
        <f t="shared" si="1"/>
        <v>29.032258064516132</v>
      </c>
      <c r="I23" s="360">
        <v>99</v>
      </c>
      <c r="J23" s="368">
        <f t="shared" si="1"/>
        <v>33.110367892976591</v>
      </c>
      <c r="K23" s="359">
        <v>95</v>
      </c>
      <c r="L23" s="368">
        <f t="shared" si="2"/>
        <v>30.64516129032258</v>
      </c>
      <c r="M23" s="360">
        <v>102</v>
      </c>
      <c r="N23" s="367">
        <f t="shared" si="2"/>
        <v>34.113712374581937</v>
      </c>
      <c r="O23" s="360">
        <v>104</v>
      </c>
      <c r="P23" s="368">
        <f t="shared" si="3"/>
        <v>33.548387096774199</v>
      </c>
      <c r="Q23" s="360">
        <v>87</v>
      </c>
      <c r="R23" s="368">
        <f t="shared" si="3"/>
        <v>29.096989966555181</v>
      </c>
      <c r="S23" s="359">
        <v>21</v>
      </c>
      <c r="T23" s="368">
        <f t="shared" si="4"/>
        <v>6.7741935483870979</v>
      </c>
      <c r="U23" s="360">
        <v>11</v>
      </c>
      <c r="V23" s="367">
        <f t="shared" si="4"/>
        <v>3.6789297658862878</v>
      </c>
    </row>
    <row r="24" spans="1:22" ht="15.75" customHeight="1">
      <c r="A24" s="380"/>
      <c r="B24" s="343" t="s">
        <v>932</v>
      </c>
      <c r="C24" s="359">
        <f>+G24+K24+O24+S24</f>
        <v>17</v>
      </c>
      <c r="D24" s="360">
        <f>+H24+L24+P24+T24</f>
        <v>99.999999999999986</v>
      </c>
      <c r="E24" s="360">
        <f>+I24+M24+Q24+U24</f>
        <v>20</v>
      </c>
      <c r="F24" s="361">
        <f>+J24+N24+R24+V24</f>
        <v>100</v>
      </c>
      <c r="G24" s="360">
        <v>2</v>
      </c>
      <c r="H24" s="368">
        <f t="shared" si="1"/>
        <v>11.76470588235294</v>
      </c>
      <c r="I24" s="360">
        <v>10</v>
      </c>
      <c r="J24" s="368">
        <f t="shared" si="1"/>
        <v>50</v>
      </c>
      <c r="K24" s="359">
        <v>7</v>
      </c>
      <c r="L24" s="368">
        <f t="shared" si="2"/>
        <v>41.17647058823529</v>
      </c>
      <c r="M24" s="360">
        <v>5</v>
      </c>
      <c r="N24" s="367">
        <f t="shared" si="2"/>
        <v>25</v>
      </c>
      <c r="O24" s="360">
        <v>7</v>
      </c>
      <c r="P24" s="368">
        <f t="shared" si="3"/>
        <v>41.17647058823529</v>
      </c>
      <c r="Q24" s="360">
        <v>5</v>
      </c>
      <c r="R24" s="368">
        <f t="shared" si="3"/>
        <v>25</v>
      </c>
      <c r="S24" s="359">
        <v>1</v>
      </c>
      <c r="T24" s="368">
        <f t="shared" si="4"/>
        <v>5.8823529411764701</v>
      </c>
      <c r="U24" s="360"/>
      <c r="V24" s="367">
        <f t="shared" si="4"/>
        <v>0</v>
      </c>
    </row>
    <row r="25" spans="1:22" ht="15.75" customHeight="1">
      <c r="A25" s="380"/>
      <c r="B25" s="343" t="s">
        <v>837</v>
      </c>
      <c r="C25" s="359">
        <f t="shared" si="5"/>
        <v>37</v>
      </c>
      <c r="D25" s="360">
        <f t="shared" si="6"/>
        <v>100</v>
      </c>
      <c r="E25" s="360">
        <f t="shared" si="6"/>
        <v>39</v>
      </c>
      <c r="F25" s="382">
        <f t="shared" si="6"/>
        <v>100</v>
      </c>
      <c r="G25" s="359">
        <v>2</v>
      </c>
      <c r="H25" s="368">
        <f t="shared" si="1"/>
        <v>5.4054054054054053</v>
      </c>
      <c r="I25" s="360">
        <v>8</v>
      </c>
      <c r="J25" s="368">
        <f t="shared" si="1"/>
        <v>20.512820512820511</v>
      </c>
      <c r="K25" s="359">
        <v>14</v>
      </c>
      <c r="L25" s="368">
        <f t="shared" si="2"/>
        <v>37.837837837837839</v>
      </c>
      <c r="M25" s="360">
        <v>15</v>
      </c>
      <c r="N25" s="367">
        <f t="shared" si="2"/>
        <v>38.461538461538467</v>
      </c>
      <c r="O25" s="359">
        <v>12</v>
      </c>
      <c r="P25" s="368">
        <f t="shared" si="3"/>
        <v>32.432432432432435</v>
      </c>
      <c r="Q25" s="360">
        <v>11</v>
      </c>
      <c r="R25" s="368">
        <f t="shared" si="3"/>
        <v>28.205128205128204</v>
      </c>
      <c r="S25" s="359">
        <v>9</v>
      </c>
      <c r="T25" s="368">
        <f t="shared" si="4"/>
        <v>24.324324324324326</v>
      </c>
      <c r="U25" s="360">
        <v>5</v>
      </c>
      <c r="V25" s="367">
        <f t="shared" si="4"/>
        <v>12.820512820512819</v>
      </c>
    </row>
    <row r="26" spans="1:22" ht="15.75" customHeight="1">
      <c r="A26" s="380"/>
      <c r="B26" s="358" t="s">
        <v>763</v>
      </c>
      <c r="C26" s="359">
        <f>SUM(C22:C25)</f>
        <v>570</v>
      </c>
      <c r="D26" s="383">
        <f t="shared" si="6"/>
        <v>100</v>
      </c>
      <c r="E26" s="360">
        <f>SUM(E22:E25)</f>
        <v>533</v>
      </c>
      <c r="F26" s="382">
        <f t="shared" si="6"/>
        <v>100.00000000000001</v>
      </c>
      <c r="G26" s="359">
        <v>155</v>
      </c>
      <c r="H26" s="368">
        <f t="shared" si="1"/>
        <v>27.192982456140353</v>
      </c>
      <c r="I26" s="360">
        <f>SUM(I22:I25)</f>
        <v>174</v>
      </c>
      <c r="J26" s="368">
        <f t="shared" si="1"/>
        <v>32.645403377110696</v>
      </c>
      <c r="K26" s="359">
        <v>172</v>
      </c>
      <c r="L26" s="368">
        <f t="shared" si="2"/>
        <v>30.175438596491226</v>
      </c>
      <c r="M26" s="360">
        <f>SUM(M22:M25)</f>
        <v>192</v>
      </c>
      <c r="N26" s="367">
        <f t="shared" si="2"/>
        <v>36.022514071294559</v>
      </c>
      <c r="O26" s="359">
        <v>194</v>
      </c>
      <c r="P26" s="368">
        <f t="shared" si="3"/>
        <v>34.035087719298247</v>
      </c>
      <c r="Q26" s="360">
        <f>SUM(Q22:Q25)</f>
        <v>144</v>
      </c>
      <c r="R26" s="368">
        <f t="shared" si="3"/>
        <v>27.016885553470921</v>
      </c>
      <c r="S26" s="359">
        <v>49</v>
      </c>
      <c r="T26" s="368">
        <f t="shared" si="4"/>
        <v>8.5964912280701764</v>
      </c>
      <c r="U26" s="360">
        <f>SUM(U22:U25)</f>
        <v>23</v>
      </c>
      <c r="V26" s="367">
        <f t="shared" si="4"/>
        <v>4.3151969981238274</v>
      </c>
    </row>
    <row r="27" spans="1:22" ht="15.75" customHeight="1">
      <c r="A27" s="380" t="s">
        <v>639</v>
      </c>
      <c r="B27" s="343" t="s">
        <v>838</v>
      </c>
      <c r="C27" s="359">
        <f t="shared" si="5"/>
        <v>100</v>
      </c>
      <c r="D27" s="360">
        <f t="shared" si="6"/>
        <v>100</v>
      </c>
      <c r="E27" s="360">
        <f t="shared" si="6"/>
        <v>96</v>
      </c>
      <c r="F27" s="361">
        <f t="shared" si="6"/>
        <v>99.999999999999986</v>
      </c>
      <c r="G27" s="360">
        <v>35</v>
      </c>
      <c r="H27" s="368">
        <f t="shared" si="1"/>
        <v>35</v>
      </c>
      <c r="I27" s="360">
        <v>24</v>
      </c>
      <c r="J27" s="368">
        <f t="shared" si="1"/>
        <v>25</v>
      </c>
      <c r="K27" s="359">
        <v>31</v>
      </c>
      <c r="L27" s="368">
        <f t="shared" si="2"/>
        <v>31</v>
      </c>
      <c r="M27" s="360">
        <v>35</v>
      </c>
      <c r="N27" s="367">
        <f t="shared" si="2"/>
        <v>36.458333333333329</v>
      </c>
      <c r="O27" s="360">
        <v>24</v>
      </c>
      <c r="P27" s="368">
        <f t="shared" si="3"/>
        <v>24</v>
      </c>
      <c r="Q27" s="360">
        <v>32</v>
      </c>
      <c r="R27" s="368">
        <f t="shared" si="3"/>
        <v>33.333333333333329</v>
      </c>
      <c r="S27" s="359">
        <v>10</v>
      </c>
      <c r="T27" s="368">
        <f t="shared" si="4"/>
        <v>10</v>
      </c>
      <c r="U27" s="360">
        <v>5</v>
      </c>
      <c r="V27" s="367">
        <f t="shared" si="4"/>
        <v>5.2083333333333339</v>
      </c>
    </row>
    <row r="28" spans="1:22" ht="15.75" customHeight="1">
      <c r="A28" s="380" t="s">
        <v>861</v>
      </c>
      <c r="B28" s="343" t="s">
        <v>839</v>
      </c>
      <c r="C28" s="359">
        <f t="shared" si="5"/>
        <v>97</v>
      </c>
      <c r="D28" s="360">
        <f t="shared" si="6"/>
        <v>100</v>
      </c>
      <c r="E28" s="360">
        <f t="shared" si="6"/>
        <v>109</v>
      </c>
      <c r="F28" s="361">
        <f t="shared" si="6"/>
        <v>100</v>
      </c>
      <c r="G28" s="360">
        <v>35</v>
      </c>
      <c r="H28" s="368">
        <f t="shared" si="1"/>
        <v>36.082474226804123</v>
      </c>
      <c r="I28" s="360">
        <v>42</v>
      </c>
      <c r="J28" s="368">
        <f t="shared" si="1"/>
        <v>38.532110091743121</v>
      </c>
      <c r="K28" s="359">
        <v>35</v>
      </c>
      <c r="L28" s="368">
        <f t="shared" si="2"/>
        <v>36.082474226804123</v>
      </c>
      <c r="M28" s="360">
        <v>29</v>
      </c>
      <c r="N28" s="367">
        <f t="shared" si="2"/>
        <v>26.605504587155966</v>
      </c>
      <c r="O28" s="360">
        <v>22</v>
      </c>
      <c r="P28" s="368">
        <f t="shared" si="3"/>
        <v>22.680412371134022</v>
      </c>
      <c r="Q28" s="360">
        <v>31</v>
      </c>
      <c r="R28" s="368">
        <f t="shared" si="3"/>
        <v>28.440366972477065</v>
      </c>
      <c r="S28" s="359">
        <v>5</v>
      </c>
      <c r="T28" s="368">
        <f t="shared" si="4"/>
        <v>5.1546391752577314</v>
      </c>
      <c r="U28" s="360">
        <v>7</v>
      </c>
      <c r="V28" s="367">
        <f t="shared" si="4"/>
        <v>6.4220183486238538</v>
      </c>
    </row>
    <row r="29" spans="1:22" ht="15.75" customHeight="1">
      <c r="A29" s="380"/>
      <c r="B29" s="343" t="s">
        <v>840</v>
      </c>
      <c r="C29" s="359">
        <f t="shared" si="6"/>
        <v>15</v>
      </c>
      <c r="D29" s="360">
        <f t="shared" si="6"/>
        <v>100</v>
      </c>
      <c r="E29" s="360">
        <f t="shared" si="6"/>
        <v>19</v>
      </c>
      <c r="F29" s="361">
        <f t="shared" si="6"/>
        <v>99.999999999999986</v>
      </c>
      <c r="G29" s="360">
        <v>4</v>
      </c>
      <c r="H29" s="368">
        <f t="shared" si="1"/>
        <v>26.666666666666668</v>
      </c>
      <c r="I29" s="360">
        <v>6</v>
      </c>
      <c r="J29" s="368">
        <f t="shared" si="1"/>
        <v>31.578947368421051</v>
      </c>
      <c r="K29" s="359">
        <v>3</v>
      </c>
      <c r="L29" s="368">
        <f t="shared" si="2"/>
        <v>20</v>
      </c>
      <c r="M29" s="360">
        <v>3</v>
      </c>
      <c r="N29" s="367">
        <f t="shared" si="2"/>
        <v>15.789473684210526</v>
      </c>
      <c r="O29" s="360">
        <v>6</v>
      </c>
      <c r="P29" s="368">
        <f t="shared" si="3"/>
        <v>40</v>
      </c>
      <c r="Q29" s="360">
        <v>8</v>
      </c>
      <c r="R29" s="368">
        <f t="shared" si="3"/>
        <v>42.105263157894733</v>
      </c>
      <c r="S29" s="359">
        <v>2</v>
      </c>
      <c r="T29" s="368">
        <f t="shared" si="4"/>
        <v>13.333333333333334</v>
      </c>
      <c r="U29" s="360">
        <v>2</v>
      </c>
      <c r="V29" s="367">
        <f t="shared" si="4"/>
        <v>10.526315789473683</v>
      </c>
    </row>
    <row r="30" spans="1:22" ht="15.75" customHeight="1">
      <c r="A30" s="380" t="s">
        <v>641</v>
      </c>
      <c r="B30" s="343" t="s">
        <v>841</v>
      </c>
      <c r="C30" s="359">
        <f t="shared" si="5"/>
        <v>64</v>
      </c>
      <c r="D30" s="360">
        <f t="shared" si="6"/>
        <v>100</v>
      </c>
      <c r="E30" s="360">
        <f t="shared" si="6"/>
        <v>52</v>
      </c>
      <c r="F30" s="361">
        <f t="shared" si="6"/>
        <v>100.00000000000001</v>
      </c>
      <c r="G30" s="360">
        <v>22</v>
      </c>
      <c r="H30" s="368">
        <f t="shared" si="1"/>
        <v>34.375</v>
      </c>
      <c r="I30" s="360">
        <v>16</v>
      </c>
      <c r="J30" s="368">
        <f t="shared" si="1"/>
        <v>30.76923076923077</v>
      </c>
      <c r="K30" s="359">
        <v>21</v>
      </c>
      <c r="L30" s="368">
        <f t="shared" si="2"/>
        <v>32.8125</v>
      </c>
      <c r="M30" s="360">
        <v>17</v>
      </c>
      <c r="N30" s="367">
        <f t="shared" si="2"/>
        <v>32.692307692307693</v>
      </c>
      <c r="O30" s="360">
        <v>19</v>
      </c>
      <c r="P30" s="368">
        <f t="shared" si="3"/>
        <v>29.6875</v>
      </c>
      <c r="Q30" s="360">
        <v>16</v>
      </c>
      <c r="R30" s="368">
        <f t="shared" si="3"/>
        <v>30.76923076923077</v>
      </c>
      <c r="S30" s="359">
        <v>2</v>
      </c>
      <c r="T30" s="368">
        <f t="shared" si="4"/>
        <v>3.125</v>
      </c>
      <c r="U30" s="360">
        <v>3</v>
      </c>
      <c r="V30" s="367">
        <f t="shared" si="4"/>
        <v>5.7692307692307692</v>
      </c>
    </row>
    <row r="31" spans="1:22" ht="15.75" customHeight="1">
      <c r="A31" s="380" t="s">
        <v>862</v>
      </c>
      <c r="B31" s="343" t="s">
        <v>842</v>
      </c>
      <c r="C31" s="359">
        <f t="shared" si="5"/>
        <v>169</v>
      </c>
      <c r="D31" s="360">
        <f t="shared" si="6"/>
        <v>100</v>
      </c>
      <c r="E31" s="360">
        <f t="shared" si="6"/>
        <v>162</v>
      </c>
      <c r="F31" s="361">
        <f t="shared" si="6"/>
        <v>100</v>
      </c>
      <c r="G31" s="360">
        <v>50</v>
      </c>
      <c r="H31" s="368">
        <f t="shared" si="1"/>
        <v>29.585798816568047</v>
      </c>
      <c r="I31" s="360">
        <v>55</v>
      </c>
      <c r="J31" s="368">
        <f t="shared" si="1"/>
        <v>33.950617283950621</v>
      </c>
      <c r="K31" s="359">
        <v>62</v>
      </c>
      <c r="L31" s="368">
        <f t="shared" si="2"/>
        <v>36.68639053254438</v>
      </c>
      <c r="M31" s="360">
        <v>49</v>
      </c>
      <c r="N31" s="367">
        <f t="shared" si="2"/>
        <v>30.246913580246915</v>
      </c>
      <c r="O31" s="360">
        <v>53</v>
      </c>
      <c r="P31" s="368">
        <f t="shared" si="3"/>
        <v>31.360946745562128</v>
      </c>
      <c r="Q31" s="360">
        <v>46</v>
      </c>
      <c r="R31" s="368">
        <f t="shared" si="3"/>
        <v>28.39506172839506</v>
      </c>
      <c r="S31" s="359">
        <v>4</v>
      </c>
      <c r="T31" s="368">
        <f t="shared" si="4"/>
        <v>2.3668639053254439</v>
      </c>
      <c r="U31" s="360">
        <v>12</v>
      </c>
      <c r="V31" s="367">
        <f t="shared" si="4"/>
        <v>7.4074074074074066</v>
      </c>
    </row>
    <row r="32" spans="1:22" ht="15.75" customHeight="1">
      <c r="A32" s="380" t="s">
        <v>643</v>
      </c>
      <c r="B32" s="343" t="s">
        <v>843</v>
      </c>
      <c r="C32" s="359">
        <f t="shared" si="5"/>
        <v>86</v>
      </c>
      <c r="D32" s="360">
        <f t="shared" si="6"/>
        <v>100</v>
      </c>
      <c r="E32" s="360">
        <f t="shared" si="6"/>
        <v>75</v>
      </c>
      <c r="F32" s="361">
        <f t="shared" si="6"/>
        <v>100</v>
      </c>
      <c r="G32" s="360">
        <v>25</v>
      </c>
      <c r="H32" s="368">
        <f t="shared" si="1"/>
        <v>29.069767441860467</v>
      </c>
      <c r="I32" s="360">
        <v>30</v>
      </c>
      <c r="J32" s="368">
        <f t="shared" si="1"/>
        <v>40</v>
      </c>
      <c r="K32" s="359">
        <v>26</v>
      </c>
      <c r="L32" s="368">
        <f t="shared" si="2"/>
        <v>30.232558139534881</v>
      </c>
      <c r="M32" s="360">
        <v>32</v>
      </c>
      <c r="N32" s="367">
        <f t="shared" si="2"/>
        <v>42.666666666666671</v>
      </c>
      <c r="O32" s="360">
        <v>31</v>
      </c>
      <c r="P32" s="368">
        <f t="shared" si="3"/>
        <v>36.046511627906973</v>
      </c>
      <c r="Q32" s="360">
        <v>12</v>
      </c>
      <c r="R32" s="368">
        <f t="shared" si="3"/>
        <v>16</v>
      </c>
      <c r="S32" s="359">
        <v>4</v>
      </c>
      <c r="T32" s="368">
        <f t="shared" si="4"/>
        <v>4.6511627906976747</v>
      </c>
      <c r="U32" s="360">
        <v>1</v>
      </c>
      <c r="V32" s="367">
        <f t="shared" si="4"/>
        <v>1.3333333333333335</v>
      </c>
    </row>
    <row r="33" spans="1:22" ht="15.75" customHeight="1">
      <c r="A33" s="380"/>
      <c r="B33" s="299" t="s">
        <v>1270</v>
      </c>
      <c r="C33" s="359">
        <f>+G33+K33+O33+S33</f>
        <v>17</v>
      </c>
      <c r="D33" s="360">
        <f>+H33+L33+P33+T33</f>
        <v>100.00000000000001</v>
      </c>
      <c r="E33" s="360">
        <f t="shared" si="6"/>
        <v>8</v>
      </c>
      <c r="F33" s="361">
        <f t="shared" si="6"/>
        <v>100</v>
      </c>
      <c r="G33" s="360">
        <v>7</v>
      </c>
      <c r="H33" s="368">
        <f t="shared" si="1"/>
        <v>41.17647058823529</v>
      </c>
      <c r="I33" s="360">
        <v>3</v>
      </c>
      <c r="J33" s="368">
        <f t="shared" si="1"/>
        <v>37.5</v>
      </c>
      <c r="K33" s="359">
        <v>5</v>
      </c>
      <c r="L33" s="368">
        <f t="shared" si="2"/>
        <v>29.411764705882355</v>
      </c>
      <c r="M33" s="360">
        <v>3</v>
      </c>
      <c r="N33" s="367">
        <f t="shared" si="2"/>
        <v>37.5</v>
      </c>
      <c r="O33" s="360">
        <v>3</v>
      </c>
      <c r="P33" s="368">
        <f t="shared" si="3"/>
        <v>17.647058823529413</v>
      </c>
      <c r="Q33" s="360">
        <v>2</v>
      </c>
      <c r="R33" s="368">
        <f t="shared" si="3"/>
        <v>25</v>
      </c>
      <c r="S33" s="359">
        <v>2</v>
      </c>
      <c r="T33" s="368">
        <f t="shared" si="4"/>
        <v>11.76470588235294</v>
      </c>
      <c r="U33" s="360"/>
      <c r="V33" s="367">
        <f t="shared" si="4"/>
        <v>0</v>
      </c>
    </row>
    <row r="34" spans="1:22" ht="15.75" customHeight="1">
      <c r="A34" s="380" t="s">
        <v>834</v>
      </c>
      <c r="B34" s="358" t="s">
        <v>834</v>
      </c>
      <c r="C34" s="359">
        <f>SUM(C26:C33)</f>
        <v>1118</v>
      </c>
      <c r="D34" s="360">
        <f t="shared" si="6"/>
        <v>100.00000000000001</v>
      </c>
      <c r="E34" s="370">
        <f>SUM(E26:E33)</f>
        <v>1054</v>
      </c>
      <c r="F34" s="361">
        <f t="shared" si="6"/>
        <v>100.00000000000001</v>
      </c>
      <c r="G34" s="370">
        <f>SUM(G26:G33)</f>
        <v>333</v>
      </c>
      <c r="H34" s="368">
        <f t="shared" si="1"/>
        <v>29.785330948121647</v>
      </c>
      <c r="I34" s="370">
        <f>SUM(I26:I33)</f>
        <v>350</v>
      </c>
      <c r="J34" s="367">
        <f t="shared" si="1"/>
        <v>33.206831119544596</v>
      </c>
      <c r="K34" s="370">
        <f>SUM(K26:K33)</f>
        <v>355</v>
      </c>
      <c r="L34" s="368">
        <f t="shared" si="2"/>
        <v>31.753130590339897</v>
      </c>
      <c r="M34" s="370">
        <f>SUM(M26:M33)</f>
        <v>360</v>
      </c>
      <c r="N34" s="367">
        <f t="shared" si="2"/>
        <v>34.155597722960152</v>
      </c>
      <c r="O34" s="370">
        <f>SUM(O26:O33)</f>
        <v>352</v>
      </c>
      <c r="P34" s="368">
        <f t="shared" si="3"/>
        <v>31.48479427549195</v>
      </c>
      <c r="Q34" s="370">
        <f>SUM(Q26:Q33)</f>
        <v>291</v>
      </c>
      <c r="R34" s="367">
        <f t="shared" si="3"/>
        <v>27.609108159392786</v>
      </c>
      <c r="S34" s="370">
        <f>SUM(S26:S33)</f>
        <v>78</v>
      </c>
      <c r="T34" s="368">
        <f t="shared" si="4"/>
        <v>6.9767441860465116</v>
      </c>
      <c r="U34" s="370">
        <f>SUM(U26:U33)</f>
        <v>53</v>
      </c>
      <c r="V34" s="367">
        <f t="shared" si="4"/>
        <v>5.0284629981024667</v>
      </c>
    </row>
    <row r="35" spans="1:22" ht="15.75" customHeight="1">
      <c r="A35" s="381" t="s">
        <v>863</v>
      </c>
      <c r="B35" s="381"/>
      <c r="C35" s="373">
        <f>+C34+C20</f>
        <v>1841</v>
      </c>
      <c r="D35" s="365">
        <f t="shared" si="6"/>
        <v>99.999999999999986</v>
      </c>
      <c r="E35" s="374">
        <f>+E34+E20</f>
        <v>1771</v>
      </c>
      <c r="F35" s="366">
        <f t="shared" si="6"/>
        <v>100</v>
      </c>
      <c r="G35" s="365">
        <f>+G34+G20</f>
        <v>514</v>
      </c>
      <c r="H35" s="372">
        <f t="shared" si="1"/>
        <v>27.919608908202065</v>
      </c>
      <c r="I35" s="365">
        <f>+I34+I20</f>
        <v>548</v>
      </c>
      <c r="J35" s="372">
        <f t="shared" si="1"/>
        <v>30.942970073404858</v>
      </c>
      <c r="K35" s="364">
        <f>+K34+K20</f>
        <v>609</v>
      </c>
      <c r="L35" s="372">
        <f t="shared" si="2"/>
        <v>33.079847908745244</v>
      </c>
      <c r="M35" s="365">
        <f>+M34+M20</f>
        <v>628</v>
      </c>
      <c r="N35" s="371">
        <f t="shared" si="2"/>
        <v>35.460191981931111</v>
      </c>
      <c r="O35" s="365">
        <f>+O34+O20</f>
        <v>603</v>
      </c>
      <c r="P35" s="372">
        <f t="shared" si="3"/>
        <v>32.753938077131991</v>
      </c>
      <c r="Q35" s="365">
        <f>+Q34+Q20</f>
        <v>509</v>
      </c>
      <c r="R35" s="372">
        <f t="shared" si="3"/>
        <v>28.740824392998306</v>
      </c>
      <c r="S35" s="364">
        <f>+S34+S20</f>
        <v>115</v>
      </c>
      <c r="T35" s="372">
        <f t="shared" si="4"/>
        <v>6.2466051059206951</v>
      </c>
      <c r="U35" s="365">
        <f>+U34+U20</f>
        <v>86</v>
      </c>
      <c r="V35" s="371">
        <f t="shared" si="4"/>
        <v>4.8560135516657255</v>
      </c>
    </row>
  </sheetData>
  <mergeCells count="7">
    <mergeCell ref="A1:V1"/>
    <mergeCell ref="A3:V3"/>
    <mergeCell ref="C9:F9"/>
    <mergeCell ref="G9:J9"/>
    <mergeCell ref="K9:N9"/>
    <mergeCell ref="O9:R9"/>
    <mergeCell ref="S9:V9"/>
  </mergeCells>
  <phoneticPr fontId="19" type="noConversion"/>
  <pageMargins left="0.59055118110236227" right="0.39370078740157483" top="0.98425196850393704" bottom="0.98425196850393704" header="0" footer="0"/>
  <pageSetup paperSize="5" scale="90" orientation="landscape" horizontalDpi="300" verticalDpi="300" r:id="rId1"/>
  <headerFooter alignWithMargins="0"/>
  <ignoredErrors>
    <ignoredError sqref="F14:H14 V15:V35 F12:H12 J12:L12 N12:P12 R12:T12 V12 F13:H13 J13:L13 N13:P13 R13:T13 V13 J14:L14 N14:P14 R14:T14 V14" evalError="1"/>
    <ignoredError sqref="F15:U15 F34:U35 F31:H31 J31:L31 N31:P31 R31:T31 F20:U21 F19:H19 J19:L19 N19:P19 R19:T19 F17:H17 F16:H16 J16:L16 N16:P16 R16:T16 F32:H32 J32:L32 N32:P32 R32:T32 F29:H29 F27:H27 J27:L27 N27:P27 R27:T27 F24:H24 F22:H22 J22:L22 N22:P22 R22:T22 F18:H18 J18:L18 N18:P18 R18:T18 F28:H28 J28:L28 N28:P28 R28:T28 F26:U26 F25:H25 J25:L25 N25:P25 R25:T25 F30:H30 J30:L30 N30:P30 R30:T30 F23:H23 J23:L23 N23:P23 R23:T23 J17:L17 N17:P17 R17:U17 F33:H33 J33:L33 N33:P33 R33:U33 J29:L29 N29:P29 R29:T29 J24:L24 N24:P24 R24:U24" evalError="1" formula="1"/>
    <ignoredError sqref="C15:E35" formula="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7"/>
  <sheetViews>
    <sheetView topLeftCell="A93" workbookViewId="0">
      <selection activeCell="Q84" sqref="Q84"/>
    </sheetView>
  </sheetViews>
  <sheetFormatPr baseColWidth="10" defaultRowHeight="12.75"/>
  <cols>
    <col min="1" max="1" width="10.85546875" customWidth="1"/>
    <col min="2" max="2" width="9" customWidth="1"/>
    <col min="3" max="11" width="7.85546875" customWidth="1"/>
    <col min="12" max="12" width="6.85546875" customWidth="1"/>
  </cols>
  <sheetData>
    <row r="1" spans="1:12">
      <c r="A1" s="1378" t="s">
        <v>864</v>
      </c>
      <c r="B1" s="1378"/>
      <c r="C1" s="1378"/>
      <c r="D1" s="1378"/>
      <c r="E1" s="1378"/>
      <c r="F1" s="1378"/>
      <c r="G1" s="1378"/>
      <c r="H1" s="1378"/>
      <c r="I1" s="1378"/>
      <c r="J1" s="1378"/>
      <c r="K1" s="1378"/>
      <c r="L1" s="1378"/>
    </row>
    <row r="2" spans="1:12">
      <c r="A2" s="1378" t="s">
        <v>865</v>
      </c>
      <c r="B2" s="1378"/>
      <c r="C2" s="1378"/>
      <c r="D2" s="1378"/>
      <c r="E2" s="1378"/>
      <c r="F2" s="1378"/>
      <c r="G2" s="1378"/>
      <c r="H2" s="1378"/>
      <c r="I2" s="1378"/>
      <c r="J2" s="1378"/>
      <c r="K2" s="1378"/>
      <c r="L2" s="1378"/>
    </row>
    <row r="3" spans="1:12">
      <c r="A3" s="1378" t="s">
        <v>1410</v>
      </c>
      <c r="B3" s="1378"/>
      <c r="C3" s="1378"/>
      <c r="D3" s="1378"/>
      <c r="E3" s="1378"/>
      <c r="F3" s="1378"/>
      <c r="G3" s="1378"/>
      <c r="H3" s="1378"/>
      <c r="I3" s="1378"/>
      <c r="J3" s="1378"/>
      <c r="K3" s="1378"/>
      <c r="L3" s="1378"/>
    </row>
    <row r="4" spans="1:12">
      <c r="A4" s="308"/>
      <c r="B4" s="308"/>
      <c r="C4" s="308"/>
      <c r="D4" s="308"/>
      <c r="E4" s="308"/>
      <c r="F4" s="308"/>
      <c r="G4" s="308"/>
      <c r="H4" s="308"/>
      <c r="I4" s="308"/>
      <c r="J4" s="308"/>
      <c r="K4" s="308"/>
      <c r="L4" s="308"/>
    </row>
    <row r="5" spans="1:12">
      <c r="A5" s="308"/>
      <c r="B5" s="308"/>
      <c r="C5" s="308"/>
      <c r="D5" s="308"/>
      <c r="E5" s="308"/>
      <c r="F5" s="308"/>
      <c r="G5" s="308"/>
      <c r="H5" s="308"/>
      <c r="I5" s="308"/>
      <c r="J5" s="308"/>
      <c r="K5" s="308"/>
      <c r="L5" s="308"/>
    </row>
    <row r="8" spans="1:12">
      <c r="A8" s="182"/>
      <c r="B8" s="311"/>
      <c r="C8" s="1391" t="s">
        <v>866</v>
      </c>
      <c r="D8" s="1392"/>
      <c r="E8" s="1392"/>
      <c r="F8" s="1392"/>
      <c r="G8" s="1392"/>
      <c r="H8" s="1392"/>
      <c r="I8" s="1392"/>
      <c r="J8" s="1392"/>
      <c r="K8" s="1392"/>
      <c r="L8" s="384"/>
    </row>
    <row r="9" spans="1:12">
      <c r="A9" s="1394" t="s">
        <v>867</v>
      </c>
      <c r="B9" s="1395"/>
      <c r="C9" s="1398" t="s">
        <v>868</v>
      </c>
      <c r="D9" s="1399"/>
      <c r="E9" s="1398" t="s">
        <v>869</v>
      </c>
      <c r="F9" s="1399"/>
      <c r="G9" s="1398" t="s">
        <v>870</v>
      </c>
      <c r="H9" s="1399"/>
      <c r="I9" s="1398" t="s">
        <v>871</v>
      </c>
      <c r="J9" s="1399"/>
      <c r="K9" s="1398" t="s">
        <v>535</v>
      </c>
      <c r="L9" s="1399"/>
    </row>
    <row r="10" spans="1:12">
      <c r="A10" s="1396" t="s">
        <v>872</v>
      </c>
      <c r="B10" s="1397"/>
      <c r="C10" s="386" t="s">
        <v>873</v>
      </c>
      <c r="D10" s="388" t="s">
        <v>874</v>
      </c>
      <c r="E10" s="386" t="s">
        <v>873</v>
      </c>
      <c r="F10" s="387" t="s">
        <v>874</v>
      </c>
      <c r="G10" s="388" t="s">
        <v>873</v>
      </c>
      <c r="H10" s="388" t="s">
        <v>874</v>
      </c>
      <c r="I10" s="386" t="s">
        <v>873</v>
      </c>
      <c r="J10" s="388" t="s">
        <v>874</v>
      </c>
      <c r="K10" s="386" t="s">
        <v>873</v>
      </c>
      <c r="L10" s="387" t="s">
        <v>874</v>
      </c>
    </row>
    <row r="11" spans="1:12">
      <c r="A11" s="389" t="s">
        <v>875</v>
      </c>
      <c r="B11" s="390"/>
      <c r="C11" s="391">
        <f>+[3]Consolidado!$D$121</f>
        <v>16</v>
      </c>
      <c r="D11" s="392">
        <f>+[3]Consolidado!$E$121</f>
        <v>2</v>
      </c>
      <c r="E11" s="391">
        <f>+[3]Consolidado!$D$216</f>
        <v>0</v>
      </c>
      <c r="F11" s="392">
        <f>+[3]Consolidado!$E$216</f>
        <v>1</v>
      </c>
      <c r="G11" s="391">
        <f>+[3]Consolidado!$D$311</f>
        <v>0</v>
      </c>
      <c r="H11" s="392">
        <f>+[3]Consolidado!$E$311</f>
        <v>0</v>
      </c>
      <c r="I11" s="391">
        <f>+[3]Consolidado!$D$406</f>
        <v>0</v>
      </c>
      <c r="J11" s="392">
        <f>+[3]Consolidado!$E$406</f>
        <v>0</v>
      </c>
      <c r="K11" s="391">
        <f>+C11+E11+G11+I11</f>
        <v>16</v>
      </c>
      <c r="L11" s="385">
        <f>+D11+F11+H11+J11</f>
        <v>3</v>
      </c>
    </row>
    <row r="12" spans="1:12">
      <c r="A12" s="389" t="s">
        <v>876</v>
      </c>
      <c r="B12" s="390"/>
      <c r="C12" s="391">
        <f>+[3]Consolidado!$F$121</f>
        <v>19</v>
      </c>
      <c r="D12" s="392">
        <f>+[3]Consolidado!$G$121</f>
        <v>2</v>
      </c>
      <c r="E12" s="391">
        <f>+[3]Consolidado!$F$216</f>
        <v>0</v>
      </c>
      <c r="F12" s="392">
        <f>+[3]Consolidado!$G$216</f>
        <v>0</v>
      </c>
      <c r="G12" s="391">
        <f>+[3]Consolidado!$F$311</f>
        <v>0</v>
      </c>
      <c r="H12" s="392">
        <f>+[3]Consolidado!$G$311</f>
        <v>0</v>
      </c>
      <c r="I12" s="391">
        <f>+[3]Consolidado!$F$406</f>
        <v>0</v>
      </c>
      <c r="J12" s="392">
        <f>+[3]Consolidado!$G$406</f>
        <v>0</v>
      </c>
      <c r="K12" s="391">
        <f t="shared" ref="K12:L19" si="0">+C12+E12+G12+I12</f>
        <v>19</v>
      </c>
      <c r="L12" s="385">
        <f t="shared" si="0"/>
        <v>2</v>
      </c>
    </row>
    <row r="13" spans="1:12">
      <c r="A13" s="389" t="s">
        <v>877</v>
      </c>
      <c r="B13" s="390"/>
      <c r="C13" s="391">
        <f>+[3]Consolidado!$H$121</f>
        <v>40</v>
      </c>
      <c r="D13" s="392">
        <f>+[3]Consolidado!$I$121</f>
        <v>5</v>
      </c>
      <c r="E13" s="391">
        <f>+[3]Consolidado!$H$216</f>
        <v>4</v>
      </c>
      <c r="F13" s="392">
        <f>+[3]Consolidado!$I$216</f>
        <v>0</v>
      </c>
      <c r="G13" s="391">
        <f>+[3]Consolidado!$H$311</f>
        <v>0</v>
      </c>
      <c r="H13" s="392">
        <f>+[3]Consolidado!$I$311</f>
        <v>0</v>
      </c>
      <c r="I13" s="391">
        <f>+[3]Consolidado!$H$406</f>
        <v>0</v>
      </c>
      <c r="J13" s="392">
        <f>+[3]Consolidado!$I$406</f>
        <v>0</v>
      </c>
      <c r="K13" s="391">
        <f t="shared" si="0"/>
        <v>44</v>
      </c>
      <c r="L13" s="385">
        <f t="shared" si="0"/>
        <v>5</v>
      </c>
    </row>
    <row r="14" spans="1:12">
      <c r="A14" s="389" t="s">
        <v>878</v>
      </c>
      <c r="B14" s="390"/>
      <c r="C14" s="391">
        <f>+[3]Consolidado!$J$121</f>
        <v>106</v>
      </c>
      <c r="D14" s="392">
        <f>+[3]Consolidado!$K$121</f>
        <v>2</v>
      </c>
      <c r="E14" s="391">
        <f>+[3]Consolidado!$J$216</f>
        <v>47</v>
      </c>
      <c r="F14" s="392">
        <f>+[3]Consolidado!$K$216</f>
        <v>2</v>
      </c>
      <c r="G14" s="391">
        <f>+[3]Consolidado!$J$311</f>
        <v>0</v>
      </c>
      <c r="H14" s="392">
        <f>+[3]Consolidado!$K$311</f>
        <v>0</v>
      </c>
      <c r="I14" s="391">
        <f>+[3]Consolidado!$J$406</f>
        <v>0</v>
      </c>
      <c r="J14" s="392">
        <f>+[3]Consolidado!$K$406</f>
        <v>0</v>
      </c>
      <c r="K14" s="391">
        <f t="shared" si="0"/>
        <v>153</v>
      </c>
      <c r="L14" s="385">
        <f t="shared" si="0"/>
        <v>4</v>
      </c>
    </row>
    <row r="15" spans="1:12">
      <c r="A15" s="389" t="s">
        <v>879</v>
      </c>
      <c r="B15" s="390"/>
      <c r="C15" s="391">
        <f>+[3]Consolidado!$L$121</f>
        <v>385</v>
      </c>
      <c r="D15" s="392">
        <f>+[3]Consolidado!$M$121</f>
        <v>0</v>
      </c>
      <c r="E15" s="391">
        <f>+[3]Consolidado!$L$216</f>
        <v>241</v>
      </c>
      <c r="F15" s="392">
        <f>+[3]Consolidado!$M$216</f>
        <v>1</v>
      </c>
      <c r="G15" s="391">
        <f>+[3]Consolidado!$L$311</f>
        <v>0</v>
      </c>
      <c r="H15" s="392">
        <f>+[3]Consolidado!$M$311</f>
        <v>0</v>
      </c>
      <c r="I15" s="391">
        <f>+[3]Consolidado!$L$406</f>
        <v>7</v>
      </c>
      <c r="J15" s="392">
        <f>+[3]Consolidado!$M$406</f>
        <v>0</v>
      </c>
      <c r="K15" s="391">
        <f t="shared" si="0"/>
        <v>633</v>
      </c>
      <c r="L15" s="385">
        <f t="shared" si="0"/>
        <v>1</v>
      </c>
    </row>
    <row r="16" spans="1:12">
      <c r="A16" s="389" t="s">
        <v>880</v>
      </c>
      <c r="B16" s="390"/>
      <c r="C16" s="391">
        <f>+[3]Consolidado!$N$121</f>
        <v>952</v>
      </c>
      <c r="D16" s="392">
        <f>+[3]Consolidado!$O$121</f>
        <v>0</v>
      </c>
      <c r="E16" s="391">
        <f>+[3]Consolidado!$N$216</f>
        <v>603</v>
      </c>
      <c r="F16" s="392">
        <f>+[3]Consolidado!$O$216</f>
        <v>0</v>
      </c>
      <c r="G16" s="391">
        <f>+[3]Consolidado!$N$311</f>
        <v>2</v>
      </c>
      <c r="H16" s="392">
        <f>+[3]Consolidado!$O$311</f>
        <v>0</v>
      </c>
      <c r="I16" s="391">
        <f>+[3]Consolidado!$N$406</f>
        <v>14</v>
      </c>
      <c r="J16" s="392">
        <f>+[3]Consolidado!$O$406</f>
        <v>0</v>
      </c>
      <c r="K16" s="391">
        <f t="shared" si="0"/>
        <v>1571</v>
      </c>
      <c r="L16" s="385">
        <f t="shared" si="0"/>
        <v>0</v>
      </c>
    </row>
    <row r="17" spans="1:14">
      <c r="A17" s="389" t="s">
        <v>881</v>
      </c>
      <c r="B17" s="390"/>
      <c r="C17" s="391">
        <f>+[3]Consolidado!$P$121</f>
        <v>604</v>
      </c>
      <c r="D17" s="392">
        <f>+[3]Consolidado!$Q$121</f>
        <v>0</v>
      </c>
      <c r="E17" s="391">
        <f>+[3]Consolidado!$P$216</f>
        <v>361</v>
      </c>
      <c r="F17" s="392">
        <f>+[3]Consolidado!$Q$216</f>
        <v>0</v>
      </c>
      <c r="G17" s="391">
        <f>+[3]Consolidado!$P$311</f>
        <v>0</v>
      </c>
      <c r="H17" s="392">
        <f>+[3]Consolidado!$Q$311</f>
        <v>0</v>
      </c>
      <c r="I17" s="391">
        <f>+[3]Consolidado!$P$406</f>
        <v>11</v>
      </c>
      <c r="J17" s="392">
        <f>+[3]Consolidado!$Q$406</f>
        <v>0</v>
      </c>
      <c r="K17" s="391">
        <f t="shared" si="0"/>
        <v>976</v>
      </c>
      <c r="L17" s="385">
        <f t="shared" si="0"/>
        <v>0</v>
      </c>
    </row>
    <row r="18" spans="1:14">
      <c r="A18" s="389" t="s">
        <v>882</v>
      </c>
      <c r="B18" s="390"/>
      <c r="C18" s="391">
        <f>+[3]Consolidado!$R$121</f>
        <v>131</v>
      </c>
      <c r="D18" s="392">
        <f>+[3]Consolidado!$S$121</f>
        <v>0</v>
      </c>
      <c r="E18" s="391">
        <f>+[3]Consolidado!$R$216</f>
        <v>82</v>
      </c>
      <c r="F18" s="392">
        <f>+[3]Consolidado!$S$216</f>
        <v>0</v>
      </c>
      <c r="G18" s="391">
        <f>+[3]Consolidado!$R$311</f>
        <v>0</v>
      </c>
      <c r="H18" s="392">
        <f>+[3]Consolidado!$S$311</f>
        <v>0</v>
      </c>
      <c r="I18" s="391">
        <f>+[3]Consolidado!$R$406</f>
        <v>0</v>
      </c>
      <c r="J18" s="392">
        <f>+[3]Consolidado!$S$406</f>
        <v>0</v>
      </c>
      <c r="K18" s="391">
        <f t="shared" si="0"/>
        <v>213</v>
      </c>
      <c r="L18" s="385">
        <f t="shared" si="0"/>
        <v>0</v>
      </c>
    </row>
    <row r="19" spans="1:14">
      <c r="A19" s="389" t="s">
        <v>883</v>
      </c>
      <c r="B19" s="390"/>
      <c r="C19" s="391">
        <f>+[3]Consolidado!$T$121</f>
        <v>15</v>
      </c>
      <c r="D19" s="392">
        <f>+[3]Consolidado!$U$121</f>
        <v>0</v>
      </c>
      <c r="E19" s="391">
        <f>+[3]Consolidado!$T$216</f>
        <v>14</v>
      </c>
      <c r="F19" s="392">
        <f>+[3]Consolidado!$U$216</f>
        <v>0</v>
      </c>
      <c r="G19" s="391">
        <f>+[3]Consolidado!$T$311</f>
        <v>0</v>
      </c>
      <c r="H19" s="392">
        <f>+[3]Consolidado!$U$311</f>
        <v>0</v>
      </c>
      <c r="I19" s="391">
        <f>+[3]Consolidado!$T$406</f>
        <v>0</v>
      </c>
      <c r="J19" s="392">
        <f>+[3]Consolidado!$U$406</f>
        <v>0</v>
      </c>
      <c r="K19" s="391">
        <f t="shared" si="0"/>
        <v>29</v>
      </c>
      <c r="L19" s="385">
        <f t="shared" si="0"/>
        <v>0</v>
      </c>
    </row>
    <row r="20" spans="1:14">
      <c r="A20" s="393" t="s">
        <v>863</v>
      </c>
      <c r="B20" s="394"/>
      <c r="C20" s="395">
        <f>SUM(C11:C19)</f>
        <v>2268</v>
      </c>
      <c r="D20" s="396">
        <f>SUM(D11:D19)</f>
        <v>11</v>
      </c>
      <c r="E20" s="395">
        <f t="shared" ref="E20:L20" si="1">SUM(E11:E19)</f>
        <v>1352</v>
      </c>
      <c r="F20" s="397">
        <f t="shared" si="1"/>
        <v>4</v>
      </c>
      <c r="G20" s="396">
        <f t="shared" si="1"/>
        <v>2</v>
      </c>
      <c r="H20" s="396">
        <f t="shared" si="1"/>
        <v>0</v>
      </c>
      <c r="I20" s="395">
        <f t="shared" si="1"/>
        <v>32</v>
      </c>
      <c r="J20" s="396">
        <f t="shared" si="1"/>
        <v>0</v>
      </c>
      <c r="K20" s="395">
        <f t="shared" si="1"/>
        <v>3654</v>
      </c>
      <c r="L20" s="387">
        <f t="shared" si="1"/>
        <v>15</v>
      </c>
    </row>
    <row r="21" spans="1:14">
      <c r="A21" s="398"/>
      <c r="B21" s="398"/>
      <c r="C21" s="398"/>
      <c r="D21" s="398"/>
      <c r="E21" s="398"/>
      <c r="F21" s="398"/>
      <c r="G21" s="398"/>
      <c r="H21" s="398"/>
      <c r="I21" s="398"/>
      <c r="J21" s="398"/>
      <c r="K21" s="398"/>
      <c r="L21" s="398"/>
    </row>
    <row r="22" spans="1:14">
      <c r="A22" s="398"/>
      <c r="B22" s="398"/>
      <c r="C22" s="398"/>
      <c r="D22" s="398"/>
      <c r="E22" s="398"/>
      <c r="F22" s="398"/>
      <c r="G22" s="398"/>
      <c r="H22" s="398"/>
      <c r="I22" s="398"/>
      <c r="J22" s="398"/>
      <c r="K22" s="398"/>
      <c r="L22" s="398"/>
    </row>
    <row r="23" spans="1:14">
      <c r="A23" s="399" t="s">
        <v>884</v>
      </c>
      <c r="B23" s="398"/>
      <c r="C23" s="398"/>
      <c r="D23" s="398"/>
      <c r="E23" s="398"/>
      <c r="F23" s="398"/>
      <c r="G23" s="398"/>
      <c r="H23" s="398"/>
      <c r="I23" s="398"/>
      <c r="J23" s="398"/>
      <c r="K23" s="398"/>
      <c r="L23" s="398"/>
    </row>
    <row r="24" spans="1:14">
      <c r="A24" s="398"/>
      <c r="B24" s="398"/>
      <c r="C24" s="398"/>
      <c r="D24" s="398"/>
      <c r="E24" s="398"/>
      <c r="F24" s="398"/>
      <c r="G24" s="398"/>
      <c r="H24" s="398"/>
      <c r="I24" s="398"/>
      <c r="J24" s="398"/>
      <c r="K24" s="398"/>
      <c r="L24" s="398"/>
    </row>
    <row r="25" spans="1:14">
      <c r="A25" s="400" t="s">
        <v>885</v>
      </c>
      <c r="B25" s="401"/>
      <c r="C25" s="402">
        <f>SUM(C26:C29)</f>
        <v>2256</v>
      </c>
      <c r="D25" s="403"/>
      <c r="E25" s="402">
        <f>SUM(E26:E29)</f>
        <v>1342</v>
      </c>
      <c r="F25" s="403"/>
      <c r="G25" s="404">
        <f>SUM(G26:G29)</f>
        <v>2</v>
      </c>
      <c r="H25" s="404"/>
      <c r="I25" s="402">
        <f>SUM(I26:I29)</f>
        <v>32</v>
      </c>
      <c r="J25" s="403"/>
      <c r="K25" s="404">
        <f>SUM(K26:K29)</f>
        <v>3632</v>
      </c>
      <c r="L25" s="405"/>
      <c r="N25" s="118"/>
    </row>
    <row r="26" spans="1:14">
      <c r="A26" s="389" t="s">
        <v>144</v>
      </c>
      <c r="B26" s="406" t="s">
        <v>145</v>
      </c>
      <c r="C26" s="407">
        <f>+[3]Consolidado!$B$128-[3]Consolidado!$L$128</f>
        <v>987</v>
      </c>
      <c r="D26" s="408"/>
      <c r="E26" s="407">
        <f>+[3]Consolidado!$B$223-[3]Consolidado!$L$223</f>
        <v>569</v>
      </c>
      <c r="F26" s="408"/>
      <c r="G26" s="407">
        <f>+[3]Consolidado!$B$318-[3]Consolidado!$L$318</f>
        <v>2</v>
      </c>
      <c r="H26" s="409"/>
      <c r="I26" s="407">
        <f>+[3]Consolidado!$B$413-[3]Consolidado!$L$413</f>
        <v>6</v>
      </c>
      <c r="J26" s="408"/>
      <c r="K26" s="409">
        <f>SUM(C26:I26)</f>
        <v>1564</v>
      </c>
      <c r="L26" s="390"/>
    </row>
    <row r="27" spans="1:14">
      <c r="A27" s="410" t="s">
        <v>886</v>
      </c>
      <c r="B27" s="411" t="s">
        <v>887</v>
      </c>
      <c r="C27" s="407">
        <f>+[3]Consolidado!$B$129+[3]Consolidado!$B$130-[3]Consolidado!$L$129-[3]Consolidado!$L$130</f>
        <v>1246</v>
      </c>
      <c r="D27" s="408"/>
      <c r="E27" s="407">
        <f>+[3]Consolidado!$B$224+[3]Consolidado!$B$225-[3]Consolidado!$L$224-[3]Consolidado!$L$225</f>
        <v>759</v>
      </c>
      <c r="F27" s="408"/>
      <c r="G27" s="407">
        <f>+[3]Consolidado!$B$319+[3]Consolidado!$B$320-[3]Consolidado!$L$319-[3]Consolidado!$L$320</f>
        <v>0</v>
      </c>
      <c r="H27" s="409"/>
      <c r="I27" s="407">
        <f>+[3]Consolidado!$B$414+[3]Consolidado!$B$415-[3]Consolidado!$L$414-[3]Consolidado!$L$415</f>
        <v>26</v>
      </c>
      <c r="J27" s="408"/>
      <c r="K27" s="409">
        <f>SUM(C27:I27)</f>
        <v>2031</v>
      </c>
      <c r="L27" s="390"/>
    </row>
    <row r="28" spans="1:14">
      <c r="A28" s="389" t="s">
        <v>888</v>
      </c>
      <c r="B28" s="412" t="s">
        <v>889</v>
      </c>
      <c r="C28" s="407">
        <f>+[3]Consolidado!$L$128</f>
        <v>3</v>
      </c>
      <c r="D28" s="408"/>
      <c r="E28" s="407">
        <f>+[3]Consolidado!$L$223</f>
        <v>1</v>
      </c>
      <c r="F28" s="408"/>
      <c r="G28" s="407">
        <f>+[3]Consolidado!$L$318</f>
        <v>0</v>
      </c>
      <c r="H28" s="409"/>
      <c r="I28" s="407">
        <f>+[3]Consolidado!$L$413</f>
        <v>0</v>
      </c>
      <c r="J28" s="408"/>
      <c r="K28" s="409">
        <f>SUM(C28:I28)</f>
        <v>4</v>
      </c>
      <c r="L28" s="390"/>
    </row>
    <row r="29" spans="1:14">
      <c r="A29" s="410" t="s">
        <v>890</v>
      </c>
      <c r="B29" s="411" t="s">
        <v>887</v>
      </c>
      <c r="C29" s="413">
        <f>+[3]Consolidado!$L$129+[3]Consolidado!$L$130</f>
        <v>20</v>
      </c>
      <c r="D29" s="414"/>
      <c r="E29" s="413">
        <f>+[3]Consolidado!$L$224+[3]Consolidado!$L$225</f>
        <v>13</v>
      </c>
      <c r="F29" s="414"/>
      <c r="G29" s="413">
        <f>+[3]Consolidado!$L$319+[3]Consolidado!$L$320</f>
        <v>0</v>
      </c>
      <c r="H29" s="415"/>
      <c r="I29" s="413">
        <f>+[3]Consolidado!$L$414+[3]Consolidado!$L$415</f>
        <v>0</v>
      </c>
      <c r="J29" s="414"/>
      <c r="K29" s="415">
        <f>SUM(C29:I29)</f>
        <v>33</v>
      </c>
      <c r="L29" s="394"/>
    </row>
    <row r="30" spans="1:14">
      <c r="A30" s="400" t="s">
        <v>891</v>
      </c>
      <c r="B30" s="405"/>
      <c r="C30" s="402">
        <f>SUM(C31:C32)</f>
        <v>2256</v>
      </c>
      <c r="D30" s="403"/>
      <c r="E30" s="404">
        <f>SUM(E31:E32)</f>
        <v>1342</v>
      </c>
      <c r="F30" s="403"/>
      <c r="G30" s="402">
        <f>SUM(G31:G32)</f>
        <v>2</v>
      </c>
      <c r="H30" s="403"/>
      <c r="I30" s="404">
        <f>SUM(I31:I32)</f>
        <v>32</v>
      </c>
      <c r="J30" s="403"/>
      <c r="K30" s="404">
        <f>SUM(K31:K32)</f>
        <v>3632</v>
      </c>
      <c r="L30" s="405"/>
    </row>
    <row r="31" spans="1:14">
      <c r="A31" s="389" t="s">
        <v>892</v>
      </c>
      <c r="B31" s="390"/>
      <c r="C31" s="407">
        <f>+[3]Consolidado!$F$127</f>
        <v>2045</v>
      </c>
      <c r="D31" s="408"/>
      <c r="E31" s="409">
        <f>+[3]Consolidado!$F$222</f>
        <v>1248</v>
      </c>
      <c r="F31" s="408"/>
      <c r="G31" s="407">
        <f>+[3]Consolidado!$F$317</f>
        <v>2</v>
      </c>
      <c r="H31" s="408"/>
      <c r="I31" s="409">
        <f>+[3]Consolidado!$F$412</f>
        <v>32</v>
      </c>
      <c r="J31" s="408"/>
      <c r="K31" s="409">
        <f>SUM(C31:I31)</f>
        <v>3327</v>
      </c>
      <c r="L31" s="390"/>
    </row>
    <row r="32" spans="1:14">
      <c r="A32" s="393" t="s">
        <v>893</v>
      </c>
      <c r="B32" s="394"/>
      <c r="C32" s="413">
        <f>+[3]Consolidado!$D$127</f>
        <v>211</v>
      </c>
      <c r="D32" s="414"/>
      <c r="E32" s="415">
        <f>+[3]Consolidado!$D$222</f>
        <v>94</v>
      </c>
      <c r="F32" s="414"/>
      <c r="G32" s="413">
        <f>+[3]Consolidado!$D$317</f>
        <v>0</v>
      </c>
      <c r="H32" s="414"/>
      <c r="I32" s="415">
        <f>+[3]Consolidado!$D$412</f>
        <v>0</v>
      </c>
      <c r="J32" s="414"/>
      <c r="K32" s="415">
        <f>SUM(C32:I32)</f>
        <v>305</v>
      </c>
      <c r="L32" s="394"/>
    </row>
    <row r="33" spans="1:12">
      <c r="A33" s="400" t="s">
        <v>894</v>
      </c>
      <c r="B33" s="405"/>
      <c r="C33" s="404">
        <f>SUM(C34:C36)</f>
        <v>2256</v>
      </c>
      <c r="D33" s="404"/>
      <c r="E33" s="402">
        <f>SUM(E34:E36)</f>
        <v>1342</v>
      </c>
      <c r="F33" s="403"/>
      <c r="G33" s="404">
        <f>SUM(G34:G36)</f>
        <v>2</v>
      </c>
      <c r="H33" s="404"/>
      <c r="I33" s="402">
        <f>SUM(I34:I36)</f>
        <v>32</v>
      </c>
      <c r="J33" s="403"/>
      <c r="K33" s="404">
        <f>SUM(K34:K36)</f>
        <v>3632</v>
      </c>
      <c r="L33" s="405"/>
    </row>
    <row r="34" spans="1:12">
      <c r="A34" s="389" t="s">
        <v>895</v>
      </c>
      <c r="B34" s="390"/>
      <c r="C34" s="409">
        <f>+[3]Consolidado!$F$137</f>
        <v>1377</v>
      </c>
      <c r="D34" s="409"/>
      <c r="E34" s="407">
        <f>+[3]Consolidado!$F$232</f>
        <v>897</v>
      </c>
      <c r="F34" s="408"/>
      <c r="G34" s="409">
        <f>+[3]Consolidado!$F$327</f>
        <v>0</v>
      </c>
      <c r="H34" s="409"/>
      <c r="I34" s="407">
        <f>+[3]Consolidado!$F$422</f>
        <v>32</v>
      </c>
      <c r="J34" s="408"/>
      <c r="K34" s="409">
        <f>SUM(C34:I34)</f>
        <v>2306</v>
      </c>
      <c r="L34" s="390"/>
    </row>
    <row r="35" spans="1:12">
      <c r="A35" s="389" t="s">
        <v>896</v>
      </c>
      <c r="B35" s="390"/>
      <c r="C35" s="409">
        <f>+[3]Consolidado!$G$137</f>
        <v>879</v>
      </c>
      <c r="D35" s="409"/>
      <c r="E35" s="407">
        <f>+[3]Consolidado!$G$232</f>
        <v>444</v>
      </c>
      <c r="F35" s="408"/>
      <c r="G35" s="409">
        <f>+[3]Consolidado!$G$327</f>
        <v>1</v>
      </c>
      <c r="H35" s="409"/>
      <c r="I35" s="407">
        <f>+[3]Consolidado!$G$422</f>
        <v>0</v>
      </c>
      <c r="J35" s="408"/>
      <c r="K35" s="409">
        <f>SUM(C35:I35)</f>
        <v>1324</v>
      </c>
      <c r="L35" s="390"/>
    </row>
    <row r="36" spans="1:12">
      <c r="A36" s="416" t="s">
        <v>146</v>
      </c>
      <c r="B36" s="394"/>
      <c r="C36" s="415">
        <f>+[3]Consolidado!$H$137</f>
        <v>0</v>
      </c>
      <c r="D36" s="415"/>
      <c r="E36" s="413">
        <f>+[3]Consolidado!$H$232</f>
        <v>1</v>
      </c>
      <c r="F36" s="414"/>
      <c r="G36" s="415">
        <f>+[3]Consolidado!$H$327</f>
        <v>1</v>
      </c>
      <c r="H36" s="415"/>
      <c r="I36" s="413">
        <f>+[3]Consolidado!$H$422</f>
        <v>0</v>
      </c>
      <c r="J36" s="414"/>
      <c r="K36" s="415">
        <f>SUM(C36:I36)</f>
        <v>2</v>
      </c>
      <c r="L36" s="394"/>
    </row>
    <row r="37" spans="1:12">
      <c r="A37" s="389" t="s">
        <v>897</v>
      </c>
      <c r="B37" s="390"/>
      <c r="C37" s="402">
        <f>SUM(C38:C40)</f>
        <v>2256</v>
      </c>
      <c r="D37" s="404"/>
      <c r="E37" s="402">
        <f>SUM(E38:E40)</f>
        <v>1342</v>
      </c>
      <c r="F37" s="403"/>
      <c r="G37" s="404">
        <f>SUM(G38:G40)</f>
        <v>2</v>
      </c>
      <c r="H37" s="404"/>
      <c r="I37" s="402">
        <f>SUM(I38:I40)</f>
        <v>32</v>
      </c>
      <c r="J37" s="403"/>
      <c r="K37" s="409">
        <f>SUM(K38:K40)</f>
        <v>3632</v>
      </c>
      <c r="L37" s="390"/>
    </row>
    <row r="38" spans="1:12">
      <c r="A38" s="389" t="s">
        <v>898</v>
      </c>
      <c r="B38" s="390"/>
      <c r="C38" s="407">
        <f>+[3]Consolidado!$B128</f>
        <v>990</v>
      </c>
      <c r="D38" s="409"/>
      <c r="E38" s="407">
        <f>+[3]Consolidado!$B223</f>
        <v>570</v>
      </c>
      <c r="F38" s="408"/>
      <c r="G38" s="409">
        <f>+[3]Consolidado!$B318</f>
        <v>2</v>
      </c>
      <c r="H38" s="409"/>
      <c r="I38" s="407">
        <f>+[3]Consolidado!$B413</f>
        <v>6</v>
      </c>
      <c r="J38" s="408"/>
      <c r="K38" s="409">
        <f>SUM(C38:I38)</f>
        <v>1568</v>
      </c>
      <c r="L38" s="390"/>
    </row>
    <row r="39" spans="1:12">
      <c r="A39" s="389" t="s">
        <v>899</v>
      </c>
      <c r="B39" s="390"/>
      <c r="C39" s="407">
        <f>+[3]Consolidado!$B129</f>
        <v>16</v>
      </c>
      <c r="D39" s="409"/>
      <c r="E39" s="407">
        <f>+[3]Consolidado!$B224</f>
        <v>32</v>
      </c>
      <c r="F39" s="408"/>
      <c r="G39" s="409">
        <f>+[3]Consolidado!$B319</f>
        <v>0</v>
      </c>
      <c r="H39" s="409"/>
      <c r="I39" s="407">
        <f>+[3]Consolidado!$B414</f>
        <v>0</v>
      </c>
      <c r="J39" s="408"/>
      <c r="K39" s="409">
        <f>SUM(C39:I39)</f>
        <v>48</v>
      </c>
      <c r="L39" s="390"/>
    </row>
    <row r="40" spans="1:12">
      <c r="A40" s="393" t="s">
        <v>900</v>
      </c>
      <c r="B40" s="394"/>
      <c r="C40" s="413">
        <f>+[3]Consolidado!$B130</f>
        <v>1250</v>
      </c>
      <c r="D40" s="415"/>
      <c r="E40" s="413">
        <f>+[3]Consolidado!$B225</f>
        <v>740</v>
      </c>
      <c r="F40" s="414"/>
      <c r="G40" s="415">
        <f>+[3]Consolidado!$B320</f>
        <v>0</v>
      </c>
      <c r="H40" s="415"/>
      <c r="I40" s="413">
        <f>+[3]Consolidado!$B415</f>
        <v>26</v>
      </c>
      <c r="J40" s="414"/>
      <c r="K40" s="415">
        <f>SUM(C40:I40)</f>
        <v>2016</v>
      </c>
      <c r="L40" s="394"/>
    </row>
    <row r="41" spans="1:12">
      <c r="A41" s="398"/>
      <c r="B41" s="398"/>
      <c r="C41" s="398"/>
      <c r="D41" s="398"/>
      <c r="E41" s="398"/>
      <c r="F41" s="398"/>
      <c r="G41" s="398"/>
      <c r="H41" s="398"/>
      <c r="I41" s="398"/>
      <c r="J41" s="398"/>
      <c r="K41" s="398"/>
      <c r="L41" s="398"/>
    </row>
    <row r="42" spans="1:12">
      <c r="A42" s="398"/>
      <c r="B42" s="398"/>
      <c r="C42" s="398"/>
      <c r="D42" s="398"/>
      <c r="E42" s="398"/>
      <c r="F42" s="398"/>
      <c r="G42" s="398"/>
      <c r="H42" s="398"/>
      <c r="I42" s="398"/>
      <c r="J42" s="398"/>
      <c r="K42" s="398"/>
      <c r="L42" s="398"/>
    </row>
    <row r="43" spans="1:12">
      <c r="A43" s="399" t="s">
        <v>901</v>
      </c>
      <c r="B43" s="398"/>
      <c r="C43" s="398"/>
      <c r="D43" s="398"/>
      <c r="E43" s="398"/>
      <c r="F43" s="398"/>
      <c r="G43" s="398"/>
      <c r="H43" s="398"/>
      <c r="I43" s="398"/>
      <c r="J43" s="398"/>
      <c r="K43" s="398"/>
      <c r="L43" s="398"/>
    </row>
    <row r="44" spans="1:12">
      <c r="A44" s="398"/>
      <c r="B44" s="398"/>
      <c r="C44" s="398"/>
      <c r="D44" s="398"/>
      <c r="E44" s="398"/>
      <c r="F44" s="398"/>
      <c r="G44" s="398"/>
      <c r="H44" s="398"/>
      <c r="I44" s="398"/>
      <c r="J44" s="398"/>
      <c r="K44" s="398"/>
      <c r="L44" s="398"/>
    </row>
    <row r="45" spans="1:12">
      <c r="A45" s="417" t="s">
        <v>866</v>
      </c>
      <c r="B45" s="417"/>
      <c r="C45" s="418">
        <v>-15</v>
      </c>
      <c r="D45" s="418" t="s">
        <v>771</v>
      </c>
      <c r="E45" s="418" t="s">
        <v>772</v>
      </c>
      <c r="F45" s="418" t="s">
        <v>773</v>
      </c>
      <c r="G45" s="418" t="s">
        <v>774</v>
      </c>
      <c r="H45" s="418" t="s">
        <v>775</v>
      </c>
      <c r="I45" s="418" t="s">
        <v>776</v>
      </c>
      <c r="J45" s="418" t="s">
        <v>902</v>
      </c>
      <c r="K45" s="418" t="s">
        <v>535</v>
      </c>
      <c r="L45" s="398"/>
    </row>
    <row r="46" spans="1:12">
      <c r="A46" s="417" t="s">
        <v>903</v>
      </c>
      <c r="B46" s="417"/>
      <c r="C46" s="418">
        <f>+[3]Consolidado!C$102</f>
        <v>16</v>
      </c>
      <c r="D46" s="418">
        <f>+[3]Consolidado!D$102</f>
        <v>309</v>
      </c>
      <c r="E46" s="418">
        <f>+[3]Consolidado!E$102</f>
        <v>581</v>
      </c>
      <c r="F46" s="418">
        <f>+[3]Consolidado!F$102</f>
        <v>555</v>
      </c>
      <c r="G46" s="418">
        <f>+[3]Consolidado!G$102</f>
        <v>494</v>
      </c>
      <c r="H46" s="418">
        <f>+[3]Consolidado!H$102</f>
        <v>236</v>
      </c>
      <c r="I46" s="418">
        <f>+[3]Consolidado!I$102</f>
        <v>63</v>
      </c>
      <c r="J46" s="418">
        <f>+[3]Consolidado!J$102</f>
        <v>2</v>
      </c>
      <c r="K46" s="419">
        <f>SUM(C46:J46)</f>
        <v>2256</v>
      </c>
      <c r="L46" s="398"/>
    </row>
    <row r="47" spans="1:12">
      <c r="A47" s="417" t="s">
        <v>904</v>
      </c>
      <c r="B47" s="417"/>
      <c r="C47" s="418">
        <f>+[3]Consolidado!C$197</f>
        <v>7</v>
      </c>
      <c r="D47" s="418">
        <f>+[3]Consolidado!D$197</f>
        <v>180</v>
      </c>
      <c r="E47" s="418">
        <f>+[3]Consolidado!E$197</f>
        <v>354</v>
      </c>
      <c r="F47" s="418">
        <f>+[3]Consolidado!F$197</f>
        <v>341</v>
      </c>
      <c r="G47" s="418">
        <f>+[3]Consolidado!G$197</f>
        <v>271</v>
      </c>
      <c r="H47" s="418">
        <f>+[3]Consolidado!H$197</f>
        <v>141</v>
      </c>
      <c r="I47" s="418">
        <f>+[3]Consolidado!I$197</f>
        <v>44</v>
      </c>
      <c r="J47" s="418">
        <f>+[3]Consolidado!J$197</f>
        <v>4</v>
      </c>
      <c r="K47" s="419">
        <f>SUM(C47:J47)</f>
        <v>1342</v>
      </c>
      <c r="L47" s="398"/>
    </row>
    <row r="48" spans="1:12">
      <c r="A48" s="417" t="s">
        <v>905</v>
      </c>
      <c r="B48" s="417"/>
      <c r="C48" s="418">
        <f>+[3]Consolidado!C$292</f>
        <v>0</v>
      </c>
      <c r="D48" s="418">
        <f>+[3]Consolidado!D$292</f>
        <v>0</v>
      </c>
      <c r="E48" s="418">
        <f>+[3]Consolidado!E$292</f>
        <v>1</v>
      </c>
      <c r="F48" s="418">
        <f>+[3]Consolidado!F$292</f>
        <v>0</v>
      </c>
      <c r="G48" s="418">
        <f>+[3]Consolidado!G$292</f>
        <v>1</v>
      </c>
      <c r="H48" s="418">
        <f>+[3]Consolidado!H$292</f>
        <v>0</v>
      </c>
      <c r="I48" s="418">
        <f>+[3]Consolidado!I$292</f>
        <v>0</v>
      </c>
      <c r="J48" s="418">
        <f>+[3]Consolidado!J$292</f>
        <v>0</v>
      </c>
      <c r="K48" s="419">
        <f>SUM(C48:J48)</f>
        <v>2</v>
      </c>
      <c r="L48" s="398"/>
    </row>
    <row r="49" spans="1:12">
      <c r="A49" s="417" t="s">
        <v>906</v>
      </c>
      <c r="B49" s="417"/>
      <c r="C49" s="418">
        <f>+[3]Consolidado!C$387</f>
        <v>0</v>
      </c>
      <c r="D49" s="418">
        <f>+[3]Consolidado!D$387</f>
        <v>2</v>
      </c>
      <c r="E49" s="418">
        <f>+[3]Consolidado!E$387</f>
        <v>5</v>
      </c>
      <c r="F49" s="418">
        <f>+[3]Consolidado!F$387</f>
        <v>11</v>
      </c>
      <c r="G49" s="418">
        <f>+[3]Consolidado!G$387</f>
        <v>6</v>
      </c>
      <c r="H49" s="418">
        <f>+[3]Consolidado!H$387</f>
        <v>7</v>
      </c>
      <c r="I49" s="418">
        <f>+[3]Consolidado!I$387</f>
        <v>1</v>
      </c>
      <c r="J49" s="418">
        <f>+[3]Consolidado!J$387</f>
        <v>0</v>
      </c>
      <c r="K49" s="419">
        <f>SUM(C49:J49)</f>
        <v>32</v>
      </c>
      <c r="L49" s="398"/>
    </row>
    <row r="50" spans="1:12">
      <c r="A50" s="417" t="s">
        <v>535</v>
      </c>
      <c r="B50" s="417"/>
      <c r="C50" s="418">
        <f>SUM(C46:C49)</f>
        <v>23</v>
      </c>
      <c r="D50" s="418">
        <f t="shared" ref="D50:K50" si="2">SUM(D46:D49)</f>
        <v>491</v>
      </c>
      <c r="E50" s="418">
        <f t="shared" si="2"/>
        <v>941</v>
      </c>
      <c r="F50" s="418">
        <f t="shared" si="2"/>
        <v>907</v>
      </c>
      <c r="G50" s="418">
        <f t="shared" si="2"/>
        <v>772</v>
      </c>
      <c r="H50" s="418">
        <f t="shared" si="2"/>
        <v>384</v>
      </c>
      <c r="I50" s="418">
        <f t="shared" si="2"/>
        <v>108</v>
      </c>
      <c r="J50" s="418">
        <f t="shared" si="2"/>
        <v>6</v>
      </c>
      <c r="K50" s="419">
        <f t="shared" si="2"/>
        <v>3632</v>
      </c>
      <c r="L50" s="398"/>
    </row>
    <row r="51" spans="1:12">
      <c r="A51" s="398"/>
      <c r="B51" s="398"/>
      <c r="C51" s="398"/>
      <c r="D51" s="398"/>
      <c r="E51" s="398"/>
      <c r="F51" s="398"/>
      <c r="G51" s="398"/>
      <c r="H51" s="398"/>
      <c r="I51" s="398"/>
      <c r="J51" s="398"/>
      <c r="K51" s="398"/>
      <c r="L51" s="398"/>
    </row>
    <row r="52" spans="1:12">
      <c r="A52" s="398"/>
      <c r="B52" s="398"/>
      <c r="C52" s="398"/>
      <c r="D52" s="398"/>
      <c r="E52" s="398"/>
      <c r="F52" s="398"/>
      <c r="G52" s="398"/>
      <c r="H52" s="398"/>
      <c r="I52" s="398"/>
      <c r="J52" s="398"/>
      <c r="K52" s="398"/>
      <c r="L52" s="398"/>
    </row>
    <row r="53" spans="1:12">
      <c r="A53" s="399" t="s">
        <v>907</v>
      </c>
      <c r="B53" s="398"/>
      <c r="C53" s="398"/>
      <c r="D53" s="398"/>
      <c r="E53" s="398"/>
      <c r="F53" s="398"/>
      <c r="G53" s="398"/>
      <c r="H53" s="398"/>
      <c r="I53" s="398"/>
      <c r="J53" s="398"/>
      <c r="K53" s="398"/>
      <c r="L53" s="398"/>
    </row>
    <row r="54" spans="1:12">
      <c r="A54" s="398"/>
      <c r="B54" s="398"/>
      <c r="C54" s="398"/>
      <c r="D54" s="398"/>
      <c r="E54" s="398"/>
      <c r="F54" s="398"/>
      <c r="G54" s="398"/>
      <c r="H54" s="398"/>
      <c r="I54" s="398"/>
      <c r="J54" s="398"/>
      <c r="K54" s="398"/>
      <c r="L54" s="398"/>
    </row>
    <row r="55" spans="1:12">
      <c r="A55" s="417" t="s">
        <v>866</v>
      </c>
      <c r="B55" s="417"/>
      <c r="C55" s="418">
        <v>-15</v>
      </c>
      <c r="D55" s="418" t="s">
        <v>771</v>
      </c>
      <c r="E55" s="418" t="s">
        <v>772</v>
      </c>
      <c r="F55" s="418" t="s">
        <v>773</v>
      </c>
      <c r="G55" s="418" t="s">
        <v>774</v>
      </c>
      <c r="H55" s="418" t="s">
        <v>775</v>
      </c>
      <c r="I55" s="418" t="s">
        <v>776</v>
      </c>
      <c r="J55" s="418" t="s">
        <v>902</v>
      </c>
      <c r="K55" s="418" t="s">
        <v>535</v>
      </c>
      <c r="L55" s="398"/>
    </row>
    <row r="56" spans="1:12">
      <c r="A56" s="417" t="s">
        <v>908</v>
      </c>
      <c r="B56" s="417"/>
      <c r="C56" s="418">
        <f>+[3]Consolidado!C$103</f>
        <v>2</v>
      </c>
      <c r="D56" s="418">
        <f>+[3]Consolidado!D$103</f>
        <v>5</v>
      </c>
      <c r="E56" s="418">
        <f>+[3]Consolidado!E$103</f>
        <v>18</v>
      </c>
      <c r="F56" s="418">
        <f>+[3]Consolidado!F$103</f>
        <v>24</v>
      </c>
      <c r="G56" s="418">
        <f>+[3]Consolidado!G$103</f>
        <v>33</v>
      </c>
      <c r="H56" s="418">
        <f>+[3]Consolidado!H$103</f>
        <v>17</v>
      </c>
      <c r="I56" s="418">
        <f>+[3]Consolidado!I$103</f>
        <v>12</v>
      </c>
      <c r="J56" s="418">
        <f>+[3]Consolidado!J$103</f>
        <v>2</v>
      </c>
      <c r="K56" s="418">
        <f>SUM(C56:J56)</f>
        <v>113</v>
      </c>
      <c r="L56" s="398"/>
    </row>
    <row r="57" spans="1:12">
      <c r="A57" s="417" t="s">
        <v>904</v>
      </c>
      <c r="B57" s="417"/>
      <c r="C57" s="418">
        <f>+[3]Consolidado!C$198</f>
        <v>0</v>
      </c>
      <c r="D57" s="418">
        <f>+[3]Consolidado!D$198</f>
        <v>18</v>
      </c>
      <c r="E57" s="418">
        <f>+[3]Consolidado!E$198</f>
        <v>52</v>
      </c>
      <c r="F57" s="418">
        <f>+[3]Consolidado!F$198</f>
        <v>59</v>
      </c>
      <c r="G57" s="418">
        <f>+[3]Consolidado!G$198</f>
        <v>34</v>
      </c>
      <c r="H57" s="418">
        <f>+[3]Consolidado!H$198</f>
        <v>34</v>
      </c>
      <c r="I57" s="418">
        <f>+[3]Consolidado!I$198</f>
        <v>22</v>
      </c>
      <c r="J57" s="418">
        <f>+[3]Consolidado!J$198</f>
        <v>2</v>
      </c>
      <c r="K57" s="418">
        <f>SUM(C57:J57)</f>
        <v>221</v>
      </c>
      <c r="L57" s="398"/>
    </row>
    <row r="58" spans="1:12">
      <c r="A58" s="417" t="s">
        <v>905</v>
      </c>
      <c r="B58" s="417"/>
      <c r="C58" s="418">
        <f>+[3]Consolidado!C$293</f>
        <v>0</v>
      </c>
      <c r="D58" s="418">
        <f>+[3]Consolidado!D$293</f>
        <v>0</v>
      </c>
      <c r="E58" s="418">
        <f>+[3]Consolidado!E$293</f>
        <v>0</v>
      </c>
      <c r="F58" s="418">
        <f>+[3]Consolidado!F$293</f>
        <v>0</v>
      </c>
      <c r="G58" s="418">
        <f>+[3]Consolidado!G$293</f>
        <v>0</v>
      </c>
      <c r="H58" s="418">
        <f>+[3]Consolidado!H$293</f>
        <v>0</v>
      </c>
      <c r="I58" s="418">
        <f>+[3]Consolidado!I$293</f>
        <v>0</v>
      </c>
      <c r="J58" s="418">
        <f>+[3]Consolidado!J$293</f>
        <v>0</v>
      </c>
      <c r="K58" s="418">
        <f>SUM(C58:J58)</f>
        <v>0</v>
      </c>
      <c r="L58" s="398"/>
    </row>
    <row r="59" spans="1:12">
      <c r="A59" s="420" t="s">
        <v>906</v>
      </c>
      <c r="B59" s="420"/>
      <c r="C59" s="418">
        <f>+[3]Consolidado!C$388</f>
        <v>0</v>
      </c>
      <c r="D59" s="418">
        <f>+[3]Consolidado!D$388</f>
        <v>0</v>
      </c>
      <c r="E59" s="418">
        <f>+[3]Consolidado!E$388</f>
        <v>0</v>
      </c>
      <c r="F59" s="418">
        <f>+[3]Consolidado!F$388</f>
        <v>0</v>
      </c>
      <c r="G59" s="418">
        <f>+[3]Consolidado!G$388</f>
        <v>0</v>
      </c>
      <c r="H59" s="418">
        <f>+[3]Consolidado!H$388</f>
        <v>0</v>
      </c>
      <c r="I59" s="418">
        <f>+[3]Consolidado!I$388</f>
        <v>0</v>
      </c>
      <c r="J59" s="418">
        <f>+[3]Consolidado!J$388</f>
        <v>0</v>
      </c>
      <c r="K59" s="418">
        <f>SUM(C59:J59)</f>
        <v>0</v>
      </c>
      <c r="L59" s="398"/>
    </row>
    <row r="60" spans="1:12">
      <c r="A60" s="421" t="s">
        <v>535</v>
      </c>
      <c r="B60" s="422"/>
      <c r="C60" s="418">
        <f>SUM(C56:C59)</f>
        <v>2</v>
      </c>
      <c r="D60" s="418">
        <f t="shared" ref="D60:K60" si="3">SUM(D56:D59)</f>
        <v>23</v>
      </c>
      <c r="E60" s="418">
        <f t="shared" si="3"/>
        <v>70</v>
      </c>
      <c r="F60" s="418">
        <f t="shared" si="3"/>
        <v>83</v>
      </c>
      <c r="G60" s="418">
        <f t="shared" si="3"/>
        <v>67</v>
      </c>
      <c r="H60" s="418">
        <f t="shared" si="3"/>
        <v>51</v>
      </c>
      <c r="I60" s="418">
        <f t="shared" si="3"/>
        <v>34</v>
      </c>
      <c r="J60" s="418">
        <f t="shared" si="3"/>
        <v>4</v>
      </c>
      <c r="K60" s="418">
        <f t="shared" si="3"/>
        <v>334</v>
      </c>
      <c r="L60" s="398"/>
    </row>
    <row r="61" spans="1:12">
      <c r="A61" s="398"/>
      <c r="B61" s="398"/>
      <c r="C61" s="398"/>
      <c r="D61" s="398"/>
      <c r="E61" s="398"/>
      <c r="F61" s="398"/>
      <c r="G61" s="398"/>
      <c r="H61" s="398"/>
      <c r="I61" s="398"/>
      <c r="J61" s="398"/>
      <c r="K61" s="398"/>
      <c r="L61" s="398"/>
    </row>
    <row r="62" spans="1:12">
      <c r="A62" s="398"/>
      <c r="B62" s="398"/>
      <c r="C62" s="398"/>
      <c r="D62" s="398"/>
      <c r="E62" s="398"/>
      <c r="F62" s="398"/>
      <c r="G62" s="398"/>
      <c r="H62" s="398"/>
      <c r="I62" s="398"/>
      <c r="J62" s="398"/>
      <c r="K62" s="398"/>
      <c r="L62" s="398"/>
    </row>
    <row r="63" spans="1:12">
      <c r="A63" s="398"/>
      <c r="B63" s="398"/>
      <c r="C63" s="398"/>
      <c r="D63" s="398"/>
      <c r="E63" s="398"/>
      <c r="F63" s="398"/>
      <c r="G63" s="398"/>
      <c r="H63" s="398"/>
      <c r="I63" s="398"/>
      <c r="J63" s="398"/>
      <c r="K63" s="398"/>
      <c r="L63" s="398"/>
    </row>
    <row r="64" spans="1:12">
      <c r="A64" s="398"/>
      <c r="B64" s="398"/>
      <c r="C64" s="398"/>
      <c r="D64" s="398"/>
      <c r="E64" s="398"/>
      <c r="F64" s="398"/>
      <c r="G64" s="398"/>
      <c r="H64" s="398"/>
      <c r="I64" s="398"/>
      <c r="J64" s="398"/>
      <c r="K64" s="398"/>
      <c r="L64" s="398"/>
    </row>
    <row r="65" spans="1:12">
      <c r="A65" s="398"/>
      <c r="B65" s="398"/>
      <c r="C65" s="398"/>
      <c r="D65" s="398"/>
      <c r="E65" s="398"/>
      <c r="F65" s="398"/>
      <c r="G65" s="398"/>
      <c r="H65" s="398"/>
      <c r="I65" s="398"/>
      <c r="J65" s="398"/>
      <c r="K65" s="398"/>
      <c r="L65" s="398"/>
    </row>
    <row r="66" spans="1:12">
      <c r="A66" s="398"/>
      <c r="B66" s="398"/>
      <c r="C66" s="398"/>
      <c r="D66" s="398"/>
      <c r="E66" s="398"/>
      <c r="F66" s="398"/>
      <c r="G66" s="398"/>
      <c r="H66" s="398"/>
      <c r="I66" s="398"/>
      <c r="J66" s="398"/>
      <c r="K66" s="398"/>
      <c r="L66" s="398"/>
    </row>
    <row r="67" spans="1:12">
      <c r="A67" s="398"/>
      <c r="B67" s="398"/>
      <c r="C67" s="398"/>
      <c r="D67" s="398"/>
      <c r="E67" s="398"/>
      <c r="F67" s="398"/>
      <c r="G67" s="398"/>
      <c r="H67" s="398"/>
      <c r="I67" s="398"/>
      <c r="J67" s="398"/>
      <c r="K67" s="398"/>
      <c r="L67" s="398"/>
    </row>
    <row r="68" spans="1:12">
      <c r="A68" s="398"/>
      <c r="B68" s="398"/>
      <c r="C68" s="398"/>
      <c r="D68" s="398"/>
      <c r="E68" s="398"/>
      <c r="F68" s="398"/>
      <c r="G68" s="398"/>
      <c r="H68" s="398"/>
      <c r="I68" s="398"/>
      <c r="J68" s="398"/>
      <c r="K68" s="398"/>
      <c r="L68" s="398"/>
    </row>
    <row r="69" spans="1:12">
      <c r="A69" s="398"/>
      <c r="B69" s="398"/>
      <c r="C69" s="398"/>
      <c r="D69" s="398"/>
      <c r="E69" s="398"/>
      <c r="F69" s="398"/>
      <c r="G69" s="398"/>
      <c r="H69" s="398"/>
      <c r="I69" s="398"/>
      <c r="J69" s="398"/>
      <c r="K69" s="398"/>
      <c r="L69" s="398"/>
    </row>
    <row r="70" spans="1:12">
      <c r="A70" s="398"/>
      <c r="B70" s="398"/>
      <c r="C70" s="398"/>
      <c r="D70" s="398"/>
      <c r="E70" s="398"/>
      <c r="F70" s="398"/>
      <c r="G70" s="398"/>
      <c r="H70" s="398"/>
      <c r="I70" s="398"/>
      <c r="J70" s="398"/>
      <c r="K70" s="398"/>
      <c r="L70" s="398"/>
    </row>
    <row r="71" spans="1:12">
      <c r="A71" s="398"/>
      <c r="B71" s="398"/>
      <c r="C71" s="398"/>
      <c r="D71" s="398"/>
      <c r="E71" s="398"/>
      <c r="F71" s="398"/>
      <c r="G71" s="398"/>
      <c r="H71" s="398"/>
      <c r="I71" s="398"/>
      <c r="J71" s="398"/>
      <c r="K71" s="398"/>
      <c r="L71" s="398"/>
    </row>
    <row r="72" spans="1:12">
      <c r="A72" s="398"/>
      <c r="B72" s="398"/>
      <c r="C72" s="398"/>
      <c r="D72" s="398"/>
      <c r="E72" s="398"/>
      <c r="F72" s="398"/>
      <c r="G72" s="398"/>
      <c r="H72" s="398"/>
      <c r="I72" s="398"/>
      <c r="J72" s="398"/>
      <c r="K72" s="398"/>
      <c r="L72" s="398"/>
    </row>
    <row r="73" spans="1:12">
      <c r="A73" s="398"/>
      <c r="B73" s="1393" t="s">
        <v>909</v>
      </c>
      <c r="C73" s="1393"/>
      <c r="D73" s="1393"/>
      <c r="E73" s="1393"/>
      <c r="F73" s="1393"/>
      <c r="G73" s="1393"/>
      <c r="H73" s="1393"/>
      <c r="I73" s="1393"/>
      <c r="J73" s="1393"/>
      <c r="K73" s="1393"/>
      <c r="L73" s="398"/>
    </row>
    <row r="74" spans="1:12">
      <c r="A74" s="398"/>
      <c r="B74" s="1393" t="s">
        <v>910</v>
      </c>
      <c r="C74" s="1393"/>
      <c r="D74" s="1393"/>
      <c r="E74" s="1393"/>
      <c r="F74" s="1393"/>
      <c r="G74" s="1393"/>
      <c r="H74" s="1393"/>
      <c r="I74" s="1393"/>
      <c r="J74" s="1393"/>
      <c r="K74" s="1393"/>
      <c r="L74" s="398"/>
    </row>
    <row r="75" spans="1:12">
      <c r="A75" s="398"/>
      <c r="B75" s="1393" t="s">
        <v>1411</v>
      </c>
      <c r="C75" s="1393"/>
      <c r="D75" s="1393"/>
      <c r="E75" s="1393"/>
      <c r="F75" s="1393"/>
      <c r="G75" s="1393"/>
      <c r="H75" s="1393"/>
      <c r="I75" s="1393"/>
      <c r="J75" s="1393"/>
      <c r="K75" s="1393"/>
      <c r="L75" s="398"/>
    </row>
    <row r="76" spans="1:12">
      <c r="A76" s="398"/>
      <c r="B76" s="423"/>
      <c r="C76" s="423"/>
      <c r="D76" s="423"/>
      <c r="E76" s="423"/>
      <c r="F76" s="423"/>
      <c r="G76" s="423"/>
      <c r="H76" s="423"/>
      <c r="I76" s="423"/>
      <c r="J76" s="423"/>
      <c r="K76" s="423"/>
      <c r="L76" s="398"/>
    </row>
    <row r="77" spans="1:12">
      <c r="A77" s="398"/>
      <c r="B77" s="398"/>
      <c r="C77" s="398"/>
      <c r="D77" s="398"/>
      <c r="E77" s="398"/>
      <c r="F77" s="398"/>
      <c r="G77" s="398"/>
      <c r="H77" s="398"/>
      <c r="I77" s="398"/>
      <c r="J77" s="398"/>
      <c r="K77" s="398"/>
      <c r="L77" s="398"/>
    </row>
    <row r="78" spans="1:12">
      <c r="A78" s="398"/>
      <c r="B78" s="398"/>
      <c r="C78" s="398"/>
      <c r="D78" s="398"/>
      <c r="E78" s="398"/>
      <c r="F78" s="398"/>
      <c r="G78" s="398"/>
      <c r="H78" s="398"/>
      <c r="I78" s="398"/>
      <c r="J78" s="398"/>
      <c r="K78" s="398"/>
      <c r="L78" s="398"/>
    </row>
    <row r="79" spans="1:12">
      <c r="A79" s="398"/>
      <c r="B79" s="398"/>
      <c r="C79" s="398"/>
      <c r="D79" s="398"/>
      <c r="E79" s="398"/>
      <c r="F79" s="398"/>
      <c r="G79" s="398"/>
      <c r="H79" s="398"/>
      <c r="I79" s="398"/>
      <c r="J79" s="398"/>
      <c r="K79" s="398"/>
      <c r="L79" s="398"/>
    </row>
    <row r="80" spans="1:12">
      <c r="A80" s="398"/>
      <c r="B80" s="399" t="s">
        <v>911</v>
      </c>
      <c r="C80" s="398"/>
      <c r="D80" s="398"/>
      <c r="E80" s="398"/>
      <c r="F80" s="398"/>
      <c r="G80" s="398"/>
      <c r="H80" s="398"/>
      <c r="I80" s="398"/>
      <c r="J80" s="398"/>
      <c r="K80" s="398"/>
      <c r="L80" s="398"/>
    </row>
    <row r="81" spans="1:12">
      <c r="A81" s="398"/>
      <c r="B81" s="398"/>
      <c r="C81" s="398"/>
      <c r="D81" s="398"/>
      <c r="E81" s="398"/>
      <c r="F81" s="398"/>
      <c r="G81" s="398"/>
      <c r="H81" s="398"/>
      <c r="I81" s="398"/>
      <c r="J81" s="398"/>
      <c r="K81" s="398"/>
      <c r="L81" s="398"/>
    </row>
    <row r="82" spans="1:12">
      <c r="A82" s="398"/>
      <c r="B82" s="418" t="s">
        <v>659</v>
      </c>
      <c r="C82" s="424">
        <v>-15</v>
      </c>
      <c r="D82" s="418" t="s">
        <v>771</v>
      </c>
      <c r="E82" s="418" t="s">
        <v>772</v>
      </c>
      <c r="F82" s="418" t="s">
        <v>773</v>
      </c>
      <c r="G82" s="418" t="s">
        <v>774</v>
      </c>
      <c r="H82" s="418" t="s">
        <v>775</v>
      </c>
      <c r="I82" s="418" t="s">
        <v>776</v>
      </c>
      <c r="J82" s="418" t="s">
        <v>902</v>
      </c>
      <c r="K82" s="418" t="s">
        <v>535</v>
      </c>
      <c r="L82" s="398"/>
    </row>
    <row r="83" spans="1:12">
      <c r="A83" s="398"/>
      <c r="B83" s="425">
        <v>2010</v>
      </c>
      <c r="C83" s="426">
        <v>0.58370920668612369</v>
      </c>
      <c r="D83" s="426">
        <v>17.32555054391085</v>
      </c>
      <c r="E83" s="426">
        <v>26.691430087556384</v>
      </c>
      <c r="F83" s="426">
        <v>23.4810294507827</v>
      </c>
      <c r="G83" s="426">
        <v>17.750066330591668</v>
      </c>
      <c r="H83" s="426">
        <v>10.427169010347573</v>
      </c>
      <c r="I83" s="426">
        <v>3.5818519501193946</v>
      </c>
      <c r="J83" s="426">
        <v>0.15919342000530645</v>
      </c>
      <c r="K83" s="1147">
        <v>100</v>
      </c>
      <c r="L83" s="398"/>
    </row>
    <row r="84" spans="1:12">
      <c r="A84" s="398"/>
      <c r="B84" s="425">
        <v>2011</v>
      </c>
      <c r="C84" s="1367">
        <v>0.53633681952266021</v>
      </c>
      <c r="D84" s="1367">
        <v>16.304639313488874</v>
      </c>
      <c r="E84" s="1367">
        <v>25.98551890587289</v>
      </c>
      <c r="F84" s="1367">
        <v>25.046929471708236</v>
      </c>
      <c r="G84" s="1367">
        <v>18.423169750603378</v>
      </c>
      <c r="H84" s="1367">
        <v>10.458567980691875</v>
      </c>
      <c r="I84" s="1367">
        <v>3.110753553231429</v>
      </c>
      <c r="J84" s="1367">
        <v>0.13408420488066505</v>
      </c>
      <c r="K84" s="427">
        <v>100.00000000000001</v>
      </c>
      <c r="L84" s="398"/>
    </row>
    <row r="85" spans="1:12">
      <c r="A85" s="398"/>
      <c r="B85" s="425">
        <v>2012</v>
      </c>
      <c r="C85" s="1367">
        <v>0.35509423654739142</v>
      </c>
      <c r="D85" s="1367">
        <v>17.645452062278068</v>
      </c>
      <c r="E85" s="1367">
        <v>25.184375853591916</v>
      </c>
      <c r="F85" s="1367">
        <v>23.272329964490577</v>
      </c>
      <c r="G85" s="1367">
        <v>18.628789948101613</v>
      </c>
      <c r="H85" s="1367">
        <v>11.745424747336793</v>
      </c>
      <c r="I85" s="1367">
        <v>3.0319584812892653</v>
      </c>
      <c r="J85" s="1367">
        <v>0.13657470636438132</v>
      </c>
      <c r="K85" s="427">
        <v>100.00000000000001</v>
      </c>
      <c r="L85" s="398"/>
    </row>
    <row r="86" spans="1:12">
      <c r="A86" s="398"/>
      <c r="B86" s="425">
        <v>2013</v>
      </c>
      <c r="C86" s="1367">
        <v>0.36434977578475336</v>
      </c>
      <c r="D86" s="1367">
        <v>14.517937219730943</v>
      </c>
      <c r="E86" s="1367">
        <v>25.168161434977577</v>
      </c>
      <c r="F86" s="1367">
        <v>26.065022421524663</v>
      </c>
      <c r="G86" s="1367">
        <v>20.011210762331839</v>
      </c>
      <c r="H86" s="1367">
        <v>11.18273542600897</v>
      </c>
      <c r="I86" s="1367">
        <v>2.6065022421524664</v>
      </c>
      <c r="J86" s="1367">
        <v>8.4080717488789244E-2</v>
      </c>
      <c r="K86" s="427">
        <v>100.00000000000001</v>
      </c>
      <c r="L86" s="398"/>
    </row>
    <row r="87" spans="1:12">
      <c r="A87" s="398"/>
      <c r="B87" s="425">
        <v>2014</v>
      </c>
      <c r="C87" s="1367">
        <v>0.26371308016877637</v>
      </c>
      <c r="D87" s="1367">
        <v>14.978902953586498</v>
      </c>
      <c r="E87" s="1367">
        <v>26.292194092827003</v>
      </c>
      <c r="F87" s="1367">
        <v>24.894514767932492</v>
      </c>
      <c r="G87" s="1367">
        <v>19.831223628691983</v>
      </c>
      <c r="H87" s="1367">
        <v>10.548523206751055</v>
      </c>
      <c r="I87" s="1367">
        <v>2.9272151898734178</v>
      </c>
      <c r="J87" s="1367">
        <v>0.26371308016877637</v>
      </c>
      <c r="K87" s="427">
        <v>100.00000000000001</v>
      </c>
      <c r="L87" s="398"/>
    </row>
    <row r="88" spans="1:12">
      <c r="A88" s="398"/>
      <c r="B88" s="428">
        <v>2015</v>
      </c>
      <c r="C88" s="429">
        <f t="shared" ref="C88:J88" si="4">+C50/$K50*100</f>
        <v>0.63325991189427311</v>
      </c>
      <c r="D88" s="429">
        <f t="shared" si="4"/>
        <v>13.518722466960353</v>
      </c>
      <c r="E88" s="429">
        <f t="shared" si="4"/>
        <v>25.908590308370044</v>
      </c>
      <c r="F88" s="429">
        <f t="shared" si="4"/>
        <v>24.972466960352424</v>
      </c>
      <c r="G88" s="429">
        <f t="shared" si="4"/>
        <v>21.255506607929515</v>
      </c>
      <c r="H88" s="429">
        <f t="shared" si="4"/>
        <v>10.572687224669604</v>
      </c>
      <c r="I88" s="429">
        <f t="shared" si="4"/>
        <v>2.9735682819383258</v>
      </c>
      <c r="J88" s="429">
        <f t="shared" si="4"/>
        <v>0.16519823788546256</v>
      </c>
      <c r="K88" s="387">
        <f>SUM(C88:J88)</f>
        <v>100.00000000000001</v>
      </c>
      <c r="L88" s="398"/>
    </row>
    <row r="89" spans="1:12">
      <c r="A89" s="398"/>
      <c r="B89" s="398"/>
      <c r="C89" s="398"/>
      <c r="D89" s="398"/>
      <c r="E89" s="398"/>
      <c r="F89" s="398"/>
      <c r="G89" s="398"/>
      <c r="H89" s="398"/>
      <c r="I89" s="398"/>
      <c r="J89" s="398"/>
      <c r="K89" s="398"/>
      <c r="L89" s="398"/>
    </row>
    <row r="90" spans="1:12">
      <c r="A90" s="398"/>
      <c r="B90" s="398"/>
      <c r="C90" s="398"/>
      <c r="D90" s="398"/>
      <c r="E90" s="398"/>
      <c r="F90" s="398"/>
      <c r="G90" s="398"/>
      <c r="H90" s="398"/>
      <c r="I90" s="398"/>
      <c r="J90" s="398"/>
      <c r="K90" s="398"/>
      <c r="L90" s="398"/>
    </row>
    <row r="91" spans="1:12">
      <c r="A91" s="398"/>
      <c r="B91" s="399" t="s">
        <v>912</v>
      </c>
      <c r="C91" s="398"/>
      <c r="D91" s="398"/>
      <c r="E91" s="398"/>
      <c r="F91" s="398"/>
      <c r="G91" s="398"/>
      <c r="H91" s="398"/>
      <c r="I91" s="398"/>
      <c r="J91" s="398"/>
      <c r="K91" s="398"/>
      <c r="L91" s="398"/>
    </row>
    <row r="92" spans="1:12">
      <c r="A92" s="398"/>
      <c r="B92" s="398"/>
      <c r="C92" s="398"/>
      <c r="D92" s="398"/>
      <c r="E92" s="398"/>
      <c r="F92" s="398"/>
      <c r="G92" s="398"/>
      <c r="H92" s="398"/>
      <c r="I92" s="398"/>
      <c r="J92" s="398"/>
      <c r="K92" s="398"/>
      <c r="L92" s="398"/>
    </row>
    <row r="93" spans="1:12">
      <c r="A93" s="398"/>
      <c r="B93" s="418" t="s">
        <v>659</v>
      </c>
      <c r="C93" s="418">
        <v>-15</v>
      </c>
      <c r="D93" s="418" t="s">
        <v>771</v>
      </c>
      <c r="E93" s="418" t="s">
        <v>772</v>
      </c>
      <c r="F93" s="418" t="s">
        <v>773</v>
      </c>
      <c r="G93" s="418" t="s">
        <v>774</v>
      </c>
      <c r="H93" s="418" t="s">
        <v>775</v>
      </c>
      <c r="I93" s="418" t="s">
        <v>776</v>
      </c>
      <c r="J93" s="418" t="s">
        <v>902</v>
      </c>
      <c r="K93" s="418" t="s">
        <v>535</v>
      </c>
      <c r="L93" s="398"/>
    </row>
    <row r="94" spans="1:12">
      <c r="A94" s="398"/>
      <c r="B94" s="425">
        <f t="shared" ref="B94:B99" si="5">+B83</f>
        <v>2010</v>
      </c>
      <c r="C94" s="426">
        <v>0</v>
      </c>
      <c r="D94" s="426">
        <v>12.5</v>
      </c>
      <c r="E94" s="426">
        <v>17.1875</v>
      </c>
      <c r="F94" s="426">
        <v>20.3125</v>
      </c>
      <c r="G94" s="426">
        <v>19.0625</v>
      </c>
      <c r="H94" s="426">
        <v>19.6875</v>
      </c>
      <c r="I94" s="426">
        <v>8.75</v>
      </c>
      <c r="J94" s="426">
        <v>2.5</v>
      </c>
      <c r="K94" s="1147">
        <v>100</v>
      </c>
      <c r="L94" s="398"/>
    </row>
    <row r="95" spans="1:12">
      <c r="A95" s="398"/>
      <c r="B95" s="425">
        <f t="shared" si="5"/>
        <v>2011</v>
      </c>
      <c r="C95" s="1367">
        <v>0.84745762711864403</v>
      </c>
      <c r="D95" s="1367">
        <v>15.819209039548024</v>
      </c>
      <c r="E95" s="1367">
        <v>23.728813559322035</v>
      </c>
      <c r="F95" s="1367">
        <v>17.231638418079097</v>
      </c>
      <c r="G95" s="1367">
        <v>16.101694915254235</v>
      </c>
      <c r="H95" s="1367">
        <v>16.949152542372879</v>
      </c>
      <c r="I95" s="1367">
        <v>8.1920903954802249</v>
      </c>
      <c r="J95" s="1367">
        <v>1.1299435028248588</v>
      </c>
      <c r="K95" s="427">
        <v>100</v>
      </c>
      <c r="L95" s="398"/>
    </row>
    <row r="96" spans="1:12">
      <c r="A96" s="398"/>
      <c r="B96" s="425">
        <f t="shared" si="5"/>
        <v>2012</v>
      </c>
      <c r="C96" s="1367">
        <v>0.91743119266055051</v>
      </c>
      <c r="D96" s="1367">
        <v>7.951070336391437</v>
      </c>
      <c r="E96" s="1367">
        <v>21.712538226299692</v>
      </c>
      <c r="F96" s="1367">
        <v>21.100917431192663</v>
      </c>
      <c r="G96" s="1367">
        <v>20.795107033639145</v>
      </c>
      <c r="H96" s="1367">
        <v>17.431192660550458</v>
      </c>
      <c r="I96" s="1367">
        <v>9.1743119266055047</v>
      </c>
      <c r="J96" s="1367">
        <v>0.91743119266055051</v>
      </c>
      <c r="K96" s="427">
        <v>100</v>
      </c>
      <c r="L96" s="398"/>
    </row>
    <row r="97" spans="1:12">
      <c r="A97" s="398"/>
      <c r="B97" s="425">
        <f t="shared" si="5"/>
        <v>2013</v>
      </c>
      <c r="C97" s="1367">
        <v>3.0136986301369864</v>
      </c>
      <c r="D97" s="1367">
        <v>10.684931506849315</v>
      </c>
      <c r="E97" s="1367">
        <v>19.17808219178082</v>
      </c>
      <c r="F97" s="1367">
        <v>20</v>
      </c>
      <c r="G97" s="1367">
        <v>19.726027397260275</v>
      </c>
      <c r="H97" s="1367">
        <v>16.986301369863014</v>
      </c>
      <c r="I97" s="1367">
        <v>9.3150684931506849</v>
      </c>
      <c r="J97" s="1367">
        <v>1.095890410958904</v>
      </c>
      <c r="K97" s="427">
        <v>99.999999999999986</v>
      </c>
      <c r="L97" s="398"/>
    </row>
    <row r="98" spans="1:12">
      <c r="A98" s="398"/>
      <c r="B98" s="425">
        <f t="shared" si="5"/>
        <v>2014</v>
      </c>
      <c r="C98" s="1367">
        <v>0.28901734104046239</v>
      </c>
      <c r="D98" s="1367">
        <v>9.2485549132947966</v>
      </c>
      <c r="E98" s="1367">
        <v>20.23121387283237</v>
      </c>
      <c r="F98" s="1367">
        <v>22.254335260115607</v>
      </c>
      <c r="G98" s="1367">
        <v>23.410404624277454</v>
      </c>
      <c r="H98" s="1367">
        <v>14.450867052023122</v>
      </c>
      <c r="I98" s="1367">
        <v>8.6705202312138727</v>
      </c>
      <c r="J98" s="1367">
        <v>1.4450867052023122</v>
      </c>
      <c r="K98" s="427">
        <v>99.999999999999986</v>
      </c>
      <c r="L98" s="398"/>
    </row>
    <row r="99" spans="1:12">
      <c r="A99" s="398"/>
      <c r="B99" s="428">
        <f t="shared" si="5"/>
        <v>2015</v>
      </c>
      <c r="C99" s="429">
        <f t="shared" ref="C99:J99" si="6">+C60/$K60*100</f>
        <v>0.5988023952095809</v>
      </c>
      <c r="D99" s="429">
        <f t="shared" si="6"/>
        <v>6.88622754491018</v>
      </c>
      <c r="E99" s="429">
        <f t="shared" si="6"/>
        <v>20.958083832335326</v>
      </c>
      <c r="F99" s="429">
        <f t="shared" si="6"/>
        <v>24.850299401197603</v>
      </c>
      <c r="G99" s="429">
        <f t="shared" si="6"/>
        <v>20.059880239520957</v>
      </c>
      <c r="H99" s="429">
        <f t="shared" si="6"/>
        <v>15.269461077844312</v>
      </c>
      <c r="I99" s="429">
        <f t="shared" si="6"/>
        <v>10.179640718562874</v>
      </c>
      <c r="J99" s="429">
        <f t="shared" si="6"/>
        <v>1.1976047904191618</v>
      </c>
      <c r="K99" s="387">
        <f>SUM(C99:J99)</f>
        <v>100</v>
      </c>
      <c r="L99" s="398"/>
    </row>
    <row r="100" spans="1:12">
      <c r="A100" s="398"/>
      <c r="B100" s="430"/>
      <c r="C100" s="426"/>
      <c r="D100" s="426"/>
      <c r="E100" s="426"/>
      <c r="F100" s="426"/>
      <c r="G100" s="426"/>
      <c r="H100" s="426"/>
      <c r="I100" s="426"/>
      <c r="J100" s="426"/>
      <c r="K100" s="430"/>
      <c r="L100" s="398"/>
    </row>
    <row r="101" spans="1:12">
      <c r="A101" s="398"/>
      <c r="B101" s="398"/>
      <c r="C101" s="398"/>
      <c r="D101" s="398"/>
      <c r="E101" s="398"/>
      <c r="F101" s="398"/>
      <c r="G101" s="398"/>
      <c r="H101" s="398"/>
      <c r="I101" s="398"/>
      <c r="J101" s="398"/>
      <c r="K101" s="398"/>
      <c r="L101" s="398"/>
    </row>
    <row r="102" spans="1:12">
      <c r="A102" s="398"/>
      <c r="B102" s="398"/>
      <c r="C102" s="398"/>
      <c r="D102" s="398"/>
      <c r="E102" s="398"/>
      <c r="F102" s="398"/>
      <c r="G102" s="398"/>
      <c r="H102" s="398"/>
      <c r="I102" s="398"/>
      <c r="J102" s="398"/>
      <c r="K102" s="398"/>
      <c r="L102" s="398"/>
    </row>
    <row r="103" spans="1:12">
      <c r="A103" s="398"/>
      <c r="B103" s="398"/>
      <c r="C103" s="398"/>
      <c r="D103" s="398"/>
      <c r="E103" s="398"/>
      <c r="F103" s="398"/>
      <c r="G103" s="398"/>
      <c r="H103" s="398"/>
      <c r="I103" s="398"/>
      <c r="J103" s="398"/>
      <c r="K103" s="398"/>
      <c r="L103" s="398"/>
    </row>
    <row r="104" spans="1:12">
      <c r="A104" s="398"/>
      <c r="B104" s="398"/>
      <c r="C104" s="398"/>
      <c r="D104" s="398"/>
      <c r="E104" s="398"/>
      <c r="F104" s="398"/>
      <c r="G104" s="398"/>
      <c r="H104" s="398"/>
      <c r="I104" s="398"/>
      <c r="J104" s="398"/>
      <c r="K104" s="398"/>
      <c r="L104" s="398"/>
    </row>
    <row r="105" spans="1:12">
      <c r="A105" s="398"/>
      <c r="B105" s="398"/>
      <c r="C105" s="398"/>
      <c r="D105" s="398"/>
      <c r="E105" s="398"/>
      <c r="F105" s="398"/>
      <c r="G105" s="398"/>
      <c r="H105" s="398"/>
      <c r="I105" s="398"/>
      <c r="J105" s="398"/>
      <c r="K105" s="398"/>
      <c r="L105" s="398"/>
    </row>
    <row r="106" spans="1:12">
      <c r="A106" s="398"/>
      <c r="B106" s="398"/>
      <c r="C106" s="398"/>
      <c r="D106" s="398"/>
      <c r="E106" s="398"/>
      <c r="F106" s="398"/>
      <c r="G106" s="398"/>
      <c r="H106" s="398"/>
      <c r="I106" s="398"/>
      <c r="J106" s="398"/>
      <c r="K106" s="398"/>
      <c r="L106" s="398"/>
    </row>
    <row r="107" spans="1:12">
      <c r="A107" s="398"/>
      <c r="B107" s="398"/>
      <c r="C107" s="398"/>
      <c r="D107" s="398"/>
      <c r="E107" s="398"/>
      <c r="F107" s="398"/>
      <c r="G107" s="398"/>
      <c r="H107" s="398"/>
      <c r="I107" s="398"/>
      <c r="J107" s="398"/>
      <c r="K107" s="398"/>
      <c r="L107" s="398"/>
    </row>
    <row r="108" spans="1:12">
      <c r="A108" s="398"/>
      <c r="B108" s="398"/>
      <c r="C108" s="398"/>
      <c r="D108" s="398"/>
      <c r="E108" s="398"/>
      <c r="F108" s="398"/>
      <c r="G108" s="398"/>
      <c r="H108" s="398"/>
      <c r="I108" s="398"/>
      <c r="J108" s="398"/>
      <c r="K108" s="398"/>
      <c r="L108" s="398"/>
    </row>
    <row r="109" spans="1:12">
      <c r="A109" s="398"/>
      <c r="B109" s="398"/>
      <c r="C109" s="398"/>
      <c r="D109" s="398"/>
      <c r="E109" s="398"/>
      <c r="F109" s="398"/>
      <c r="G109" s="398"/>
      <c r="H109" s="398"/>
      <c r="I109" s="398"/>
      <c r="J109" s="398"/>
      <c r="K109" s="398"/>
      <c r="L109" s="398"/>
    </row>
    <row r="110" spans="1:12">
      <c r="A110" s="398"/>
      <c r="B110" s="398"/>
      <c r="C110" s="398"/>
      <c r="D110" s="398"/>
      <c r="E110" s="398"/>
      <c r="F110" s="398"/>
      <c r="G110" s="398"/>
      <c r="H110" s="398"/>
      <c r="I110" s="398"/>
      <c r="J110" s="398"/>
      <c r="K110" s="398"/>
      <c r="L110" s="398"/>
    </row>
    <row r="111" spans="1:12">
      <c r="A111" s="398"/>
      <c r="B111" s="398"/>
      <c r="C111" s="398"/>
      <c r="D111" s="398"/>
      <c r="E111" s="398"/>
      <c r="F111" s="398"/>
      <c r="G111" s="398"/>
      <c r="H111" s="398"/>
      <c r="I111" s="398"/>
      <c r="J111" s="398"/>
      <c r="K111" s="398"/>
      <c r="L111" s="398"/>
    </row>
    <row r="112" spans="1:12">
      <c r="A112" s="398"/>
      <c r="B112" s="398"/>
      <c r="C112" s="398"/>
      <c r="D112" s="398"/>
      <c r="E112" s="398"/>
      <c r="F112" s="398"/>
      <c r="G112" s="398"/>
      <c r="H112" s="398"/>
      <c r="I112" s="398"/>
      <c r="J112" s="398"/>
      <c r="K112" s="398"/>
      <c r="L112" s="398"/>
    </row>
    <row r="113" spans="1:12">
      <c r="A113" s="398"/>
      <c r="B113" s="398"/>
      <c r="C113" s="398"/>
      <c r="D113" s="398"/>
      <c r="E113" s="398"/>
      <c r="F113" s="398"/>
      <c r="G113" s="398"/>
      <c r="H113" s="398"/>
      <c r="I113" s="398"/>
      <c r="J113" s="398"/>
      <c r="K113" s="398"/>
      <c r="L113" s="398"/>
    </row>
    <row r="114" spans="1:12">
      <c r="A114" s="398"/>
      <c r="B114" s="398"/>
      <c r="C114" s="398"/>
      <c r="D114" s="398"/>
      <c r="E114" s="398"/>
      <c r="F114" s="398"/>
      <c r="G114" s="398"/>
      <c r="H114" s="398"/>
      <c r="I114" s="398"/>
      <c r="J114" s="398"/>
      <c r="K114" s="398"/>
      <c r="L114" s="398"/>
    </row>
    <row r="115" spans="1:12">
      <c r="A115" s="398"/>
      <c r="B115" s="398"/>
      <c r="C115" s="398"/>
      <c r="D115" s="398"/>
      <c r="E115" s="398"/>
      <c r="F115" s="398"/>
      <c r="G115" s="398"/>
      <c r="H115" s="398"/>
      <c r="I115" s="398"/>
      <c r="J115" s="398"/>
      <c r="K115" s="398"/>
      <c r="L115" s="398"/>
    </row>
    <row r="116" spans="1:12">
      <c r="A116" s="398"/>
      <c r="B116" s="398"/>
      <c r="C116" s="398"/>
      <c r="D116" s="398"/>
      <c r="E116" s="398"/>
      <c r="F116" s="398"/>
      <c r="G116" s="398"/>
      <c r="H116" s="398"/>
      <c r="I116" s="398"/>
      <c r="J116" s="398"/>
      <c r="K116" s="398"/>
      <c r="L116" s="398"/>
    </row>
    <row r="117" spans="1:12">
      <c r="A117" s="398"/>
      <c r="B117" s="398"/>
      <c r="C117" s="398"/>
      <c r="D117" s="398"/>
      <c r="E117" s="398"/>
      <c r="F117" s="398"/>
      <c r="G117" s="398"/>
      <c r="H117" s="398"/>
      <c r="I117" s="398"/>
      <c r="J117" s="398"/>
      <c r="K117" s="398"/>
      <c r="L117" s="398"/>
    </row>
    <row r="118" spans="1:12">
      <c r="A118" s="398"/>
      <c r="B118" s="398"/>
      <c r="C118" s="398"/>
      <c r="D118" s="398"/>
      <c r="E118" s="398"/>
      <c r="F118" s="398"/>
      <c r="G118" s="398"/>
      <c r="H118" s="398"/>
      <c r="I118" s="398"/>
      <c r="J118" s="398"/>
      <c r="K118" s="398"/>
      <c r="L118" s="398"/>
    </row>
    <row r="119" spans="1:12">
      <c r="A119" s="398"/>
      <c r="B119" s="398"/>
      <c r="C119" s="398"/>
      <c r="D119" s="398"/>
      <c r="E119" s="398"/>
      <c r="F119" s="398"/>
      <c r="G119" s="398"/>
      <c r="H119" s="398"/>
      <c r="I119" s="398"/>
      <c r="J119" s="398"/>
      <c r="K119" s="398"/>
      <c r="L119" s="398"/>
    </row>
    <row r="120" spans="1:12">
      <c r="A120" s="398"/>
      <c r="B120" s="398"/>
      <c r="C120" s="398"/>
      <c r="D120" s="398"/>
      <c r="E120" s="398"/>
      <c r="F120" s="398"/>
      <c r="G120" s="398"/>
      <c r="H120" s="398"/>
      <c r="I120" s="398"/>
      <c r="J120" s="398"/>
      <c r="K120" s="398"/>
      <c r="L120" s="398"/>
    </row>
    <row r="121" spans="1:12">
      <c r="A121" s="398"/>
      <c r="B121" s="398"/>
      <c r="C121" s="398"/>
      <c r="D121" s="398"/>
      <c r="E121" s="398"/>
      <c r="F121" s="398"/>
      <c r="G121" s="398"/>
      <c r="H121" s="398"/>
      <c r="I121" s="398"/>
      <c r="J121" s="398"/>
      <c r="K121" s="398"/>
      <c r="L121" s="398"/>
    </row>
    <row r="122" spans="1:12">
      <c r="A122" s="398"/>
      <c r="B122" s="398"/>
      <c r="C122" s="398"/>
      <c r="D122" s="398"/>
      <c r="E122" s="398"/>
      <c r="F122" s="398"/>
      <c r="G122" s="398"/>
      <c r="H122" s="398"/>
      <c r="I122" s="398"/>
      <c r="J122" s="398"/>
      <c r="K122" s="398"/>
      <c r="L122" s="398"/>
    </row>
    <row r="123" spans="1:12">
      <c r="A123" s="398"/>
      <c r="B123" s="398"/>
      <c r="C123" s="398"/>
      <c r="D123" s="398"/>
      <c r="E123" s="398"/>
      <c r="F123" s="398"/>
      <c r="G123" s="398"/>
      <c r="H123" s="398"/>
      <c r="I123" s="398"/>
      <c r="J123" s="398"/>
      <c r="K123" s="398"/>
      <c r="L123" s="398"/>
    </row>
    <row r="124" spans="1:12">
      <c r="A124" s="398"/>
      <c r="B124" s="398"/>
      <c r="C124" s="398"/>
      <c r="D124" s="398"/>
      <c r="E124" s="398"/>
      <c r="F124" s="398"/>
      <c r="G124" s="398"/>
      <c r="H124" s="398"/>
      <c r="I124" s="398"/>
      <c r="J124" s="398"/>
      <c r="K124" s="398"/>
      <c r="L124" s="398"/>
    </row>
    <row r="125" spans="1:12">
      <c r="A125" s="398"/>
      <c r="B125" s="398"/>
      <c r="C125" s="398"/>
      <c r="D125" s="398"/>
      <c r="E125" s="398"/>
      <c r="F125" s="398"/>
      <c r="G125" s="398"/>
      <c r="H125" s="398"/>
      <c r="I125" s="398"/>
      <c r="J125" s="398"/>
      <c r="K125" s="398"/>
      <c r="L125" s="398"/>
    </row>
    <row r="126" spans="1:12">
      <c r="A126" s="398"/>
      <c r="B126" s="398"/>
      <c r="C126" s="398"/>
      <c r="D126" s="398"/>
      <c r="E126" s="398"/>
      <c r="F126" s="398"/>
      <c r="G126" s="398"/>
      <c r="H126" s="398"/>
      <c r="I126" s="398"/>
      <c r="J126" s="398"/>
      <c r="K126" s="398"/>
      <c r="L126" s="398"/>
    </row>
    <row r="127" spans="1:12">
      <c r="A127" s="398"/>
      <c r="B127" s="398"/>
      <c r="C127" s="398"/>
      <c r="D127" s="398"/>
      <c r="E127" s="398"/>
      <c r="F127" s="398"/>
      <c r="G127" s="398"/>
      <c r="H127" s="398"/>
      <c r="I127" s="398"/>
      <c r="J127" s="398"/>
      <c r="K127" s="398"/>
      <c r="L127" s="398"/>
    </row>
    <row r="128" spans="1:12">
      <c r="A128" s="398"/>
      <c r="B128" s="398"/>
      <c r="C128" s="398"/>
      <c r="D128" s="398"/>
      <c r="E128" s="398"/>
      <c r="F128" s="398"/>
      <c r="G128" s="398"/>
      <c r="H128" s="398"/>
      <c r="I128" s="398"/>
      <c r="J128" s="398"/>
      <c r="K128" s="398"/>
      <c r="L128" s="398"/>
    </row>
    <row r="129" spans="1:12">
      <c r="A129" s="398"/>
      <c r="B129" s="398"/>
      <c r="C129" s="398"/>
      <c r="D129" s="398"/>
      <c r="E129" s="398"/>
      <c r="F129" s="398"/>
      <c r="G129" s="398"/>
      <c r="H129" s="398"/>
      <c r="I129" s="398"/>
      <c r="J129" s="398"/>
      <c r="K129" s="398"/>
      <c r="L129" s="398"/>
    </row>
    <row r="130" spans="1:12">
      <c r="A130" s="398"/>
      <c r="B130" s="398"/>
      <c r="C130" s="398"/>
      <c r="D130" s="398"/>
      <c r="E130" s="398"/>
      <c r="F130" s="398"/>
      <c r="G130" s="398"/>
      <c r="H130" s="398"/>
      <c r="I130" s="398"/>
      <c r="J130" s="398"/>
      <c r="K130" s="398"/>
      <c r="L130" s="398"/>
    </row>
    <row r="131" spans="1:12">
      <c r="A131" s="398"/>
      <c r="B131" s="398"/>
      <c r="C131" s="398"/>
      <c r="D131" s="398"/>
      <c r="E131" s="398"/>
      <c r="F131" s="398"/>
      <c r="G131" s="398"/>
      <c r="H131" s="398"/>
      <c r="I131" s="398"/>
      <c r="J131" s="398"/>
      <c r="K131" s="398"/>
      <c r="L131" s="398"/>
    </row>
    <row r="132" spans="1:12">
      <c r="A132" s="398"/>
      <c r="B132" s="398"/>
      <c r="C132" s="398"/>
      <c r="D132" s="398"/>
      <c r="E132" s="398"/>
      <c r="F132" s="398"/>
      <c r="G132" s="398"/>
      <c r="H132" s="398"/>
      <c r="I132" s="398"/>
      <c r="J132" s="398"/>
      <c r="K132" s="398"/>
      <c r="L132" s="398"/>
    </row>
    <row r="133" spans="1:12">
      <c r="A133" s="398"/>
      <c r="B133" s="398"/>
      <c r="C133" s="398"/>
      <c r="D133" s="398"/>
      <c r="E133" s="398"/>
      <c r="F133" s="398"/>
      <c r="G133" s="398"/>
      <c r="H133" s="398"/>
      <c r="I133" s="398"/>
      <c r="J133" s="398"/>
      <c r="K133" s="398"/>
      <c r="L133" s="398"/>
    </row>
    <row r="134" spans="1:12">
      <c r="A134" s="398"/>
      <c r="B134" s="398"/>
      <c r="C134" s="398"/>
      <c r="D134" s="398"/>
      <c r="E134" s="398"/>
      <c r="F134" s="398"/>
      <c r="G134" s="398"/>
      <c r="H134" s="398"/>
      <c r="I134" s="398"/>
      <c r="J134" s="398"/>
      <c r="K134" s="398"/>
      <c r="L134" s="398"/>
    </row>
    <row r="135" spans="1:12">
      <c r="A135" s="398"/>
      <c r="B135" s="398"/>
      <c r="C135" s="398"/>
      <c r="D135" s="398"/>
      <c r="E135" s="398"/>
      <c r="F135" s="398"/>
      <c r="G135" s="398"/>
      <c r="H135" s="398"/>
      <c r="I135" s="398"/>
      <c r="J135" s="398"/>
      <c r="K135" s="398"/>
      <c r="L135" s="398"/>
    </row>
    <row r="136" spans="1:12">
      <c r="A136" s="398"/>
      <c r="B136" s="398"/>
      <c r="C136" s="398"/>
      <c r="D136" s="398"/>
      <c r="E136" s="398"/>
      <c r="F136" s="398"/>
      <c r="G136" s="398"/>
      <c r="H136" s="398"/>
      <c r="I136" s="398"/>
      <c r="J136" s="398"/>
      <c r="K136" s="398"/>
      <c r="L136" s="398"/>
    </row>
    <row r="137" spans="1:12">
      <c r="A137" s="398"/>
      <c r="B137" s="398"/>
      <c r="C137" s="398"/>
      <c r="D137" s="398"/>
      <c r="E137" s="398"/>
      <c r="F137" s="398"/>
      <c r="G137" s="398"/>
      <c r="H137" s="398"/>
      <c r="I137" s="398"/>
      <c r="J137" s="398"/>
      <c r="K137" s="398"/>
      <c r="L137" s="398"/>
    </row>
    <row r="138" spans="1:12">
      <c r="A138" s="398"/>
      <c r="B138" s="398"/>
      <c r="C138" s="398"/>
      <c r="D138" s="398"/>
      <c r="E138" s="398"/>
      <c r="F138" s="398"/>
      <c r="G138" s="398"/>
      <c r="H138" s="398"/>
      <c r="I138" s="398"/>
      <c r="J138" s="398"/>
      <c r="K138" s="398"/>
      <c r="L138" s="398"/>
    </row>
    <row r="139" spans="1:12">
      <c r="A139" s="398"/>
      <c r="B139" s="398"/>
      <c r="C139" s="398"/>
      <c r="D139" s="398"/>
      <c r="E139" s="398"/>
      <c r="F139" s="398"/>
      <c r="G139" s="398"/>
      <c r="H139" s="398"/>
      <c r="I139" s="398"/>
      <c r="J139" s="398"/>
      <c r="K139" s="398"/>
      <c r="L139" s="398"/>
    </row>
    <row r="140" spans="1:12">
      <c r="A140" s="398"/>
      <c r="B140" s="398"/>
      <c r="C140" s="398"/>
      <c r="D140" s="398"/>
      <c r="E140" s="398"/>
      <c r="F140" s="398"/>
      <c r="G140" s="398"/>
      <c r="H140" s="398"/>
      <c r="I140" s="398"/>
      <c r="J140" s="398"/>
      <c r="K140" s="398"/>
      <c r="L140" s="398"/>
    </row>
    <row r="141" spans="1:12">
      <c r="A141" s="398"/>
      <c r="B141" s="398"/>
      <c r="C141" s="398"/>
      <c r="D141" s="398"/>
      <c r="E141" s="398"/>
      <c r="F141" s="398"/>
      <c r="G141" s="398"/>
      <c r="H141" s="398"/>
      <c r="I141" s="398"/>
      <c r="J141" s="398"/>
      <c r="K141" s="398"/>
      <c r="L141" s="398"/>
    </row>
    <row r="142" spans="1:12">
      <c r="A142" s="398"/>
      <c r="B142" s="398"/>
      <c r="C142" s="398"/>
      <c r="D142" s="398"/>
      <c r="E142" s="398"/>
      <c r="F142" s="398"/>
      <c r="G142" s="398"/>
      <c r="H142" s="398"/>
      <c r="I142" s="398"/>
      <c r="J142" s="398"/>
      <c r="K142" s="398"/>
      <c r="L142" s="398"/>
    </row>
    <row r="143" spans="1:12">
      <c r="A143" s="398"/>
      <c r="B143" s="398"/>
      <c r="C143" s="398"/>
      <c r="D143" s="398"/>
      <c r="E143" s="398"/>
      <c r="F143" s="398"/>
      <c r="G143" s="398"/>
      <c r="H143" s="398"/>
      <c r="I143" s="398"/>
      <c r="J143" s="398"/>
      <c r="K143" s="398"/>
      <c r="L143" s="398"/>
    </row>
    <row r="144" spans="1:12">
      <c r="A144" s="398"/>
      <c r="B144" s="398"/>
      <c r="C144" s="398"/>
      <c r="D144" s="398"/>
      <c r="E144" s="398"/>
      <c r="F144" s="398"/>
      <c r="G144" s="398"/>
      <c r="H144" s="398"/>
      <c r="I144" s="398"/>
      <c r="J144" s="398"/>
      <c r="K144" s="398"/>
      <c r="L144" s="398"/>
    </row>
    <row r="145" spans="1:12">
      <c r="A145" s="398"/>
      <c r="B145" s="398"/>
      <c r="C145" s="398"/>
      <c r="D145" s="398"/>
      <c r="E145" s="398"/>
      <c r="F145" s="398"/>
      <c r="G145" s="398"/>
      <c r="H145" s="398"/>
      <c r="I145" s="398"/>
      <c r="J145" s="398"/>
      <c r="K145" s="398"/>
      <c r="L145" s="398"/>
    </row>
    <row r="146" spans="1:12">
      <c r="A146" s="398"/>
      <c r="B146" s="398"/>
      <c r="C146" s="398"/>
      <c r="D146" s="398"/>
      <c r="E146" s="398"/>
      <c r="F146" s="398"/>
      <c r="G146" s="398"/>
      <c r="H146" s="398"/>
      <c r="I146" s="398"/>
      <c r="J146" s="398"/>
      <c r="K146" s="398"/>
      <c r="L146" s="398"/>
    </row>
    <row r="147" spans="1:12">
      <c r="A147" s="398"/>
      <c r="B147" s="398"/>
      <c r="C147" s="398"/>
      <c r="D147" s="398"/>
      <c r="E147" s="398"/>
      <c r="F147" s="398"/>
      <c r="G147" s="398"/>
      <c r="H147" s="398"/>
      <c r="I147" s="398"/>
      <c r="J147" s="398"/>
      <c r="K147" s="398"/>
      <c r="L147" s="398"/>
    </row>
  </sheetData>
  <mergeCells count="14">
    <mergeCell ref="A1:L1"/>
    <mergeCell ref="A2:L2"/>
    <mergeCell ref="A3:L3"/>
    <mergeCell ref="C8:K8"/>
    <mergeCell ref="B75:K75"/>
    <mergeCell ref="A9:B9"/>
    <mergeCell ref="A10:B10"/>
    <mergeCell ref="B73:K73"/>
    <mergeCell ref="B74:K74"/>
    <mergeCell ref="K9:L9"/>
    <mergeCell ref="I9:J9"/>
    <mergeCell ref="G9:H9"/>
    <mergeCell ref="E9:F9"/>
    <mergeCell ref="C9:D9"/>
  </mergeCells>
  <phoneticPr fontId="19" type="noConversion"/>
  <pageMargins left="0.59055118110236227" right="0.59055118110236227" top="1.1811023622047245" bottom="0.98425196850393704" header="0.51181102362204722" footer="0"/>
  <pageSetup paperSize="5" scale="95" orientation="portrait" horizontalDpi="300" verticalDpi="300" r:id="rId1"/>
  <headerFooter alignWithMargins="0">
    <oddHeader xml:space="preserve">&amp;R
</oddHeader>
  </headerFooter>
  <ignoredErrors>
    <ignoredError sqref="K30:K38" formula="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8"/>
  <sheetViews>
    <sheetView topLeftCell="A16" workbookViewId="0">
      <selection activeCell="P9" sqref="P9"/>
    </sheetView>
  </sheetViews>
  <sheetFormatPr baseColWidth="10" defaultRowHeight="12.75"/>
  <cols>
    <col min="1" max="1" width="19.7109375" customWidth="1"/>
    <col min="2" max="11" width="6.5703125" style="240" customWidth="1"/>
    <col min="12" max="12" width="3.5703125" customWidth="1"/>
    <col min="13" max="13" width="17.7109375" customWidth="1"/>
    <col min="14" max="18" width="7.85546875" customWidth="1"/>
  </cols>
  <sheetData>
    <row r="1" spans="1:18" ht="24" customHeight="1">
      <c r="A1" s="1402" t="s">
        <v>913</v>
      </c>
      <c r="B1" s="1378"/>
      <c r="C1" s="1378"/>
      <c r="D1" s="1378"/>
      <c r="E1" s="1378"/>
      <c r="F1" s="1378"/>
      <c r="G1" s="1378"/>
      <c r="H1" s="1378"/>
      <c r="I1" s="1378"/>
      <c r="J1" s="1378"/>
      <c r="K1" s="1378"/>
    </row>
    <row r="2" spans="1:18">
      <c r="A2" s="1378" t="s">
        <v>910</v>
      </c>
      <c r="B2" s="1378"/>
      <c r="C2" s="1378"/>
      <c r="D2" s="1378"/>
      <c r="E2" s="1378"/>
      <c r="F2" s="1378"/>
      <c r="G2" s="1378"/>
      <c r="H2" s="1378"/>
      <c r="I2" s="1378"/>
      <c r="J2" s="1378"/>
      <c r="K2" s="1378"/>
      <c r="M2" s="431" t="s">
        <v>914</v>
      </c>
    </row>
    <row r="3" spans="1:18">
      <c r="M3" s="1318" t="s">
        <v>866</v>
      </c>
      <c r="N3" s="1319">
        <v>2011</v>
      </c>
      <c r="O3" s="1319">
        <v>2012</v>
      </c>
      <c r="P3" s="1319">
        <v>2013</v>
      </c>
      <c r="Q3" s="1319">
        <v>2014</v>
      </c>
      <c r="R3" s="1319">
        <v>2015</v>
      </c>
    </row>
    <row r="4" spans="1:18">
      <c r="M4" s="431" t="s">
        <v>915</v>
      </c>
      <c r="N4">
        <v>1555</v>
      </c>
      <c r="O4">
        <v>1445</v>
      </c>
      <c r="P4">
        <v>1298</v>
      </c>
      <c r="Q4">
        <v>1399</v>
      </c>
      <c r="R4">
        <f>+[3]Consolidado!$E$135</f>
        <v>1403</v>
      </c>
    </row>
    <row r="5" spans="1:18">
      <c r="M5" s="431" t="s">
        <v>916</v>
      </c>
      <c r="N5">
        <v>946</v>
      </c>
      <c r="O5">
        <v>856</v>
      </c>
      <c r="P5">
        <v>780</v>
      </c>
      <c r="Q5">
        <v>849</v>
      </c>
      <c r="R5">
        <f>+[3]Consolidado!$E$230</f>
        <v>745</v>
      </c>
    </row>
    <row r="6" spans="1:18">
      <c r="M6" s="431" t="s">
        <v>917</v>
      </c>
      <c r="N6">
        <v>43</v>
      </c>
      <c r="O6">
        <v>13</v>
      </c>
      <c r="P6">
        <v>3</v>
      </c>
      <c r="Q6">
        <v>2</v>
      </c>
      <c r="R6">
        <f>+[3]Consolidado!$E$327</f>
        <v>2</v>
      </c>
    </row>
    <row r="7" spans="1:18">
      <c r="M7" s="431" t="s">
        <v>535</v>
      </c>
      <c r="N7">
        <v>2544</v>
      </c>
      <c r="O7">
        <v>2314</v>
      </c>
      <c r="P7">
        <v>2081</v>
      </c>
      <c r="Q7">
        <v>2250</v>
      </c>
      <c r="R7">
        <f>SUM(R4:R6)</f>
        <v>2150</v>
      </c>
    </row>
    <row r="8" spans="1:18" ht="25.5" customHeight="1">
      <c r="A8" s="1320" t="s">
        <v>866</v>
      </c>
      <c r="B8" s="1400">
        <v>2011</v>
      </c>
      <c r="C8" s="1401"/>
      <c r="D8" s="1400">
        <v>2012</v>
      </c>
      <c r="E8" s="1401"/>
      <c r="F8" s="1400">
        <v>2013</v>
      </c>
      <c r="G8" s="1401"/>
      <c r="H8" s="1400">
        <v>2014</v>
      </c>
      <c r="I8" s="1401"/>
      <c r="J8" s="1400">
        <v>2015</v>
      </c>
      <c r="K8" s="1401"/>
      <c r="M8" s="431"/>
    </row>
    <row r="9" spans="1:18" ht="21" customHeight="1">
      <c r="A9" s="1321"/>
      <c r="B9" s="1322" t="s">
        <v>509</v>
      </c>
      <c r="C9" s="1323" t="s">
        <v>918</v>
      </c>
      <c r="D9" s="1324" t="s">
        <v>509</v>
      </c>
      <c r="E9" s="1325" t="s">
        <v>918</v>
      </c>
      <c r="F9" s="1326" t="s">
        <v>509</v>
      </c>
      <c r="G9" s="1326" t="s">
        <v>918</v>
      </c>
      <c r="H9" s="1324" t="s">
        <v>509</v>
      </c>
      <c r="I9" s="1325" t="s">
        <v>918</v>
      </c>
      <c r="J9" s="1324" t="s">
        <v>509</v>
      </c>
      <c r="K9" s="1325" t="s">
        <v>918</v>
      </c>
      <c r="M9" s="431" t="s">
        <v>919</v>
      </c>
    </row>
    <row r="10" spans="1:18" ht="21" customHeight="1">
      <c r="A10" s="380" t="s">
        <v>920</v>
      </c>
      <c r="B10" s="433">
        <v>52.690084481991995</v>
      </c>
      <c r="C10" s="368">
        <v>39.742765273311896</v>
      </c>
      <c r="D10" s="433">
        <v>56.30990415335463</v>
      </c>
      <c r="E10" s="368">
        <v>39.653979238754324</v>
      </c>
      <c r="F10" s="433">
        <v>57.612216566404442</v>
      </c>
      <c r="G10" s="368">
        <v>39.368258859784284</v>
      </c>
      <c r="H10" s="433">
        <v>57.874015748031496</v>
      </c>
      <c r="I10" s="367">
        <v>38.956397426733382</v>
      </c>
      <c r="J10" s="433">
        <f>+'37'!C40/'37'!C37*100</f>
        <v>55.407801418439718</v>
      </c>
      <c r="K10" s="367">
        <f>+R21</f>
        <v>37.918745545260158</v>
      </c>
      <c r="M10" s="1318" t="s">
        <v>866</v>
      </c>
      <c r="N10" s="1319">
        <v>2011</v>
      </c>
      <c r="O10" s="1319">
        <v>2012</v>
      </c>
      <c r="P10" s="1319">
        <v>2013</v>
      </c>
      <c r="Q10" s="1319">
        <v>2013</v>
      </c>
      <c r="R10" s="1319">
        <f>+R3</f>
        <v>2015</v>
      </c>
    </row>
    <row r="11" spans="1:18" ht="21" customHeight="1">
      <c r="A11" s="380" t="s">
        <v>916</v>
      </c>
      <c r="B11" s="433">
        <v>48.783977110157366</v>
      </c>
      <c r="C11" s="368">
        <v>35.517970401691336</v>
      </c>
      <c r="D11" s="433">
        <v>53.407682775712516</v>
      </c>
      <c r="E11" s="368">
        <v>35.280373831775705</v>
      </c>
      <c r="F11" s="433">
        <v>54.585152838427952</v>
      </c>
      <c r="G11" s="368">
        <v>38.461538461538467</v>
      </c>
      <c r="H11" s="433">
        <v>56.89069925322471</v>
      </c>
      <c r="I11" s="367">
        <v>39.340400471142523</v>
      </c>
      <c r="J11" s="433">
        <f>+'37'!E40/'37'!E37*100</f>
        <v>55.141579731743661</v>
      </c>
      <c r="K11" s="367">
        <f>+R22</f>
        <v>38.791946308724832</v>
      </c>
      <c r="M11" s="431" t="s">
        <v>915</v>
      </c>
      <c r="N11">
        <v>618</v>
      </c>
      <c r="O11">
        <v>573</v>
      </c>
      <c r="P11">
        <v>511</v>
      </c>
      <c r="Q11">
        <v>545</v>
      </c>
      <c r="R11">
        <f>+[3]Consolidado!$D$135</f>
        <v>532</v>
      </c>
    </row>
    <row r="12" spans="1:18" ht="21" customHeight="1">
      <c r="A12" s="380" t="s">
        <v>917</v>
      </c>
      <c r="B12" s="433">
        <v>0</v>
      </c>
      <c r="C12" s="368">
        <v>0</v>
      </c>
      <c r="D12" s="433">
        <v>0</v>
      </c>
      <c r="E12" s="368">
        <v>0</v>
      </c>
      <c r="F12" s="433">
        <v>0</v>
      </c>
      <c r="G12" s="368">
        <v>0</v>
      </c>
      <c r="H12" s="433">
        <v>0</v>
      </c>
      <c r="I12" s="367">
        <v>0</v>
      </c>
      <c r="J12" s="433">
        <f>+'37'!G40/'37'!G37*100</f>
        <v>0</v>
      </c>
      <c r="K12" s="367">
        <f>+R2</f>
        <v>0</v>
      </c>
      <c r="M12" s="431" t="s">
        <v>916</v>
      </c>
      <c r="N12">
        <v>336</v>
      </c>
      <c r="O12">
        <v>302</v>
      </c>
      <c r="P12">
        <v>300</v>
      </c>
      <c r="Q12">
        <v>334</v>
      </c>
      <c r="R12">
        <f>+[3]Consolidado!$D$230</f>
        <v>289</v>
      </c>
    </row>
    <row r="13" spans="1:18" ht="21" customHeight="1">
      <c r="A13" s="380" t="s">
        <v>921</v>
      </c>
      <c r="B13" s="433">
        <v>55.26315789473685</v>
      </c>
      <c r="C13" s="368"/>
      <c r="D13" s="433">
        <v>76.19047619047619</v>
      </c>
      <c r="E13" s="368"/>
      <c r="F13" s="433">
        <v>76.666666666666671</v>
      </c>
      <c r="G13" s="368"/>
      <c r="H13" s="433">
        <v>90.322580645161281</v>
      </c>
      <c r="I13" s="367"/>
      <c r="J13" s="433">
        <f>+'37'!I40/'37'!I37*100</f>
        <v>81.25</v>
      </c>
      <c r="K13" s="367"/>
      <c r="M13" s="431" t="s">
        <v>917</v>
      </c>
      <c r="N13">
        <v>0</v>
      </c>
      <c r="O13">
        <v>0</v>
      </c>
      <c r="P13">
        <v>0</v>
      </c>
      <c r="Q13">
        <v>0</v>
      </c>
      <c r="R13">
        <f>+[3]Consolidado!$D$325</f>
        <v>0</v>
      </c>
    </row>
    <row r="14" spans="1:18" ht="21" customHeight="1">
      <c r="A14" s="381" t="s">
        <v>535</v>
      </c>
      <c r="B14" s="434">
        <v>50.630195762939124</v>
      </c>
      <c r="C14" s="372">
        <v>37.5</v>
      </c>
      <c r="D14" s="434">
        <v>55.331412103746402</v>
      </c>
      <c r="E14" s="372">
        <v>37.813310285220396</v>
      </c>
      <c r="F14" s="434">
        <v>56.558295964125563</v>
      </c>
      <c r="G14" s="372">
        <v>38.971648246035564</v>
      </c>
      <c r="H14" s="434">
        <v>57.72679324894515</v>
      </c>
      <c r="I14" s="371">
        <v>39.066666666666663</v>
      </c>
      <c r="J14" s="434">
        <f>+'37'!K40/'37'!K37*100</f>
        <v>55.506607929515418</v>
      </c>
      <c r="K14" s="371">
        <f>+R24</f>
        <v>38.186046511627907</v>
      </c>
      <c r="M14" s="431" t="s">
        <v>535</v>
      </c>
      <c r="N14">
        <v>954</v>
      </c>
      <c r="O14">
        <v>875</v>
      </c>
      <c r="P14">
        <v>811</v>
      </c>
      <c r="Q14">
        <f>SUM(Q11:Q12)</f>
        <v>879</v>
      </c>
      <c r="R14">
        <f>SUM(R11:R13)</f>
        <v>821</v>
      </c>
    </row>
    <row r="15" spans="1:18">
      <c r="M15" s="431"/>
    </row>
    <row r="16" spans="1:18">
      <c r="M16" s="431"/>
    </row>
    <row r="17" spans="13:18">
      <c r="M17" s="431"/>
    </row>
    <row r="18" spans="13:18">
      <c r="M18" s="431"/>
    </row>
    <row r="19" spans="13:18">
      <c r="M19" s="431" t="s">
        <v>922</v>
      </c>
    </row>
    <row r="20" spans="13:18">
      <c r="M20" s="431" t="s">
        <v>866</v>
      </c>
      <c r="N20">
        <f>+N10</f>
        <v>2011</v>
      </c>
      <c r="O20">
        <f>+O10</f>
        <v>2012</v>
      </c>
      <c r="P20">
        <f>+P10</f>
        <v>2013</v>
      </c>
      <c r="Q20">
        <f>+Q10</f>
        <v>2013</v>
      </c>
      <c r="R20">
        <f>+R10</f>
        <v>2015</v>
      </c>
    </row>
    <row r="21" spans="13:18">
      <c r="M21" s="431" t="s">
        <v>915</v>
      </c>
      <c r="N21" s="156">
        <f t="shared" ref="N21:R24" si="0">+N11/N4*100</f>
        <v>39.742765273311896</v>
      </c>
      <c r="O21" s="156">
        <f t="shared" si="0"/>
        <v>39.653979238754324</v>
      </c>
      <c r="P21" s="156">
        <f t="shared" si="0"/>
        <v>39.368258859784284</v>
      </c>
      <c r="Q21" s="156">
        <f t="shared" si="0"/>
        <v>38.956397426733382</v>
      </c>
      <c r="R21" s="156">
        <f t="shared" si="0"/>
        <v>37.918745545260158</v>
      </c>
    </row>
    <row r="22" spans="13:18">
      <c r="M22" s="431" t="s">
        <v>916</v>
      </c>
      <c r="N22" s="156">
        <f t="shared" si="0"/>
        <v>35.517970401691336</v>
      </c>
      <c r="O22" s="156">
        <f t="shared" si="0"/>
        <v>35.280373831775705</v>
      </c>
      <c r="P22" s="156">
        <f t="shared" si="0"/>
        <v>38.461538461538467</v>
      </c>
      <c r="Q22" s="156">
        <f t="shared" si="0"/>
        <v>39.340400471142523</v>
      </c>
      <c r="R22" s="156">
        <f t="shared" si="0"/>
        <v>38.791946308724832</v>
      </c>
    </row>
    <row r="23" spans="13:18">
      <c r="M23" s="431" t="s">
        <v>917</v>
      </c>
      <c r="N23" s="156">
        <f t="shared" si="0"/>
        <v>0</v>
      </c>
      <c r="O23" s="156">
        <f t="shared" si="0"/>
        <v>0</v>
      </c>
      <c r="P23" s="156">
        <f t="shared" si="0"/>
        <v>0</v>
      </c>
      <c r="Q23" s="156">
        <f t="shared" si="0"/>
        <v>0</v>
      </c>
      <c r="R23" s="156">
        <f t="shared" si="0"/>
        <v>0</v>
      </c>
    </row>
    <row r="24" spans="13:18">
      <c r="M24" s="431" t="s">
        <v>535</v>
      </c>
      <c r="N24" s="156">
        <f t="shared" si="0"/>
        <v>37.5</v>
      </c>
      <c r="O24" s="156">
        <f t="shared" si="0"/>
        <v>37.813310285220396</v>
      </c>
      <c r="P24" s="156">
        <f t="shared" si="0"/>
        <v>38.971648246035564</v>
      </c>
      <c r="Q24" s="156">
        <f t="shared" si="0"/>
        <v>39.066666666666663</v>
      </c>
      <c r="R24" s="156">
        <f t="shared" si="0"/>
        <v>38.186046511627907</v>
      </c>
    </row>
    <row r="38" spans="12:12">
      <c r="L38" t="s">
        <v>923</v>
      </c>
    </row>
  </sheetData>
  <mergeCells count="7">
    <mergeCell ref="J8:K8"/>
    <mergeCell ref="A1:K1"/>
    <mergeCell ref="A2:K2"/>
    <mergeCell ref="B8:C8"/>
    <mergeCell ref="D8:E8"/>
    <mergeCell ref="F8:G8"/>
    <mergeCell ref="H8:I8"/>
  </mergeCells>
  <phoneticPr fontId="19" type="noConversion"/>
  <pageMargins left="0.78740157480314965" right="0.78740157480314965" top="0.98425196850393704" bottom="0.98425196850393704" header="0.51181102362204722" footer="0"/>
  <pageSetup paperSize="9" orientation="portrait" horizontalDpi="300" verticalDpi="300" r:id="rId1"/>
  <headerFooter alignWithMargins="0">
    <oddHeader xml:space="preserve">&amp;R
</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24"/>
  <sheetViews>
    <sheetView topLeftCell="A10" workbookViewId="0">
      <selection activeCell="B23" sqref="B23"/>
    </sheetView>
  </sheetViews>
  <sheetFormatPr baseColWidth="10" defaultRowHeight="12.75"/>
  <cols>
    <col min="1" max="1" width="13.7109375" customWidth="1"/>
    <col min="2" max="2" width="6" customWidth="1"/>
    <col min="3" max="3" width="4.140625" customWidth="1"/>
    <col min="4" max="4" width="5.7109375" customWidth="1"/>
    <col min="5" max="5" width="4.42578125" customWidth="1"/>
    <col min="6" max="6" width="5.5703125" customWidth="1"/>
    <col min="7" max="7" width="4" customWidth="1"/>
    <col min="8" max="8" width="5.7109375" customWidth="1"/>
    <col min="9" max="9" width="4.28515625" customWidth="1"/>
    <col min="10" max="10" width="6.28515625" customWidth="1"/>
    <col min="11" max="11" width="5.42578125" customWidth="1"/>
    <col min="12" max="12" width="6" customWidth="1"/>
    <col min="13" max="13" width="4.7109375" customWidth="1"/>
    <col min="14" max="14" width="6.140625" customWidth="1"/>
    <col min="15" max="15" width="4.42578125" customWidth="1"/>
    <col min="16" max="16" width="5.85546875" customWidth="1"/>
    <col min="17" max="17" width="4.5703125" customWidth="1"/>
    <col min="18" max="18" width="5.7109375" customWidth="1"/>
    <col min="19" max="19" width="4.5703125" customWidth="1"/>
    <col min="20" max="20" width="5.85546875" customWidth="1"/>
    <col min="21" max="21" width="4.7109375" customWidth="1"/>
    <col min="22" max="22" width="5.7109375" customWidth="1"/>
    <col min="23" max="23" width="4.7109375" customWidth="1"/>
    <col min="24" max="24" width="5.5703125" customWidth="1"/>
    <col min="25" max="25" width="4.28515625" customWidth="1"/>
    <col min="26" max="26" width="5.7109375" customWidth="1"/>
    <col min="27" max="27" width="4.5703125" customWidth="1"/>
  </cols>
  <sheetData>
    <row r="1" spans="1:100">
      <c r="A1" s="82" t="s">
        <v>924</v>
      </c>
      <c r="B1" s="116"/>
      <c r="C1" s="116"/>
      <c r="D1" s="116"/>
      <c r="E1" s="116"/>
      <c r="F1" s="116"/>
      <c r="G1" s="116"/>
      <c r="H1" s="116"/>
      <c r="I1" s="116"/>
      <c r="J1" s="116"/>
      <c r="K1" s="116"/>
      <c r="L1" s="116"/>
      <c r="M1" s="116"/>
      <c r="N1" s="116"/>
      <c r="O1" s="116"/>
      <c r="P1" s="116"/>
      <c r="Q1" s="116"/>
      <c r="R1" s="116"/>
      <c r="S1" s="116"/>
      <c r="T1" s="116"/>
      <c r="U1" s="116"/>
      <c r="V1" s="116"/>
      <c r="W1" s="116"/>
      <c r="X1" s="116"/>
      <c r="Y1" s="116"/>
      <c r="Z1" s="116"/>
      <c r="AA1" s="116"/>
    </row>
    <row r="2" spans="1:100">
      <c r="A2" s="82"/>
      <c r="B2" s="116"/>
      <c r="C2" s="116"/>
      <c r="D2" s="116"/>
      <c r="E2" s="116"/>
      <c r="F2" s="116"/>
      <c r="G2" s="116"/>
      <c r="H2" s="116"/>
      <c r="I2" s="116"/>
      <c r="J2" s="116"/>
      <c r="K2" s="116"/>
      <c r="L2" s="116"/>
      <c r="M2" s="116"/>
      <c r="N2" s="116"/>
      <c r="O2" s="116"/>
      <c r="P2" s="116"/>
      <c r="Q2" s="116"/>
      <c r="R2" s="116"/>
      <c r="S2" s="116"/>
      <c r="T2" s="116"/>
      <c r="U2" s="116"/>
      <c r="V2" s="116"/>
      <c r="W2" s="116"/>
      <c r="X2" s="116"/>
      <c r="Y2" s="116"/>
      <c r="Z2" s="116"/>
      <c r="AA2" s="116"/>
    </row>
    <row r="3" spans="1:100">
      <c r="A3" s="3" t="s">
        <v>1366</v>
      </c>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row>
    <row r="4" spans="1:100">
      <c r="A4" s="82"/>
      <c r="B4" s="116"/>
      <c r="C4" s="116"/>
      <c r="D4" s="116"/>
      <c r="E4" s="116"/>
      <c r="F4" s="116"/>
      <c r="G4" s="116"/>
      <c r="H4" s="116"/>
      <c r="I4" s="116"/>
      <c r="J4" s="116"/>
      <c r="K4" s="116"/>
      <c r="L4" s="116"/>
      <c r="M4" s="116"/>
      <c r="N4" s="116"/>
      <c r="O4" s="116"/>
      <c r="P4" s="116"/>
      <c r="Q4" s="116"/>
      <c r="R4" s="116"/>
      <c r="S4" s="116"/>
      <c r="T4" s="116"/>
      <c r="U4" s="116"/>
      <c r="V4" s="116"/>
      <c r="W4" s="116"/>
      <c r="X4" s="116"/>
      <c r="Y4" s="116"/>
      <c r="Z4" s="116"/>
      <c r="AA4" s="116"/>
    </row>
    <row r="5" spans="1:100">
      <c r="A5" s="116"/>
      <c r="B5" s="116"/>
      <c r="C5" s="116"/>
      <c r="D5" s="116"/>
      <c r="E5" s="116"/>
      <c r="F5" s="116"/>
      <c r="G5" s="116"/>
      <c r="H5" s="116"/>
      <c r="I5" s="116"/>
      <c r="J5" s="116"/>
      <c r="K5" s="116"/>
      <c r="L5" s="116"/>
      <c r="M5" s="116"/>
      <c r="N5" s="116"/>
      <c r="O5" s="116"/>
      <c r="P5" s="116"/>
      <c r="Q5" s="116"/>
      <c r="R5" s="116"/>
      <c r="S5" s="116"/>
      <c r="T5" s="116"/>
      <c r="U5" s="116"/>
      <c r="V5" s="116"/>
      <c r="W5" s="116"/>
      <c r="X5" s="116"/>
      <c r="Y5" s="116"/>
      <c r="Z5" s="116"/>
      <c r="AA5" s="116"/>
    </row>
    <row r="7" spans="1:100" ht="18" customHeight="1">
      <c r="A7" s="64"/>
      <c r="B7" s="120" t="s">
        <v>925</v>
      </c>
      <c r="C7" s="121"/>
      <c r="D7" s="121"/>
      <c r="E7" s="121"/>
      <c r="F7" s="121"/>
      <c r="G7" s="121"/>
      <c r="H7" s="121"/>
      <c r="I7" s="121"/>
      <c r="J7" s="121"/>
      <c r="K7" s="121"/>
      <c r="L7" s="121"/>
      <c r="M7" s="121"/>
      <c r="N7" s="121"/>
      <c r="O7" s="121"/>
      <c r="P7" s="121"/>
      <c r="Q7" s="121"/>
      <c r="R7" s="121"/>
      <c r="S7" s="121"/>
      <c r="T7" s="121"/>
      <c r="U7" s="121"/>
      <c r="V7" s="121"/>
      <c r="W7" s="121"/>
      <c r="X7" s="121"/>
      <c r="Y7" s="123"/>
      <c r="Z7" s="60"/>
      <c r="AA7" s="331"/>
    </row>
    <row r="8" spans="1:100">
      <c r="A8" s="44" t="s">
        <v>926</v>
      </c>
      <c r="B8" s="283" t="s">
        <v>927</v>
      </c>
      <c r="C8" s="284"/>
      <c r="D8" s="283" t="s">
        <v>706</v>
      </c>
      <c r="E8" s="284"/>
      <c r="F8" s="283" t="s">
        <v>928</v>
      </c>
      <c r="G8" s="284"/>
      <c r="H8" s="283" t="s">
        <v>447</v>
      </c>
      <c r="I8" s="284"/>
      <c r="J8" s="435" t="s">
        <v>667</v>
      </c>
      <c r="K8" s="436"/>
      <c r="L8" s="283" t="s">
        <v>709</v>
      </c>
      <c r="M8" s="284"/>
      <c r="N8" s="283" t="s">
        <v>411</v>
      </c>
      <c r="O8" s="284"/>
      <c r="P8" s="283" t="s">
        <v>429</v>
      </c>
      <c r="Q8" s="284"/>
      <c r="R8" s="283" t="s">
        <v>434</v>
      </c>
      <c r="S8" s="284"/>
      <c r="T8" s="283" t="s">
        <v>929</v>
      </c>
      <c r="U8" s="284"/>
      <c r="V8" s="437" t="s">
        <v>436</v>
      </c>
      <c r="W8" s="437"/>
      <c r="X8" s="435" t="s">
        <v>667</v>
      </c>
      <c r="Y8" s="436"/>
      <c r="Z8" s="438" t="s">
        <v>656</v>
      </c>
      <c r="AA8" s="439"/>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20"/>
      <c r="BL8" s="220"/>
      <c r="BM8" s="220"/>
      <c r="BN8" s="220"/>
      <c r="BO8" s="220"/>
      <c r="BP8" s="220"/>
      <c r="BQ8" s="220"/>
      <c r="BR8" s="220"/>
      <c r="BS8" s="220"/>
      <c r="BT8" s="220"/>
      <c r="BU8" s="220"/>
      <c r="BV8" s="220"/>
      <c r="BW8" s="220"/>
      <c r="BX8" s="220"/>
      <c r="BY8" s="220"/>
      <c r="BZ8" s="220"/>
      <c r="CA8" s="220"/>
      <c r="CB8" s="220"/>
      <c r="CC8" s="220"/>
      <c r="CD8" s="220"/>
      <c r="CE8" s="220"/>
      <c r="CF8" s="220"/>
      <c r="CG8" s="220"/>
      <c r="CH8" s="220"/>
      <c r="CI8" s="220"/>
      <c r="CJ8" s="220"/>
      <c r="CK8" s="220"/>
      <c r="CL8" s="220"/>
      <c r="CM8" s="220"/>
      <c r="CN8" s="220"/>
      <c r="CO8" s="220"/>
      <c r="CP8" s="220"/>
      <c r="CQ8" s="220"/>
      <c r="CR8" s="220"/>
      <c r="CS8" s="220"/>
      <c r="CT8" s="220"/>
      <c r="CU8" s="220"/>
      <c r="CV8" s="220"/>
    </row>
    <row r="9" spans="1:100">
      <c r="A9" s="65"/>
      <c r="B9" s="254" t="s">
        <v>930</v>
      </c>
      <c r="C9" s="256" t="s">
        <v>931</v>
      </c>
      <c r="D9" s="254" t="s">
        <v>930</v>
      </c>
      <c r="E9" s="256" t="s">
        <v>931</v>
      </c>
      <c r="F9" s="254" t="s">
        <v>930</v>
      </c>
      <c r="G9" s="256" t="s">
        <v>931</v>
      </c>
      <c r="H9" s="254" t="s">
        <v>930</v>
      </c>
      <c r="I9" s="256" t="s">
        <v>931</v>
      </c>
      <c r="J9" s="440" t="s">
        <v>930</v>
      </c>
      <c r="K9" s="441" t="s">
        <v>931</v>
      </c>
      <c r="L9" s="254" t="s">
        <v>930</v>
      </c>
      <c r="M9" s="256" t="s">
        <v>931</v>
      </c>
      <c r="N9" s="254" t="s">
        <v>930</v>
      </c>
      <c r="O9" s="256" t="s">
        <v>931</v>
      </c>
      <c r="P9" s="254" t="s">
        <v>930</v>
      </c>
      <c r="Q9" s="256" t="s">
        <v>931</v>
      </c>
      <c r="R9" s="254" t="s">
        <v>930</v>
      </c>
      <c r="S9" s="256" t="s">
        <v>931</v>
      </c>
      <c r="T9" s="254" t="s">
        <v>930</v>
      </c>
      <c r="U9" s="256" t="s">
        <v>931</v>
      </c>
      <c r="V9" s="442" t="s">
        <v>930</v>
      </c>
      <c r="W9" s="442" t="s">
        <v>931</v>
      </c>
      <c r="X9" s="440" t="s">
        <v>930</v>
      </c>
      <c r="Y9" s="441" t="s">
        <v>931</v>
      </c>
      <c r="Z9" s="440" t="s">
        <v>930</v>
      </c>
      <c r="AA9" s="441" t="s">
        <v>931</v>
      </c>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20"/>
      <c r="BL9" s="220"/>
      <c r="BM9" s="220"/>
      <c r="BN9" s="220"/>
      <c r="BO9" s="220"/>
      <c r="BP9" s="220"/>
      <c r="BQ9" s="220"/>
      <c r="BR9" s="220"/>
      <c r="BS9" s="220"/>
      <c r="BT9" s="220"/>
      <c r="BU9" s="220"/>
      <c r="BV9" s="220"/>
      <c r="BW9" s="220"/>
      <c r="BX9" s="220"/>
      <c r="BY9" s="220"/>
      <c r="BZ9" s="220"/>
      <c r="CA9" s="220"/>
      <c r="CB9" s="220"/>
      <c r="CC9" s="220"/>
      <c r="CD9" s="220"/>
      <c r="CE9" s="220"/>
      <c r="CF9" s="220"/>
      <c r="CG9" s="220"/>
      <c r="CH9" s="220"/>
      <c r="CI9" s="220"/>
      <c r="CJ9" s="220"/>
      <c r="CK9" s="220"/>
      <c r="CL9" s="220"/>
      <c r="CM9" s="220"/>
      <c r="CN9" s="220"/>
      <c r="CO9" s="220"/>
      <c r="CP9" s="220"/>
      <c r="CQ9" s="220"/>
      <c r="CR9" s="220"/>
      <c r="CS9" s="220"/>
      <c r="CT9" s="220"/>
      <c r="CU9" s="220"/>
      <c r="CV9" s="220"/>
    </row>
    <row r="10" spans="1:100" ht="12" customHeight="1">
      <c r="A10" s="44"/>
      <c r="B10" s="45"/>
      <c r="C10" s="47"/>
      <c r="D10" s="57"/>
      <c r="E10" s="293"/>
      <c r="F10" s="47"/>
      <c r="G10" s="47"/>
      <c r="H10" s="57"/>
      <c r="I10" s="293"/>
      <c r="J10" s="443"/>
      <c r="K10" s="444"/>
      <c r="L10" s="45"/>
      <c r="M10" s="47"/>
      <c r="N10" s="57"/>
      <c r="O10" s="293"/>
      <c r="P10" s="47"/>
      <c r="Q10" s="47"/>
      <c r="R10" s="57"/>
      <c r="S10" s="293"/>
      <c r="T10" s="47"/>
      <c r="U10" s="47"/>
      <c r="V10" s="57"/>
      <c r="W10" s="293"/>
      <c r="X10" s="445"/>
      <c r="Y10" s="446"/>
      <c r="Z10" s="445"/>
      <c r="AA10" s="446"/>
    </row>
    <row r="11" spans="1:100" ht="17.25" customHeight="1">
      <c r="A11" s="447" t="s">
        <v>933</v>
      </c>
      <c r="B11" s="1211">
        <f>+[3]Consolidado!$D$15</f>
        <v>5</v>
      </c>
      <c r="C11" s="1211">
        <f>+[3]Consolidado!$E$15</f>
        <v>1</v>
      </c>
      <c r="D11" s="1210">
        <f>+[3]Consolidado!$D$16</f>
        <v>0</v>
      </c>
      <c r="E11" s="1212">
        <f>+[3]Consolidado!$E$16</f>
        <v>0</v>
      </c>
      <c r="F11" s="1211">
        <f>+[3]Consolidado!$D$17</f>
        <v>0</v>
      </c>
      <c r="G11" s="1211">
        <f>+[3]Consolidado!$E$17</f>
        <v>0</v>
      </c>
      <c r="H11" s="1210">
        <f>+[3]Consolidado!$D$18</f>
        <v>0</v>
      </c>
      <c r="I11" s="1212">
        <f>+[3]Consolidado!$E$18</f>
        <v>0</v>
      </c>
      <c r="J11" s="1213">
        <f>+B11+D11+F11+H11</f>
        <v>5</v>
      </c>
      <c r="K11" s="452">
        <f t="shared" ref="J11:K15" si="0">+C11+E11+G11+I11</f>
        <v>1</v>
      </c>
      <c r="L11" s="1211">
        <f>+[3]Consolidado!$D$20</f>
        <v>7</v>
      </c>
      <c r="M11" s="1211">
        <f>+[3]Consolidado!$E$20</f>
        <v>1</v>
      </c>
      <c r="N11" s="1210">
        <f>+[3]Consolidado!$D$21</f>
        <v>0</v>
      </c>
      <c r="O11" s="1212">
        <f>+[3]Consolidado!$E$21</f>
        <v>0</v>
      </c>
      <c r="P11" s="1211">
        <f>+[3]Consolidado!$D$22</f>
        <v>2</v>
      </c>
      <c r="Q11" s="1211">
        <f>+[3]Consolidado!$E$22</f>
        <v>0</v>
      </c>
      <c r="R11" s="1210">
        <f>+[3]Consolidado!$D$23</f>
        <v>0</v>
      </c>
      <c r="S11" s="1212">
        <f>+[3]Consolidado!$E$23</f>
        <v>0</v>
      </c>
      <c r="T11" s="1211">
        <f>+[3]Consolidado!$D$24</f>
        <v>1</v>
      </c>
      <c r="U11" s="1211">
        <f>+[3]Consolidado!$E$24</f>
        <v>1</v>
      </c>
      <c r="V11" s="1210">
        <f>+[3]Consolidado!$D$25</f>
        <v>0</v>
      </c>
      <c r="W11" s="1212">
        <f>+[3]Consolidado!$E$25</f>
        <v>0</v>
      </c>
      <c r="X11" s="453">
        <f t="shared" ref="X11:Y15" si="1">+L11+N11+P11+R11+T11+V11</f>
        <v>10</v>
      </c>
      <c r="Y11" s="454">
        <f t="shared" si="1"/>
        <v>2</v>
      </c>
      <c r="Z11" s="453">
        <f t="shared" ref="Z11:AA15" si="2">+X11+J11</f>
        <v>15</v>
      </c>
      <c r="AA11" s="454">
        <f t="shared" si="2"/>
        <v>3</v>
      </c>
      <c r="AB11" s="6"/>
      <c r="AC11" s="6"/>
      <c r="AD11" s="6"/>
      <c r="AE11" s="6"/>
      <c r="AF11" s="6"/>
      <c r="AG11" s="6"/>
      <c r="AH11" s="6"/>
      <c r="AI11" s="6"/>
      <c r="AJ11" s="6"/>
      <c r="AK11" s="6"/>
      <c r="AL11" s="6"/>
      <c r="AM11" s="6"/>
      <c r="AN11" s="6"/>
      <c r="AO11" s="6"/>
      <c r="AP11" s="6"/>
      <c r="AQ11" s="6"/>
      <c r="AR11" s="6"/>
      <c r="AS11" s="6"/>
      <c r="AT11" s="6"/>
      <c r="AU11" s="6"/>
      <c r="AV11" s="6"/>
      <c r="AW11" s="6"/>
      <c r="AX11" s="6"/>
      <c r="AY11" s="6"/>
      <c r="AZ11" s="6"/>
    </row>
    <row r="12" spans="1:100" ht="19.5" customHeight="1">
      <c r="A12" s="249" t="s">
        <v>934</v>
      </c>
      <c r="B12" s="1211">
        <f>+[3]Consolidado!$F$15</f>
        <v>4</v>
      </c>
      <c r="C12" s="1211">
        <f>+[3]Consolidado!$G$15</f>
        <v>0</v>
      </c>
      <c r="D12" s="1210">
        <f>+[3]Consolidado!$F$16</f>
        <v>1</v>
      </c>
      <c r="E12" s="1212">
        <f>+[3]Consolidado!$G$16</f>
        <v>0</v>
      </c>
      <c r="F12" s="1211">
        <f>+[3]Consolidado!$F$17</f>
        <v>0</v>
      </c>
      <c r="G12" s="1211">
        <f>+[3]Consolidado!$G$17</f>
        <v>0</v>
      </c>
      <c r="H12" s="1210">
        <f>+[3]Consolidado!$F$18</f>
        <v>1</v>
      </c>
      <c r="I12" s="1212">
        <f>+[3]Consolidado!$G$18</f>
        <v>0</v>
      </c>
      <c r="J12" s="451">
        <f t="shared" si="0"/>
        <v>6</v>
      </c>
      <c r="K12" s="452">
        <f t="shared" si="0"/>
        <v>0</v>
      </c>
      <c r="L12" s="1211">
        <f>+[3]Consolidado!$F$20</f>
        <v>6</v>
      </c>
      <c r="M12" s="1211">
        <f>+[3]Consolidado!$G$20</f>
        <v>0</v>
      </c>
      <c r="N12" s="1210">
        <f>+[3]Consolidado!$F$21</f>
        <v>2</v>
      </c>
      <c r="O12" s="1212">
        <f>+[3]Consolidado!$G$21</f>
        <v>1</v>
      </c>
      <c r="P12" s="1211">
        <f>+[3]Consolidado!$F$22</f>
        <v>2</v>
      </c>
      <c r="Q12" s="1211">
        <f>+[3]Consolidado!$G$22</f>
        <v>0</v>
      </c>
      <c r="R12" s="1210">
        <f>+[3]Consolidado!$F$23</f>
        <v>0</v>
      </c>
      <c r="S12" s="1212">
        <f>+[3]Consolidado!$G$23</f>
        <v>0</v>
      </c>
      <c r="T12" s="1211">
        <f>+[3]Consolidado!$F$24</f>
        <v>2</v>
      </c>
      <c r="U12" s="1211">
        <f>+[3]Consolidado!$G$24</f>
        <v>1</v>
      </c>
      <c r="V12" s="1210">
        <f>+[3]Consolidado!$F$25</f>
        <v>0</v>
      </c>
      <c r="W12" s="1212">
        <f>+[3]Consolidado!$G$25</f>
        <v>0</v>
      </c>
      <c r="X12" s="453">
        <f t="shared" si="1"/>
        <v>12</v>
      </c>
      <c r="Y12" s="454">
        <f t="shared" si="1"/>
        <v>2</v>
      </c>
      <c r="Z12" s="453">
        <f t="shared" si="2"/>
        <v>18</v>
      </c>
      <c r="AA12" s="454">
        <f t="shared" si="2"/>
        <v>2</v>
      </c>
    </row>
    <row r="13" spans="1:100" ht="18.75" customHeight="1">
      <c r="A13" s="249" t="s">
        <v>935</v>
      </c>
      <c r="B13" s="1211">
        <f>+[3]Consolidado!$H$15</f>
        <v>11</v>
      </c>
      <c r="C13" s="1211">
        <f>+[3]Consolidado!$I$15</f>
        <v>1</v>
      </c>
      <c r="D13" s="1210">
        <f>+[3]Consolidado!$H$16</f>
        <v>0</v>
      </c>
      <c r="E13" s="1212">
        <f>+[3]Consolidado!$I$16</f>
        <v>0</v>
      </c>
      <c r="F13" s="1211">
        <f>+[3]Consolidado!$H$17</f>
        <v>2</v>
      </c>
      <c r="G13" s="1211">
        <f>+[3]Consolidado!$I$17</f>
        <v>0</v>
      </c>
      <c r="H13" s="1210">
        <f>+[3]Consolidado!$H$18</f>
        <v>2</v>
      </c>
      <c r="I13" s="1212">
        <f>+[3]Consolidado!$I$18</f>
        <v>0</v>
      </c>
      <c r="J13" s="451">
        <f t="shared" si="0"/>
        <v>15</v>
      </c>
      <c r="K13" s="452">
        <f t="shared" si="0"/>
        <v>1</v>
      </c>
      <c r="L13" s="1211">
        <f>+[3]Consolidado!$H$20</f>
        <v>20</v>
      </c>
      <c r="M13" s="1211">
        <f>+[3]Consolidado!$I$20</f>
        <v>2</v>
      </c>
      <c r="N13" s="1210">
        <f>+[3]Consolidado!$H$21</f>
        <v>2</v>
      </c>
      <c r="O13" s="1212">
        <f>+[3]Consolidado!$I$21</f>
        <v>0</v>
      </c>
      <c r="P13" s="1211">
        <f>+[3]Consolidado!$H$22</f>
        <v>3</v>
      </c>
      <c r="Q13" s="1211">
        <f>+[3]Consolidado!$I$22</f>
        <v>0</v>
      </c>
      <c r="R13" s="1210">
        <f>+[3]Consolidado!$H$23</f>
        <v>3</v>
      </c>
      <c r="S13" s="1212">
        <f>+[3]Consolidado!$I$23</f>
        <v>0</v>
      </c>
      <c r="T13" s="1211">
        <f>+[3]Consolidado!$H$24</f>
        <v>0</v>
      </c>
      <c r="U13" s="1211">
        <f>+[3]Consolidado!$I$24</f>
        <v>2</v>
      </c>
      <c r="V13" s="1210">
        <f>+[3]Consolidado!$H$25</f>
        <v>1</v>
      </c>
      <c r="W13" s="1212">
        <f>+[3]Consolidado!$I$25</f>
        <v>0</v>
      </c>
      <c r="X13" s="453">
        <f t="shared" si="1"/>
        <v>29</v>
      </c>
      <c r="Y13" s="454">
        <f t="shared" si="1"/>
        <v>4</v>
      </c>
      <c r="Z13" s="453">
        <f t="shared" si="2"/>
        <v>44</v>
      </c>
      <c r="AA13" s="454">
        <f t="shared" si="2"/>
        <v>5</v>
      </c>
    </row>
    <row r="14" spans="1:100" ht="18.75" customHeight="1">
      <c r="A14" s="249" t="s">
        <v>936</v>
      </c>
      <c r="B14" s="1211">
        <f>+[3]Consolidado!$J$15</f>
        <v>37</v>
      </c>
      <c r="C14" s="1211">
        <f>+[3]Consolidado!$K$15</f>
        <v>2</v>
      </c>
      <c r="D14" s="1210">
        <f>+[3]Consolidado!$J$16</f>
        <v>8</v>
      </c>
      <c r="E14" s="1212">
        <f>+[3]Consolidado!$K$16</f>
        <v>0</v>
      </c>
      <c r="F14" s="1211">
        <f>+[3]Consolidado!$J$17</f>
        <v>9</v>
      </c>
      <c r="G14" s="1211">
        <f>+[3]Consolidado!$K$17</f>
        <v>0</v>
      </c>
      <c r="H14" s="1210">
        <f>+[3]Consolidado!$J$18</f>
        <v>6</v>
      </c>
      <c r="I14" s="1212">
        <f>+[3]Consolidado!$K$18</f>
        <v>0</v>
      </c>
      <c r="J14" s="451">
        <f t="shared" si="0"/>
        <v>60</v>
      </c>
      <c r="K14" s="452">
        <f t="shared" si="0"/>
        <v>2</v>
      </c>
      <c r="L14" s="1211">
        <f>+[3]Consolidado!$J$20</f>
        <v>48</v>
      </c>
      <c r="M14" s="1211">
        <f>+[3]Consolidado!$K$20</f>
        <v>1</v>
      </c>
      <c r="N14" s="1210">
        <f>+[3]Consolidado!$J$21</f>
        <v>8</v>
      </c>
      <c r="O14" s="1212">
        <f>+[3]Consolidado!$K$21</f>
        <v>0</v>
      </c>
      <c r="P14" s="1211">
        <f>+[3]Consolidado!$J$22</f>
        <v>17</v>
      </c>
      <c r="Q14" s="1211">
        <f>+[3]Consolidado!$K$22</f>
        <v>1</v>
      </c>
      <c r="R14" s="1210">
        <f>+[3]Consolidado!$J$23</f>
        <v>3</v>
      </c>
      <c r="S14" s="1212">
        <f>+[3]Consolidado!$K$23</f>
        <v>0</v>
      </c>
      <c r="T14" s="1211">
        <f>+[3]Consolidado!$J$24</f>
        <v>9</v>
      </c>
      <c r="U14" s="1211">
        <f>+[3]Consolidado!$K$24</f>
        <v>0</v>
      </c>
      <c r="V14" s="1210">
        <f>+[3]Consolidado!$J$25</f>
        <v>6</v>
      </c>
      <c r="W14" s="1212">
        <f>+[3]Consolidado!$K$25</f>
        <v>0</v>
      </c>
      <c r="X14" s="453">
        <f t="shared" si="1"/>
        <v>91</v>
      </c>
      <c r="Y14" s="454">
        <f t="shared" si="1"/>
        <v>2</v>
      </c>
      <c r="Z14" s="453">
        <f t="shared" si="2"/>
        <v>151</v>
      </c>
      <c r="AA14" s="454">
        <f t="shared" si="2"/>
        <v>4</v>
      </c>
    </row>
    <row r="15" spans="1:100" ht="18.75" customHeight="1">
      <c r="A15" s="249" t="s">
        <v>937</v>
      </c>
      <c r="B15" s="1211">
        <f>+[3]Consolidado!$L$15</f>
        <v>163</v>
      </c>
      <c r="C15" s="1211">
        <f>+[3]Consolidado!$M$15</f>
        <v>1</v>
      </c>
      <c r="D15" s="1210">
        <f>+[3]Consolidado!$L$16</f>
        <v>36</v>
      </c>
      <c r="E15" s="1212">
        <f>+[3]Consolidado!$M$16</f>
        <v>0</v>
      </c>
      <c r="F15" s="1211">
        <f>+[3]Consolidado!$L$17</f>
        <v>33</v>
      </c>
      <c r="G15" s="1211">
        <f>+[3]Consolidado!$M$17</f>
        <v>0</v>
      </c>
      <c r="H15" s="1210">
        <f>+[3]Consolidado!$L$18</f>
        <v>29</v>
      </c>
      <c r="I15" s="1212">
        <f>+[3]Consolidado!$M$18</f>
        <v>0</v>
      </c>
      <c r="J15" s="451">
        <f t="shared" si="0"/>
        <v>261</v>
      </c>
      <c r="K15" s="452">
        <f t="shared" si="0"/>
        <v>1</v>
      </c>
      <c r="L15" s="1211">
        <f>+[3]Consolidado!$L$20</f>
        <v>204</v>
      </c>
      <c r="M15" s="1211">
        <f>+[3]Consolidado!$M$20</f>
        <v>0</v>
      </c>
      <c r="N15" s="1210">
        <f>+[3]Consolidado!$L$21</f>
        <v>35</v>
      </c>
      <c r="O15" s="1212">
        <f>+[3]Consolidado!$M$21</f>
        <v>0</v>
      </c>
      <c r="P15" s="1211">
        <f>+[3]Consolidado!$L$22</f>
        <v>26</v>
      </c>
      <c r="Q15" s="1211">
        <f>+[3]Consolidado!$M$22</f>
        <v>0</v>
      </c>
      <c r="R15" s="1210">
        <f>+[3]Consolidado!$L$23</f>
        <v>11</v>
      </c>
      <c r="S15" s="1212">
        <f>+[3]Consolidado!$M$23</f>
        <v>0</v>
      </c>
      <c r="T15" s="1211">
        <f>+[3]Consolidado!$L$24</f>
        <v>59</v>
      </c>
      <c r="U15" s="1211">
        <f>+[3]Consolidado!$M$24</f>
        <v>0</v>
      </c>
      <c r="V15" s="1210">
        <f>+[3]Consolidado!$L$25</f>
        <v>30</v>
      </c>
      <c r="W15" s="1212">
        <f>+[3]Consolidado!$M$25</f>
        <v>0</v>
      </c>
      <c r="X15" s="453">
        <f t="shared" si="1"/>
        <v>365</v>
      </c>
      <c r="Y15" s="454">
        <f t="shared" si="1"/>
        <v>0</v>
      </c>
      <c r="Z15" s="453">
        <f t="shared" si="2"/>
        <v>626</v>
      </c>
      <c r="AA15" s="454">
        <f t="shared" si="2"/>
        <v>1</v>
      </c>
    </row>
    <row r="16" spans="1:100" ht="19.5" customHeight="1">
      <c r="A16" s="249" t="s">
        <v>938</v>
      </c>
      <c r="B16" s="448">
        <f t="shared" ref="B16:W16" si="3">SUM(B11:B15)</f>
        <v>220</v>
      </c>
      <c r="C16" s="448">
        <f t="shared" si="3"/>
        <v>5</v>
      </c>
      <c r="D16" s="449">
        <f t="shared" si="3"/>
        <v>45</v>
      </c>
      <c r="E16" s="450">
        <f t="shared" si="3"/>
        <v>0</v>
      </c>
      <c r="F16" s="448">
        <f t="shared" si="3"/>
        <v>44</v>
      </c>
      <c r="G16" s="448">
        <f t="shared" si="3"/>
        <v>0</v>
      </c>
      <c r="H16" s="449">
        <f t="shared" si="3"/>
        <v>38</v>
      </c>
      <c r="I16" s="450">
        <f t="shared" si="3"/>
        <v>0</v>
      </c>
      <c r="J16" s="451">
        <f t="shared" si="3"/>
        <v>347</v>
      </c>
      <c r="K16" s="452">
        <f t="shared" si="3"/>
        <v>5</v>
      </c>
      <c r="L16" s="448">
        <f t="shared" si="3"/>
        <v>285</v>
      </c>
      <c r="M16" s="448">
        <f t="shared" si="3"/>
        <v>4</v>
      </c>
      <c r="N16" s="449">
        <f t="shared" si="3"/>
        <v>47</v>
      </c>
      <c r="O16" s="450">
        <f t="shared" si="3"/>
        <v>1</v>
      </c>
      <c r="P16" s="448">
        <f t="shared" si="3"/>
        <v>50</v>
      </c>
      <c r="Q16" s="448">
        <f t="shared" si="3"/>
        <v>1</v>
      </c>
      <c r="R16" s="449">
        <f t="shared" si="3"/>
        <v>17</v>
      </c>
      <c r="S16" s="450">
        <f t="shared" si="3"/>
        <v>0</v>
      </c>
      <c r="T16" s="448">
        <f t="shared" si="3"/>
        <v>71</v>
      </c>
      <c r="U16" s="448">
        <f t="shared" si="3"/>
        <v>4</v>
      </c>
      <c r="V16" s="449">
        <f t="shared" si="3"/>
        <v>37</v>
      </c>
      <c r="W16" s="450">
        <f t="shared" si="3"/>
        <v>0</v>
      </c>
      <c r="X16" s="453">
        <f>SUM(X11:X15)</f>
        <v>507</v>
      </c>
      <c r="Y16" s="455">
        <f>SUM(Y11:Y15)</f>
        <v>10</v>
      </c>
      <c r="Z16" s="453">
        <f>SUM(Z11:Z15)</f>
        <v>854</v>
      </c>
      <c r="AA16" s="454">
        <f>SUM(AA11:AA15)</f>
        <v>15</v>
      </c>
    </row>
    <row r="17" spans="1:27" ht="19.5" customHeight="1">
      <c r="A17" s="249" t="s">
        <v>939</v>
      </c>
      <c r="B17" s="1211">
        <f>+[3]Consolidado!$N$15</f>
        <v>397</v>
      </c>
      <c r="C17" s="1211">
        <f>+[3]Consolidado!$O$15</f>
        <v>0</v>
      </c>
      <c r="D17" s="1210">
        <f>+[3]Consolidado!$N$16</f>
        <v>89</v>
      </c>
      <c r="E17" s="1212">
        <f>+[3]Consolidado!$O$16</f>
        <v>0</v>
      </c>
      <c r="F17" s="1211">
        <f>+[3]Consolidado!$N$17</f>
        <v>85</v>
      </c>
      <c r="G17" s="1211">
        <f>+[3]Consolidado!$O$17</f>
        <v>0</v>
      </c>
      <c r="H17" s="1210">
        <f>+[3]Consolidado!$N$18</f>
        <v>55</v>
      </c>
      <c r="I17" s="1212">
        <f>+[3]Consolidado!$O$18</f>
        <v>0</v>
      </c>
      <c r="J17" s="451">
        <f t="shared" ref="J17:K19" si="4">+B17+D17+F17+H17</f>
        <v>626</v>
      </c>
      <c r="K17" s="452">
        <f t="shared" si="4"/>
        <v>0</v>
      </c>
      <c r="L17" s="1211">
        <f>+[3]Consolidado!$N$20</f>
        <v>478</v>
      </c>
      <c r="M17" s="1211">
        <f>+[3]Consolidado!$O$20</f>
        <v>0</v>
      </c>
      <c r="N17" s="1210">
        <f>+[3]Consolidado!$N$21</f>
        <v>93</v>
      </c>
      <c r="O17" s="1212">
        <f>+[3]Consolidado!$O$21</f>
        <v>0</v>
      </c>
      <c r="P17" s="1211">
        <f>+[3]Consolidado!$N$22</f>
        <v>88</v>
      </c>
      <c r="Q17" s="1211">
        <f>+[3]Consolidado!$O$22</f>
        <v>0</v>
      </c>
      <c r="R17" s="1210">
        <f>+[3]Consolidado!$N$23</f>
        <v>43</v>
      </c>
      <c r="S17" s="1212">
        <f>+[3]Consolidado!$O$23</f>
        <v>0</v>
      </c>
      <c r="T17" s="1211">
        <f>+[3]Consolidado!$N$24</f>
        <v>141</v>
      </c>
      <c r="U17" s="1211">
        <f>+[3]Consolidado!$O$24</f>
        <v>0</v>
      </c>
      <c r="V17" s="1210">
        <f>+[3]Consolidado!$N$25</f>
        <v>80</v>
      </c>
      <c r="W17" s="1212">
        <f>+[3]Consolidado!$O$25</f>
        <v>0</v>
      </c>
      <c r="X17" s="453">
        <f t="shared" ref="X17:Y19" si="5">+L17+N17+P17+R17+T17+V17</f>
        <v>923</v>
      </c>
      <c r="Y17" s="454">
        <f t="shared" si="5"/>
        <v>0</v>
      </c>
      <c r="Z17" s="453">
        <f t="shared" ref="Z17:AA19" si="6">+X17+J17</f>
        <v>1549</v>
      </c>
      <c r="AA17" s="454">
        <f t="shared" si="6"/>
        <v>0</v>
      </c>
    </row>
    <row r="18" spans="1:27" ht="18.75" customHeight="1">
      <c r="A18" s="249" t="s">
        <v>940</v>
      </c>
      <c r="B18" s="1211">
        <f>+[3]Consolidado!$P$15</f>
        <v>249</v>
      </c>
      <c r="C18" s="1211">
        <f>+[3]Consolidado!$Q$15</f>
        <v>0</v>
      </c>
      <c r="D18" s="1210">
        <f>+[3]Consolidado!$P$16</f>
        <v>56</v>
      </c>
      <c r="E18" s="1212">
        <f>+[3]Consolidado!$Q$16</f>
        <v>0</v>
      </c>
      <c r="F18" s="1211">
        <f>+[3]Consolidado!$P$17</f>
        <v>47</v>
      </c>
      <c r="G18" s="1211">
        <f>+[3]Consolidado!$Q$17</f>
        <v>0</v>
      </c>
      <c r="H18" s="1210">
        <f>+[3]Consolidado!$P$18</f>
        <v>34</v>
      </c>
      <c r="I18" s="1212">
        <f>+[3]Consolidado!$Q$18</f>
        <v>0</v>
      </c>
      <c r="J18" s="451">
        <f t="shared" si="4"/>
        <v>386</v>
      </c>
      <c r="K18" s="452">
        <f t="shared" si="4"/>
        <v>0</v>
      </c>
      <c r="L18" s="1211">
        <f>+[3]Consolidado!$P$20</f>
        <v>293</v>
      </c>
      <c r="M18" s="1211">
        <f>+[3]Consolidado!$Q$20</f>
        <v>0</v>
      </c>
      <c r="N18" s="1210">
        <f>+[3]Consolidado!$P$21</f>
        <v>68</v>
      </c>
      <c r="O18" s="1212">
        <f>+[3]Consolidado!$Q$21</f>
        <v>0</v>
      </c>
      <c r="P18" s="1211">
        <f>+[3]Consolidado!$P$22</f>
        <v>51</v>
      </c>
      <c r="Q18" s="1211">
        <f>+[3]Consolidado!$Q$22</f>
        <v>0</v>
      </c>
      <c r="R18" s="1210">
        <f>+[3]Consolidado!$P$23</f>
        <v>31</v>
      </c>
      <c r="S18" s="1212">
        <f>+[3]Consolidado!$Q$23</f>
        <v>0</v>
      </c>
      <c r="T18" s="1211">
        <f>+[3]Consolidado!$P$24</f>
        <v>96</v>
      </c>
      <c r="U18" s="1211">
        <f>+[3]Consolidado!$Q$24</f>
        <v>0</v>
      </c>
      <c r="V18" s="1210">
        <f>+[3]Consolidado!$P$25</f>
        <v>45</v>
      </c>
      <c r="W18" s="1212">
        <f>+[3]Consolidado!$Q$25</f>
        <v>0</v>
      </c>
      <c r="X18" s="453">
        <f t="shared" si="5"/>
        <v>584</v>
      </c>
      <c r="Y18" s="454">
        <f t="shared" si="5"/>
        <v>0</v>
      </c>
      <c r="Z18" s="453">
        <f t="shared" si="6"/>
        <v>970</v>
      </c>
      <c r="AA18" s="454">
        <f t="shared" si="6"/>
        <v>0</v>
      </c>
    </row>
    <row r="19" spans="1:27" ht="18.75" customHeight="1">
      <c r="A19" s="249" t="s">
        <v>941</v>
      </c>
      <c r="B19" s="1211">
        <f>+[3]Consolidado!$R$15+[3]Consolidado!$T$15</f>
        <v>58</v>
      </c>
      <c r="C19" s="1211">
        <f>+[3]Consolidado!$S$15+[3]Consolidado!$U$15</f>
        <v>0</v>
      </c>
      <c r="D19" s="1210">
        <f>+[3]Consolidado!$R$16+[3]Consolidado!$T$16</f>
        <v>17</v>
      </c>
      <c r="E19" s="1212">
        <f>+[3]Consolidado!$S$16+[3]Consolidado!$U$16</f>
        <v>0</v>
      </c>
      <c r="F19" s="1211">
        <f>+[3]Consolidado!$R$17+[3]Consolidado!$T$17</f>
        <v>13</v>
      </c>
      <c r="G19" s="1211">
        <f>+[3]Consolidado!$S$17+[3]Consolidado!$U$17</f>
        <v>0</v>
      </c>
      <c r="H19" s="1210">
        <f>+[3]Consolidado!$R$18+[3]Consolidado!$T$18</f>
        <v>13</v>
      </c>
      <c r="I19" s="1212">
        <f>+[3]Consolidado!$S$18+[3]Consolidado!$U$18</f>
        <v>0</v>
      </c>
      <c r="J19" s="451">
        <f t="shared" si="4"/>
        <v>101</v>
      </c>
      <c r="K19" s="452">
        <f t="shared" si="4"/>
        <v>0</v>
      </c>
      <c r="L19" s="1211">
        <f>+[3]Consolidado!$R$20+[3]Consolidado!$T$20</f>
        <v>60</v>
      </c>
      <c r="M19" s="1211">
        <f>+[3]Consolidado!$S$20+[3]Consolidado!$U$20</f>
        <v>0</v>
      </c>
      <c r="N19" s="1210">
        <f>+[3]Consolidado!$R$21+[3]Consolidado!$T$21</f>
        <v>10</v>
      </c>
      <c r="O19" s="1212">
        <f>+[3]Consolidado!$S$21+[3]Consolidado!$U$21</f>
        <v>0</v>
      </c>
      <c r="P19" s="1211">
        <f>+[3]Consolidado!$R$22+[3]Consolidado!$T$22</f>
        <v>17</v>
      </c>
      <c r="Q19" s="1211">
        <f>+[3]Consolidado!$S$22+[3]Consolidado!$U$22</f>
        <v>0</v>
      </c>
      <c r="R19" s="1210">
        <f>+[3]Consolidado!$R$23+[3]Consolidado!$T$23</f>
        <v>15</v>
      </c>
      <c r="S19" s="1212">
        <f>+[3]Consolidado!$S$23+[3]Consolidado!$U$23</f>
        <v>0</v>
      </c>
      <c r="T19" s="1211">
        <f>+[3]Consolidado!$R$24+[3]Consolidado!$T$24</f>
        <v>25</v>
      </c>
      <c r="U19" s="1211">
        <f>+[3]Consolidado!$S$24+[3]Consolidado!$U$24</f>
        <v>0</v>
      </c>
      <c r="V19" s="1210">
        <f>+[3]Consolidado!$R$25+[3]Consolidado!$T$25</f>
        <v>12</v>
      </c>
      <c r="W19" s="1212">
        <f>+[3]Consolidado!$S$25+[3]Consolidado!$U$25</f>
        <v>0</v>
      </c>
      <c r="X19" s="453">
        <f t="shared" si="5"/>
        <v>139</v>
      </c>
      <c r="Y19" s="454">
        <f t="shared" si="5"/>
        <v>0</v>
      </c>
      <c r="Z19" s="453">
        <f t="shared" si="6"/>
        <v>240</v>
      </c>
      <c r="AA19" s="454">
        <f t="shared" si="6"/>
        <v>0</v>
      </c>
    </row>
    <row r="20" spans="1:27" ht="23.25" customHeight="1">
      <c r="A20" s="253" t="s">
        <v>656</v>
      </c>
      <c r="B20" s="456">
        <f>SUM(B16:B19)</f>
        <v>924</v>
      </c>
      <c r="C20" s="457">
        <f t="shared" ref="C20:R20" si="7">SUM(C16:C19)</f>
        <v>5</v>
      </c>
      <c r="D20" s="456">
        <f>SUM(D16:D19)</f>
        <v>207</v>
      </c>
      <c r="E20" s="458">
        <f t="shared" si="7"/>
        <v>0</v>
      </c>
      <c r="F20" s="457">
        <f t="shared" si="7"/>
        <v>189</v>
      </c>
      <c r="G20" s="457">
        <f t="shared" si="7"/>
        <v>0</v>
      </c>
      <c r="H20" s="456">
        <f>SUM(H16:H19)</f>
        <v>140</v>
      </c>
      <c r="I20" s="458">
        <f t="shared" si="7"/>
        <v>0</v>
      </c>
      <c r="J20" s="459">
        <f t="shared" si="7"/>
        <v>1460</v>
      </c>
      <c r="K20" s="460">
        <f t="shared" si="7"/>
        <v>5</v>
      </c>
      <c r="L20" s="457">
        <f t="shared" si="7"/>
        <v>1116</v>
      </c>
      <c r="M20" s="457">
        <f t="shared" si="7"/>
        <v>4</v>
      </c>
      <c r="N20" s="456">
        <f t="shared" si="7"/>
        <v>218</v>
      </c>
      <c r="O20" s="458">
        <f t="shared" si="7"/>
        <v>1</v>
      </c>
      <c r="P20" s="457">
        <f t="shared" si="7"/>
        <v>206</v>
      </c>
      <c r="Q20" s="457">
        <f t="shared" si="7"/>
        <v>1</v>
      </c>
      <c r="R20" s="456">
        <f t="shared" si="7"/>
        <v>106</v>
      </c>
      <c r="S20" s="458">
        <f t="shared" ref="S20:AA20" si="8">SUM(S16:S19)</f>
        <v>0</v>
      </c>
      <c r="T20" s="457">
        <f t="shared" si="8"/>
        <v>333</v>
      </c>
      <c r="U20" s="457">
        <f t="shared" si="8"/>
        <v>4</v>
      </c>
      <c r="V20" s="456">
        <f t="shared" si="8"/>
        <v>174</v>
      </c>
      <c r="W20" s="458">
        <f t="shared" si="8"/>
        <v>0</v>
      </c>
      <c r="X20" s="461">
        <f t="shared" si="8"/>
        <v>2153</v>
      </c>
      <c r="Y20" s="462">
        <f t="shared" si="8"/>
        <v>10</v>
      </c>
      <c r="Z20" s="461">
        <f t="shared" si="8"/>
        <v>3613</v>
      </c>
      <c r="AA20" s="462">
        <f t="shared" si="8"/>
        <v>15</v>
      </c>
    </row>
    <row r="21" spans="1:27">
      <c r="A21" s="6"/>
      <c r="B21" s="448"/>
      <c r="C21" s="448"/>
      <c r="D21" s="448"/>
      <c r="E21" s="448"/>
      <c r="F21" s="448"/>
      <c r="G21" s="448"/>
      <c r="H21" s="448"/>
      <c r="I21" s="448"/>
      <c r="J21" s="463"/>
      <c r="K21" s="463"/>
      <c r="L21" s="448"/>
      <c r="M21" s="448"/>
      <c r="N21" s="448"/>
      <c r="O21" s="448"/>
      <c r="P21" s="448"/>
      <c r="Q21" s="448"/>
      <c r="R21" s="448"/>
      <c r="S21" s="448"/>
      <c r="T21" s="448"/>
      <c r="U21" s="448"/>
      <c r="V21" s="448"/>
      <c r="W21" s="448"/>
      <c r="X21" s="463"/>
      <c r="Y21" s="463"/>
      <c r="Z21" s="463"/>
      <c r="AA21" s="463"/>
    </row>
    <row r="22" spans="1:27">
      <c r="A22" s="6"/>
      <c r="B22" s="448"/>
      <c r="C22" s="448"/>
      <c r="D22" s="448"/>
      <c r="E22" s="448"/>
      <c r="F22" s="448"/>
      <c r="G22" s="448"/>
      <c r="H22" s="448"/>
      <c r="I22" s="448"/>
      <c r="J22" s="463"/>
      <c r="K22" s="463"/>
      <c r="L22" s="448"/>
      <c r="M22" s="448"/>
      <c r="N22" s="448"/>
      <c r="O22" s="448"/>
      <c r="P22" s="448"/>
      <c r="Q22" s="448"/>
      <c r="R22" s="448"/>
      <c r="S22" s="448"/>
      <c r="T22" s="448"/>
      <c r="U22" s="448"/>
      <c r="V22" s="448"/>
      <c r="W22" s="448"/>
      <c r="X22" s="463"/>
      <c r="Y22" s="463"/>
      <c r="Z22" s="463"/>
      <c r="AA22" s="463"/>
    </row>
    <row r="23" spans="1:27" ht="20.25" customHeight="1">
      <c r="A23" s="464" t="s">
        <v>942</v>
      </c>
      <c r="B23" s="465">
        <v>923</v>
      </c>
      <c r="C23" s="466"/>
      <c r="D23" s="465">
        <v>207</v>
      </c>
      <c r="E23" s="467"/>
      <c r="F23" s="466">
        <v>189</v>
      </c>
      <c r="G23" s="466"/>
      <c r="H23" s="465">
        <v>140</v>
      </c>
      <c r="I23" s="467"/>
      <c r="J23" s="468">
        <f>+B23+D23+F23+H23</f>
        <v>1459</v>
      </c>
      <c r="K23" s="466"/>
      <c r="L23" s="465">
        <v>1116</v>
      </c>
      <c r="M23" s="467"/>
      <c r="N23" s="466">
        <v>218</v>
      </c>
      <c r="O23" s="466"/>
      <c r="P23" s="465">
        <v>206</v>
      </c>
      <c r="Q23" s="467"/>
      <c r="R23" s="466">
        <v>106</v>
      </c>
      <c r="S23" s="466"/>
      <c r="T23" s="465">
        <v>332</v>
      </c>
      <c r="U23" s="467"/>
      <c r="V23" s="466">
        <v>174</v>
      </c>
      <c r="W23" s="467"/>
      <c r="X23" s="469">
        <f>+L23+N23+P23+R23+T23+V23</f>
        <v>2152</v>
      </c>
      <c r="Y23" s="470"/>
      <c r="Z23" s="469">
        <f>+X23+J23</f>
        <v>3611</v>
      </c>
      <c r="AA23" s="470"/>
    </row>
    <row r="24" spans="1:27" ht="20.25" customHeight="1">
      <c r="A24" s="471" t="s">
        <v>943</v>
      </c>
      <c r="B24" s="472">
        <f>+B23/B20*100</f>
        <v>99.891774891774887</v>
      </c>
      <c r="C24" s="457"/>
      <c r="D24" s="472">
        <f>+D23/D20*100</f>
        <v>100</v>
      </c>
      <c r="E24" s="458"/>
      <c r="F24" s="473">
        <f>+F23/F20*100</f>
        <v>100</v>
      </c>
      <c r="G24" s="457"/>
      <c r="H24" s="472">
        <f>+H23/H20*100</f>
        <v>100</v>
      </c>
      <c r="I24" s="458"/>
      <c r="J24" s="474">
        <f>+J23/J20*100</f>
        <v>99.93150684931507</v>
      </c>
      <c r="K24" s="475"/>
      <c r="L24" s="472">
        <f>+L23/L20*100</f>
        <v>100</v>
      </c>
      <c r="M24" s="458"/>
      <c r="N24" s="473">
        <f>+N23/N20*100</f>
        <v>100</v>
      </c>
      <c r="O24" s="457"/>
      <c r="P24" s="472">
        <f>+P23/P20*100</f>
        <v>100</v>
      </c>
      <c r="Q24" s="458"/>
      <c r="R24" s="473">
        <f>+R23/R20*100</f>
        <v>100</v>
      </c>
      <c r="S24" s="457"/>
      <c r="T24" s="472">
        <f>+T23/T20*100</f>
        <v>99.699699699699693</v>
      </c>
      <c r="U24" s="458"/>
      <c r="V24" s="473">
        <f>+V23/V20*100</f>
        <v>100</v>
      </c>
      <c r="W24" s="458"/>
      <c r="X24" s="476">
        <f>+X23/X20*100</f>
        <v>99.953553181607063</v>
      </c>
      <c r="Y24" s="462"/>
      <c r="Z24" s="476">
        <f>+Z23/Z20*100</f>
        <v>99.944644339883752</v>
      </c>
      <c r="AA24" s="462"/>
    </row>
  </sheetData>
  <phoneticPr fontId="19" type="noConversion"/>
  <pageMargins left="1.1811023622047245" right="0.59055118110236227" top="1.5748031496062993" bottom="0.98425196850393704" header="0.51181102362204722" footer="0.51181102362204722"/>
  <pageSetup paperSize="5" scale="95" orientation="landscape" horizontalDpi="300" verticalDpi="300" r:id="rId1"/>
  <headerFooter alignWithMargins="0"/>
  <ignoredErrors>
    <ignoredError sqref="J16:K17 X16:AA17"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G21"/>
  <sheetViews>
    <sheetView showGridLines="0" topLeftCell="A13" workbookViewId="0">
      <selection activeCell="M5" sqref="M5"/>
    </sheetView>
  </sheetViews>
  <sheetFormatPr baseColWidth="10" defaultRowHeight="12.75"/>
  <sheetData>
    <row r="5" spans="1:7">
      <c r="F5" s="174"/>
    </row>
    <row r="10" spans="1:7" ht="23.25">
      <c r="A10" s="173"/>
      <c r="B10" s="175"/>
      <c r="C10" s="176"/>
      <c r="D10" s="176"/>
      <c r="E10" s="176"/>
      <c r="F10" s="177"/>
      <c r="G10" s="1"/>
    </row>
    <row r="11" spans="1:7" ht="23.25">
      <c r="A11" s="173"/>
      <c r="B11" s="175"/>
      <c r="C11" s="176"/>
      <c r="D11" s="176"/>
      <c r="E11" s="176"/>
      <c r="F11" s="177"/>
      <c r="G11" s="1"/>
    </row>
    <row r="12" spans="1:7" ht="23.25">
      <c r="A12" s="173"/>
      <c r="B12" s="175"/>
      <c r="C12" s="176"/>
      <c r="D12" s="176"/>
      <c r="E12" s="176"/>
      <c r="F12" s="177"/>
      <c r="G12" s="1"/>
    </row>
    <row r="13" spans="1:7" ht="23.25">
      <c r="A13" s="173"/>
      <c r="B13" s="175"/>
      <c r="C13" s="176"/>
      <c r="D13" s="176"/>
      <c r="E13" s="176"/>
      <c r="F13" s="177"/>
      <c r="G13" s="1"/>
    </row>
    <row r="14" spans="1:7" ht="23.25">
      <c r="A14" s="173"/>
      <c r="B14" s="175"/>
      <c r="C14" s="176"/>
      <c r="D14" s="176"/>
      <c r="E14" s="176"/>
      <c r="F14" s="177"/>
      <c r="G14" s="1"/>
    </row>
    <row r="15" spans="1:7" ht="23.25">
      <c r="A15" s="178"/>
      <c r="B15" s="175"/>
      <c r="C15" s="176"/>
      <c r="D15" s="176"/>
      <c r="E15" s="176"/>
      <c r="F15" s="177"/>
      <c r="G15" s="1"/>
    </row>
    <row r="16" spans="1:7" ht="23.25">
      <c r="A16" s="178"/>
      <c r="B16" s="179"/>
      <c r="C16" s="179"/>
      <c r="D16" s="179"/>
      <c r="E16" s="179"/>
      <c r="F16" s="1"/>
      <c r="G16" s="1"/>
    </row>
    <row r="17" spans="1:7" ht="23.25">
      <c r="A17" s="178"/>
      <c r="B17" s="179"/>
      <c r="C17" s="179"/>
      <c r="D17" s="179"/>
      <c r="E17" s="179"/>
      <c r="F17" s="1"/>
      <c r="G17" s="1"/>
    </row>
    <row r="18" spans="1:7" ht="23.25">
      <c r="A18" s="173"/>
      <c r="B18" s="179"/>
      <c r="C18" s="179"/>
      <c r="D18" s="179"/>
      <c r="E18" s="179"/>
      <c r="F18" s="1"/>
      <c r="G18" s="1"/>
    </row>
    <row r="19" spans="1:7">
      <c r="A19" s="179"/>
      <c r="B19" s="179"/>
      <c r="C19" s="179"/>
      <c r="D19" s="179"/>
      <c r="E19" s="179"/>
      <c r="F19" s="1"/>
      <c r="G19" s="1"/>
    </row>
    <row r="20" spans="1:7">
      <c r="A20" s="2"/>
      <c r="B20" s="2"/>
      <c r="C20" s="2"/>
      <c r="D20" s="2"/>
      <c r="E20" s="2"/>
    </row>
    <row r="21" spans="1:7">
      <c r="A21" s="2"/>
      <c r="B21" s="2"/>
      <c r="C21" s="2"/>
      <c r="D21" s="2"/>
      <c r="E21" s="2"/>
    </row>
  </sheetData>
  <printOptions gridLinesSet="0"/>
  <pageMargins left="0.98425196850393704" right="0.78740157480314965" top="2.3622047244094491" bottom="0.98425196850393704" header="0.51181102362204722" footer="0.51181102362204722"/>
  <pageSetup paperSize="9" orientation="portrait" horizontalDpi="300" verticalDpi="300"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
  <sheetViews>
    <sheetView topLeftCell="B9" workbookViewId="0">
      <selection activeCell="Y12" sqref="Y12"/>
    </sheetView>
  </sheetViews>
  <sheetFormatPr baseColWidth="10" defaultRowHeight="12.75"/>
  <cols>
    <col min="1" max="1" width="28" customWidth="1"/>
    <col min="2" max="2" width="5.5703125" customWidth="1"/>
    <col min="3" max="3" width="6.28515625" customWidth="1"/>
    <col min="4" max="4" width="6.140625" customWidth="1"/>
    <col min="5" max="5" width="6" customWidth="1"/>
    <col min="6" max="6" width="6.28515625" customWidth="1"/>
    <col min="7" max="7" width="6.140625" customWidth="1"/>
    <col min="8" max="8" width="6" customWidth="1"/>
    <col min="9" max="9" width="6.140625" customWidth="1"/>
    <col min="10" max="11" width="5.85546875" customWidth="1"/>
    <col min="12" max="12" width="5.7109375" customWidth="1"/>
    <col min="13" max="13" width="6" customWidth="1"/>
    <col min="14" max="15" width="5.7109375" customWidth="1"/>
    <col min="16" max="16" width="6" customWidth="1"/>
    <col min="17" max="17" width="5.42578125" customWidth="1"/>
    <col min="18" max="18" width="5.85546875" customWidth="1"/>
    <col min="19" max="19" width="5.7109375" customWidth="1"/>
    <col min="20" max="20" width="6.140625" customWidth="1"/>
    <col min="21" max="22" width="5.7109375" customWidth="1"/>
    <col min="23" max="23" width="5.85546875" customWidth="1"/>
    <col min="24" max="25" width="6.140625" customWidth="1"/>
  </cols>
  <sheetData>
    <row r="1" spans="1:25">
      <c r="A1" s="82" t="s">
        <v>944</v>
      </c>
      <c r="B1" s="1"/>
      <c r="C1" s="1"/>
      <c r="D1" s="1"/>
      <c r="E1" s="1"/>
      <c r="F1" s="1"/>
      <c r="G1" s="1"/>
      <c r="H1" s="1"/>
      <c r="I1" s="1"/>
      <c r="J1" s="1"/>
      <c r="K1" s="1"/>
      <c r="L1" s="1"/>
      <c r="M1" s="1"/>
      <c r="N1" s="1"/>
      <c r="O1" s="1"/>
      <c r="P1" s="1"/>
      <c r="Q1" s="1"/>
      <c r="R1" s="1"/>
      <c r="S1" s="1"/>
      <c r="T1" s="1"/>
      <c r="U1" s="1"/>
      <c r="V1" s="1"/>
      <c r="W1" s="1"/>
      <c r="X1" s="1"/>
      <c r="Y1" s="1"/>
    </row>
    <row r="2" spans="1:25">
      <c r="A2" s="82"/>
      <c r="B2" s="1"/>
      <c r="C2" s="1"/>
      <c r="D2" s="1"/>
      <c r="E2" s="1"/>
      <c r="F2" s="1"/>
      <c r="G2" s="1"/>
      <c r="H2" s="1"/>
      <c r="I2" s="1"/>
      <c r="J2" s="1"/>
      <c r="K2" s="1"/>
      <c r="L2" s="1"/>
      <c r="M2" s="1"/>
      <c r="N2" s="1"/>
      <c r="O2" s="1"/>
      <c r="P2" s="1"/>
      <c r="Q2" s="1"/>
      <c r="R2" s="1"/>
      <c r="S2" s="1"/>
      <c r="T2" s="1"/>
      <c r="U2" s="1"/>
      <c r="V2" s="1"/>
      <c r="W2" s="1"/>
      <c r="X2" s="1"/>
      <c r="Y2" s="1"/>
    </row>
    <row r="3" spans="1:25">
      <c r="A3" s="82" t="s">
        <v>945</v>
      </c>
      <c r="B3" s="1"/>
      <c r="C3" s="1"/>
      <c r="D3" s="1"/>
      <c r="E3" s="1"/>
      <c r="F3" s="1"/>
      <c r="G3" s="1"/>
      <c r="H3" s="1"/>
      <c r="I3" s="1"/>
      <c r="J3" s="1"/>
      <c r="K3" s="1"/>
      <c r="L3" s="1"/>
      <c r="M3" s="1"/>
      <c r="N3" s="1"/>
      <c r="O3" s="1"/>
      <c r="P3" s="1"/>
      <c r="Q3" s="1"/>
      <c r="R3" s="1"/>
      <c r="S3" s="1"/>
      <c r="T3" s="1"/>
      <c r="U3" s="1"/>
      <c r="V3" s="1"/>
      <c r="W3" s="1"/>
      <c r="X3" s="1"/>
      <c r="Y3" s="1"/>
    </row>
    <row r="4" spans="1:25">
      <c r="A4" s="1"/>
      <c r="B4" s="1"/>
      <c r="C4" s="1"/>
      <c r="D4" s="1"/>
      <c r="E4" s="1"/>
      <c r="F4" s="1"/>
      <c r="G4" s="1"/>
      <c r="H4" s="1"/>
      <c r="I4" s="1"/>
      <c r="J4" s="1"/>
      <c r="K4" s="1"/>
      <c r="L4" s="1"/>
      <c r="M4" s="1"/>
      <c r="N4" s="1"/>
      <c r="O4" s="1"/>
      <c r="P4" s="1"/>
      <c r="Q4" s="1"/>
      <c r="R4" s="1"/>
      <c r="S4" s="1"/>
      <c r="T4" s="1"/>
      <c r="U4" s="1"/>
      <c r="V4" s="1"/>
      <c r="W4" s="1"/>
      <c r="X4" s="1"/>
      <c r="Y4" s="1"/>
    </row>
    <row r="7" spans="1:25" ht="24" customHeight="1">
      <c r="A7" s="84"/>
      <c r="B7" s="477" t="s">
        <v>946</v>
      </c>
      <c r="C7" s="202"/>
      <c r="D7" s="202"/>
      <c r="E7" s="202"/>
      <c r="F7" s="202"/>
      <c r="G7" s="188"/>
      <c r="H7" s="168" t="s">
        <v>947</v>
      </c>
      <c r="I7" s="202"/>
      <c r="J7" s="202"/>
      <c r="K7" s="202"/>
      <c r="L7" s="202"/>
      <c r="M7" s="202"/>
      <c r="N7" s="477" t="s">
        <v>948</v>
      </c>
      <c r="O7" s="202"/>
      <c r="P7" s="202"/>
      <c r="Q7" s="202"/>
      <c r="R7" s="202"/>
      <c r="S7" s="188"/>
      <c r="T7" s="168" t="s">
        <v>656</v>
      </c>
      <c r="U7" s="202"/>
      <c r="V7" s="202"/>
      <c r="W7" s="202"/>
      <c r="X7" s="202"/>
      <c r="Y7" s="188"/>
    </row>
    <row r="8" spans="1:25" ht="30" customHeight="1">
      <c r="A8" s="478" t="s">
        <v>949</v>
      </c>
      <c r="B8" s="1185">
        <v>2010</v>
      </c>
      <c r="C8" s="1185">
        <v>2011</v>
      </c>
      <c r="D8" s="1185">
        <v>2012</v>
      </c>
      <c r="E8" s="1185">
        <v>2013</v>
      </c>
      <c r="F8" s="1185">
        <v>2014</v>
      </c>
      <c r="G8" s="50">
        <v>2015</v>
      </c>
      <c r="H8" s="50">
        <f>+B8</f>
        <v>2010</v>
      </c>
      <c r="I8" s="50">
        <f>+C8</f>
        <v>2011</v>
      </c>
      <c r="J8" s="50">
        <f>+D8</f>
        <v>2012</v>
      </c>
      <c r="K8" s="50">
        <f>+E8</f>
        <v>2013</v>
      </c>
      <c r="L8" s="50">
        <f>+F8</f>
        <v>2014</v>
      </c>
      <c r="M8" s="50">
        <f t="shared" ref="M8:S8" si="0">+G8</f>
        <v>2015</v>
      </c>
      <c r="N8" s="50">
        <f t="shared" si="0"/>
        <v>2010</v>
      </c>
      <c r="O8" s="50">
        <f t="shared" si="0"/>
        <v>2011</v>
      </c>
      <c r="P8" s="50">
        <f t="shared" si="0"/>
        <v>2012</v>
      </c>
      <c r="Q8" s="50">
        <f t="shared" si="0"/>
        <v>2013</v>
      </c>
      <c r="R8" s="50">
        <f t="shared" si="0"/>
        <v>2014</v>
      </c>
      <c r="S8" s="50">
        <f t="shared" si="0"/>
        <v>2015</v>
      </c>
      <c r="T8" s="51">
        <f t="shared" ref="T8:Y8" si="1">+N8</f>
        <v>2010</v>
      </c>
      <c r="U8" s="51">
        <f t="shared" si="1"/>
        <v>2011</v>
      </c>
      <c r="V8" s="51">
        <f t="shared" si="1"/>
        <v>2012</v>
      </c>
      <c r="W8" s="51">
        <f t="shared" si="1"/>
        <v>2013</v>
      </c>
      <c r="X8" s="51">
        <f t="shared" si="1"/>
        <v>2014</v>
      </c>
      <c r="Y8" s="51">
        <f t="shared" si="1"/>
        <v>2015</v>
      </c>
    </row>
    <row r="9" spans="1:25" ht="24.75" customHeight="1">
      <c r="A9" s="479" t="s">
        <v>950</v>
      </c>
      <c r="B9" s="480">
        <v>1</v>
      </c>
      <c r="C9" s="480">
        <v>2</v>
      </c>
      <c r="D9" s="480">
        <v>3</v>
      </c>
      <c r="E9" s="480">
        <v>1</v>
      </c>
      <c r="F9" s="480">
        <v>2</v>
      </c>
      <c r="G9" s="480">
        <v>1</v>
      </c>
      <c r="H9" s="480">
        <v>1</v>
      </c>
      <c r="I9" s="480">
        <v>3</v>
      </c>
      <c r="J9" s="480">
        <v>0</v>
      </c>
      <c r="K9" s="480">
        <v>2</v>
      </c>
      <c r="L9" s="480">
        <v>1</v>
      </c>
      <c r="M9" s="480"/>
      <c r="N9" s="481">
        <v>0</v>
      </c>
      <c r="O9" s="481">
        <v>0</v>
      </c>
      <c r="P9" s="481">
        <v>0</v>
      </c>
      <c r="Q9" s="481">
        <v>0</v>
      </c>
      <c r="R9" s="481">
        <v>0</v>
      </c>
      <c r="S9" s="481"/>
      <c r="T9" s="480">
        <f t="shared" ref="T9:Y9" si="2">+B9+H9+N9</f>
        <v>2</v>
      </c>
      <c r="U9" s="480">
        <f t="shared" si="2"/>
        <v>5</v>
      </c>
      <c r="V9" s="480">
        <f t="shared" si="2"/>
        <v>3</v>
      </c>
      <c r="W9" s="480">
        <f t="shared" si="2"/>
        <v>3</v>
      </c>
      <c r="X9" s="480">
        <f t="shared" si="2"/>
        <v>3</v>
      </c>
      <c r="Y9" s="480">
        <f t="shared" si="2"/>
        <v>1</v>
      </c>
    </row>
    <row r="10" spans="1:25" ht="23.25" customHeight="1">
      <c r="A10" s="482" t="s">
        <v>951</v>
      </c>
      <c r="B10" s="480">
        <v>158</v>
      </c>
      <c r="C10" s="480">
        <v>149</v>
      </c>
      <c r="D10" s="480">
        <v>207</v>
      </c>
      <c r="E10" s="480">
        <v>190</v>
      </c>
      <c r="F10" s="480">
        <v>202</v>
      </c>
      <c r="G10" s="480">
        <v>242</v>
      </c>
      <c r="H10" s="480">
        <v>129</v>
      </c>
      <c r="I10" s="480">
        <v>115</v>
      </c>
      <c r="J10" s="480">
        <v>137</v>
      </c>
      <c r="K10" s="480">
        <v>138</v>
      </c>
      <c r="L10" s="480">
        <v>130</v>
      </c>
      <c r="M10" s="480">
        <v>124</v>
      </c>
      <c r="N10" s="481">
        <v>0</v>
      </c>
      <c r="O10" s="481">
        <v>0</v>
      </c>
      <c r="P10" s="481">
        <v>0</v>
      </c>
      <c r="Q10" s="481">
        <v>0</v>
      </c>
      <c r="R10" s="481">
        <v>0</v>
      </c>
      <c r="S10" s="481"/>
      <c r="T10" s="480">
        <f>+B10+H10+N10</f>
        <v>287</v>
      </c>
      <c r="U10" s="480">
        <f t="shared" ref="U10:Y11" si="3">+C10+I10+O10</f>
        <v>264</v>
      </c>
      <c r="V10" s="480">
        <f t="shared" si="3"/>
        <v>344</v>
      </c>
      <c r="W10" s="480">
        <f t="shared" si="3"/>
        <v>328</v>
      </c>
      <c r="X10" s="480">
        <f t="shared" si="3"/>
        <v>332</v>
      </c>
      <c r="Y10" s="480">
        <f t="shared" si="3"/>
        <v>366</v>
      </c>
    </row>
    <row r="11" spans="1:25" ht="25.5" customHeight="1">
      <c r="A11" s="482" t="s">
        <v>952</v>
      </c>
      <c r="B11" s="480">
        <v>137</v>
      </c>
      <c r="C11" s="480">
        <v>133</v>
      </c>
      <c r="D11" s="480">
        <v>150</v>
      </c>
      <c r="E11" s="480">
        <v>117</v>
      </c>
      <c r="F11" s="480">
        <v>151</v>
      </c>
      <c r="G11" s="480">
        <v>162</v>
      </c>
      <c r="H11" s="480">
        <v>91</v>
      </c>
      <c r="I11" s="480">
        <v>93</v>
      </c>
      <c r="J11" s="480">
        <v>110</v>
      </c>
      <c r="K11" s="480">
        <v>86</v>
      </c>
      <c r="L11" s="480">
        <v>112</v>
      </c>
      <c r="M11" s="480">
        <v>90</v>
      </c>
      <c r="N11" s="481">
        <v>0</v>
      </c>
      <c r="O11" s="481">
        <v>0</v>
      </c>
      <c r="P11" s="481">
        <v>0</v>
      </c>
      <c r="Q11" s="481">
        <v>0</v>
      </c>
      <c r="R11" s="481">
        <v>0</v>
      </c>
      <c r="S11" s="481"/>
      <c r="T11" s="480">
        <f>+B11+H11+N11</f>
        <v>228</v>
      </c>
      <c r="U11" s="480">
        <f t="shared" si="3"/>
        <v>226</v>
      </c>
      <c r="V11" s="480">
        <f t="shared" si="3"/>
        <v>260</v>
      </c>
      <c r="W11" s="480">
        <f t="shared" si="3"/>
        <v>203</v>
      </c>
      <c r="X11" s="480">
        <f t="shared" si="3"/>
        <v>263</v>
      </c>
      <c r="Y11" s="480">
        <f t="shared" si="3"/>
        <v>252</v>
      </c>
    </row>
    <row r="12" spans="1:25" ht="25.5" customHeight="1">
      <c r="A12" s="483" t="s">
        <v>535</v>
      </c>
      <c r="B12" s="480">
        <f t="shared" ref="B12:G12" si="4">SUM(B9:B11)</f>
        <v>296</v>
      </c>
      <c r="C12" s="481">
        <f t="shared" si="4"/>
        <v>284</v>
      </c>
      <c r="D12" s="481">
        <f t="shared" si="4"/>
        <v>360</v>
      </c>
      <c r="E12" s="481">
        <f t="shared" si="4"/>
        <v>308</v>
      </c>
      <c r="F12" s="481">
        <f t="shared" si="4"/>
        <v>355</v>
      </c>
      <c r="G12" s="481">
        <f t="shared" si="4"/>
        <v>405</v>
      </c>
      <c r="H12" s="480">
        <f>SUM(H9:H11)-H13</f>
        <v>219</v>
      </c>
      <c r="I12" s="480">
        <f>SUM(I9:I11)-I13</f>
        <v>206</v>
      </c>
      <c r="J12" s="480">
        <f>SUM(J9:J11)-J13</f>
        <v>243</v>
      </c>
      <c r="K12" s="480">
        <f>SUM(K9:K11)-K13</f>
        <v>224</v>
      </c>
      <c r="L12" s="480">
        <f>SUM(L9:L11)</f>
        <v>243</v>
      </c>
      <c r="M12" s="480">
        <f>SUM(M9:M11)</f>
        <v>214</v>
      </c>
      <c r="N12" s="480">
        <f t="shared" ref="N12:S12" si="5">SUM(N9:N11)</f>
        <v>0</v>
      </c>
      <c r="O12" s="480">
        <f t="shared" si="5"/>
        <v>0</v>
      </c>
      <c r="P12" s="480">
        <f t="shared" si="5"/>
        <v>0</v>
      </c>
      <c r="Q12" s="480">
        <f t="shared" si="5"/>
        <v>0</v>
      </c>
      <c r="R12" s="481">
        <f t="shared" si="5"/>
        <v>0</v>
      </c>
      <c r="S12" s="481">
        <f t="shared" si="5"/>
        <v>0</v>
      </c>
      <c r="T12" s="480">
        <f t="shared" ref="T12:X12" si="6">SUM(T9:T11)-T13</f>
        <v>515</v>
      </c>
      <c r="U12" s="480">
        <f t="shared" si="6"/>
        <v>490</v>
      </c>
      <c r="V12" s="480">
        <f t="shared" si="6"/>
        <v>603</v>
      </c>
      <c r="W12" s="480">
        <f t="shared" si="6"/>
        <v>532</v>
      </c>
      <c r="X12" s="480">
        <f t="shared" si="6"/>
        <v>593</v>
      </c>
      <c r="Y12" s="480">
        <f>SUM(Y9:Y11)</f>
        <v>619</v>
      </c>
    </row>
    <row r="13" spans="1:25" ht="25.5" customHeight="1">
      <c r="A13" s="484" t="s">
        <v>953</v>
      </c>
      <c r="B13" s="480"/>
      <c r="C13" s="480"/>
      <c r="D13" s="480"/>
      <c r="E13" s="480"/>
      <c r="F13" s="480"/>
      <c r="G13" s="480"/>
      <c r="H13" s="480">
        <v>2</v>
      </c>
      <c r="I13" s="480">
        <v>5</v>
      </c>
      <c r="J13" s="480">
        <v>4</v>
      </c>
      <c r="K13" s="480">
        <v>2</v>
      </c>
      <c r="L13" s="480">
        <v>5</v>
      </c>
      <c r="M13" s="480">
        <v>1</v>
      </c>
      <c r="N13" s="480"/>
      <c r="O13" s="480"/>
      <c r="P13" s="480"/>
      <c r="Q13" s="480"/>
      <c r="R13" s="480"/>
      <c r="S13" s="480"/>
      <c r="T13" s="480">
        <f t="shared" ref="T13:Y13" si="7">+H13</f>
        <v>2</v>
      </c>
      <c r="U13" s="480">
        <f t="shared" si="7"/>
        <v>5</v>
      </c>
      <c r="V13" s="480">
        <f t="shared" si="7"/>
        <v>4</v>
      </c>
      <c r="W13" s="480">
        <f t="shared" si="7"/>
        <v>2</v>
      </c>
      <c r="X13" s="480">
        <f t="shared" si="7"/>
        <v>5</v>
      </c>
      <c r="Y13" s="480">
        <f t="shared" si="7"/>
        <v>1</v>
      </c>
    </row>
    <row r="14" spans="1:25" ht="20.25" customHeight="1">
      <c r="A14" s="1404"/>
      <c r="B14" s="1403"/>
      <c r="C14" s="1403"/>
      <c r="D14" s="1403"/>
      <c r="E14" s="1403"/>
      <c r="F14" s="1403"/>
      <c r="G14" s="1403"/>
      <c r="H14" s="1403"/>
      <c r="I14" s="1403"/>
      <c r="J14" s="1403"/>
      <c r="K14" s="1403"/>
      <c r="L14" s="1403"/>
      <c r="M14" s="1403"/>
      <c r="N14" s="1403"/>
      <c r="O14" s="1403"/>
      <c r="P14" s="1403"/>
      <c r="Q14" s="1403"/>
      <c r="R14" s="1403"/>
      <c r="S14" s="1403"/>
      <c r="T14" s="301"/>
      <c r="U14" s="301"/>
      <c r="V14" s="301"/>
      <c r="W14" s="301"/>
      <c r="X14" s="301"/>
      <c r="Y14" s="301"/>
    </row>
    <row r="15" spans="1:25" ht="15.75" customHeight="1">
      <c r="A15" s="1403"/>
      <c r="B15" s="1403"/>
      <c r="C15" s="1403"/>
      <c r="D15" s="1403"/>
      <c r="E15" s="1403"/>
      <c r="F15" s="1403"/>
      <c r="G15" s="1403"/>
      <c r="H15" s="1403"/>
      <c r="I15" s="1403"/>
      <c r="J15" s="1403"/>
      <c r="K15" s="1403"/>
      <c r="L15" s="1403"/>
      <c r="M15" s="1403"/>
      <c r="N15" s="1403"/>
      <c r="O15" s="1403"/>
      <c r="P15" s="1403"/>
      <c r="Q15" s="301"/>
      <c r="R15" s="301"/>
      <c r="S15" s="301"/>
      <c r="T15" s="301"/>
      <c r="U15" s="301"/>
      <c r="V15" s="301"/>
      <c r="W15" s="301"/>
      <c r="X15" s="301"/>
      <c r="Y15" s="301"/>
    </row>
    <row r="16" spans="1:25" ht="12.75" customHeight="1">
      <c r="A16" s="485"/>
      <c r="B16" s="485"/>
      <c r="C16" s="485"/>
      <c r="D16" s="485"/>
      <c r="E16" s="485"/>
      <c r="F16" s="485"/>
      <c r="G16" s="485"/>
      <c r="H16" s="485"/>
      <c r="I16" s="485"/>
      <c r="J16" s="485"/>
      <c r="K16" s="485"/>
      <c r="L16" s="485"/>
      <c r="M16" s="485"/>
      <c r="N16" s="485"/>
      <c r="O16" s="485"/>
      <c r="P16" s="485"/>
      <c r="Q16" s="485"/>
      <c r="R16" s="485"/>
      <c r="S16" s="485"/>
      <c r="T16" s="485"/>
      <c r="U16" s="485"/>
      <c r="V16" s="485"/>
      <c r="W16" s="485"/>
      <c r="X16" s="485"/>
      <c r="Y16" s="485"/>
    </row>
  </sheetData>
  <mergeCells count="2">
    <mergeCell ref="A15:P15"/>
    <mergeCell ref="A14:S14"/>
  </mergeCells>
  <phoneticPr fontId="19" type="noConversion"/>
  <pageMargins left="1.1811023622047245" right="0.59055118110236227" top="0.98425196850393704" bottom="0.98425196850393704" header="0.51181102362204722" footer="0.51181102362204722"/>
  <pageSetup paperSize="5" scale="85" orientation="landscape" horizontalDpi="300" verticalDpi="30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3"/>
  <sheetViews>
    <sheetView topLeftCell="I39" zoomScale="84" zoomScaleNormal="84" workbookViewId="0">
      <selection activeCell="AC39" sqref="AC39"/>
    </sheetView>
  </sheetViews>
  <sheetFormatPr baseColWidth="10" defaultRowHeight="12.75"/>
  <cols>
    <col min="1" max="1" width="12.42578125" customWidth="1"/>
    <col min="2" max="2" width="19.7109375" customWidth="1"/>
    <col min="3" max="26" width="7.140625" customWidth="1"/>
    <col min="27" max="27" width="8.7109375" customWidth="1"/>
    <col min="28" max="28" width="8.85546875" customWidth="1"/>
    <col min="29" max="29" width="8.5703125" customWidth="1"/>
    <col min="30" max="30" width="9.140625" customWidth="1"/>
  </cols>
  <sheetData>
    <row r="1" spans="1:30">
      <c r="A1" s="1393" t="s">
        <v>954</v>
      </c>
      <c r="B1" s="1393"/>
      <c r="C1" s="1393"/>
      <c r="D1" s="1393"/>
      <c r="E1" s="1393"/>
      <c r="F1" s="1393"/>
      <c r="G1" s="1393"/>
      <c r="H1" s="1393"/>
      <c r="I1" s="1393"/>
      <c r="J1" s="1393"/>
      <c r="K1" s="1393"/>
      <c r="L1" s="1393"/>
      <c r="M1" s="1393"/>
      <c r="N1" s="1393"/>
      <c r="O1" s="1393"/>
      <c r="P1" s="1393"/>
      <c r="Q1" s="1393"/>
      <c r="R1" s="1393"/>
      <c r="S1" s="1393"/>
      <c r="T1" s="1393"/>
      <c r="U1" s="1393"/>
      <c r="V1" s="1393"/>
      <c r="W1" s="1393"/>
      <c r="X1" s="1393"/>
      <c r="Y1" s="1393"/>
      <c r="Z1" s="1393"/>
      <c r="AA1" s="1393"/>
      <c r="AB1" s="1393"/>
      <c r="AC1" s="1393"/>
      <c r="AD1" s="1393"/>
    </row>
    <row r="2" spans="1:30">
      <c r="A2" s="1393" t="s">
        <v>955</v>
      </c>
      <c r="B2" s="1393"/>
      <c r="C2" s="1393"/>
      <c r="D2" s="1393"/>
      <c r="E2" s="1393"/>
      <c r="F2" s="1393"/>
      <c r="G2" s="1393"/>
      <c r="H2" s="1393"/>
      <c r="I2" s="1393"/>
      <c r="J2" s="1393"/>
      <c r="K2" s="1393"/>
      <c r="L2" s="1393"/>
      <c r="M2" s="1393"/>
      <c r="N2" s="1393"/>
      <c r="O2" s="1393"/>
      <c r="P2" s="1393"/>
      <c r="Q2" s="1393"/>
      <c r="R2" s="1393"/>
      <c r="S2" s="1393"/>
      <c r="T2" s="1393"/>
      <c r="U2" s="1393"/>
      <c r="V2" s="1393"/>
      <c r="W2" s="1393"/>
      <c r="X2" s="1393"/>
      <c r="Y2" s="1393"/>
      <c r="Z2" s="1393"/>
      <c r="AA2" s="1393"/>
      <c r="AB2" s="1393"/>
      <c r="AC2" s="1393"/>
      <c r="AD2" s="1393"/>
    </row>
    <row r="3" spans="1:30">
      <c r="A3" s="1393" t="s">
        <v>910</v>
      </c>
      <c r="B3" s="1393"/>
      <c r="C3" s="1393"/>
      <c r="D3" s="1393"/>
      <c r="E3" s="1393"/>
      <c r="F3" s="1393"/>
      <c r="G3" s="1393"/>
      <c r="H3" s="1393"/>
      <c r="I3" s="1393"/>
      <c r="J3" s="1393"/>
      <c r="K3" s="1393"/>
      <c r="L3" s="1393"/>
      <c r="M3" s="1393"/>
      <c r="N3" s="1393"/>
      <c r="O3" s="1393"/>
      <c r="P3" s="1393"/>
      <c r="Q3" s="1393"/>
      <c r="R3" s="1393"/>
      <c r="S3" s="1393"/>
      <c r="T3" s="1393"/>
      <c r="U3" s="1393"/>
      <c r="V3" s="1393"/>
      <c r="W3" s="1393"/>
      <c r="X3" s="1393"/>
      <c r="Y3" s="1393"/>
      <c r="Z3" s="1393"/>
      <c r="AA3" s="1393"/>
      <c r="AB3" s="1393"/>
      <c r="AC3" s="1393"/>
      <c r="AD3" s="1393"/>
    </row>
    <row r="4" spans="1:30">
      <c r="A4" s="1393" t="s">
        <v>1379</v>
      </c>
      <c r="B4" s="1393"/>
      <c r="C4" s="1393"/>
      <c r="D4" s="1393"/>
      <c r="E4" s="1393"/>
      <c r="F4" s="1393"/>
      <c r="G4" s="1393"/>
      <c r="H4" s="1393"/>
      <c r="I4" s="1393"/>
      <c r="J4" s="1393"/>
      <c r="K4" s="1393"/>
      <c r="L4" s="1393"/>
      <c r="M4" s="1393"/>
      <c r="N4" s="1393"/>
      <c r="O4" s="1393"/>
      <c r="P4" s="1393"/>
      <c r="Q4" s="1393"/>
      <c r="R4" s="1393"/>
      <c r="S4" s="1393"/>
      <c r="T4" s="1393"/>
      <c r="U4" s="1393"/>
      <c r="V4" s="1393"/>
      <c r="W4" s="1393"/>
      <c r="X4" s="1393"/>
      <c r="Y4" s="1393"/>
      <c r="Z4" s="1393"/>
      <c r="AA4" s="1393"/>
      <c r="AB4" s="1393"/>
      <c r="AC4" s="1393"/>
      <c r="AD4" s="1393"/>
    </row>
    <row r="5" spans="1:30">
      <c r="A5" s="398"/>
      <c r="B5" s="398"/>
      <c r="C5" s="398"/>
      <c r="D5" s="398"/>
      <c r="E5" s="398"/>
      <c r="F5" s="398"/>
      <c r="G5" s="398"/>
      <c r="H5" s="398"/>
      <c r="I5" s="398"/>
      <c r="J5" s="398"/>
      <c r="K5" s="398"/>
      <c r="L5" s="398"/>
      <c r="M5" s="398"/>
      <c r="N5" s="398"/>
      <c r="O5" s="398"/>
      <c r="P5" s="398"/>
      <c r="Q5" s="398"/>
      <c r="R5" s="398"/>
      <c r="S5" s="398"/>
      <c r="T5" s="398"/>
      <c r="U5" s="398"/>
      <c r="V5" s="398"/>
      <c r="W5" s="398"/>
      <c r="X5" s="398"/>
      <c r="Y5" s="398"/>
      <c r="Z5" s="398"/>
      <c r="AA5" s="398"/>
      <c r="AB5" s="398"/>
      <c r="AC5" s="398"/>
      <c r="AD5" s="398"/>
    </row>
    <row r="6" spans="1:30">
      <c r="A6" s="398"/>
      <c r="B6" s="398"/>
      <c r="C6" s="398"/>
      <c r="D6" s="398"/>
      <c r="E6" s="398"/>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row>
    <row r="7" spans="1:30" s="6" customFormat="1" ht="22.5" customHeight="1">
      <c r="A7" s="465" t="s">
        <v>554</v>
      </c>
      <c r="B7" s="486" t="s">
        <v>866</v>
      </c>
      <c r="C7" s="1388" t="s">
        <v>956</v>
      </c>
      <c r="D7" s="1389"/>
      <c r="E7" s="1389"/>
      <c r="F7" s="1390"/>
      <c r="G7" s="1389" t="s">
        <v>957</v>
      </c>
      <c r="H7" s="1389"/>
      <c r="I7" s="1385"/>
      <c r="J7" s="1389"/>
      <c r="K7" s="1388" t="s">
        <v>958</v>
      </c>
      <c r="L7" s="1389"/>
      <c r="M7" s="1385"/>
      <c r="N7" s="1390"/>
      <c r="O7" s="1389" t="s">
        <v>959</v>
      </c>
      <c r="P7" s="1389"/>
      <c r="Q7" s="1389"/>
      <c r="R7" s="1389"/>
      <c r="S7" s="1388" t="s">
        <v>960</v>
      </c>
      <c r="T7" s="1389"/>
      <c r="U7" s="1389"/>
      <c r="V7" s="1390"/>
      <c r="W7" s="1389" t="s">
        <v>961</v>
      </c>
      <c r="X7" s="1389"/>
      <c r="Y7" s="1389"/>
      <c r="Z7" s="1389"/>
      <c r="AA7" s="1388" t="s">
        <v>656</v>
      </c>
      <c r="AB7" s="1389"/>
      <c r="AC7" s="1389"/>
      <c r="AD7" s="1390"/>
    </row>
    <row r="8" spans="1:30" s="6" customFormat="1" ht="22.5" customHeight="1">
      <c r="A8" s="487"/>
      <c r="B8" s="487"/>
      <c r="C8" s="488">
        <v>2012</v>
      </c>
      <c r="D8" s="489">
        <v>2013</v>
      </c>
      <c r="E8" s="489">
        <v>2014</v>
      </c>
      <c r="F8" s="490">
        <v>2015</v>
      </c>
      <c r="G8" s="489">
        <f>+C8</f>
        <v>2012</v>
      </c>
      <c r="H8" s="489">
        <f>+D8</f>
        <v>2013</v>
      </c>
      <c r="I8" s="489">
        <f>+E8</f>
        <v>2014</v>
      </c>
      <c r="J8" s="489">
        <f t="shared" ref="J8:AD8" si="0">+F8</f>
        <v>2015</v>
      </c>
      <c r="K8" s="488">
        <f>+G8</f>
        <v>2012</v>
      </c>
      <c r="L8" s="489">
        <f>+H8</f>
        <v>2013</v>
      </c>
      <c r="M8" s="489">
        <f>+I8</f>
        <v>2014</v>
      </c>
      <c r="N8" s="490">
        <f t="shared" si="0"/>
        <v>2015</v>
      </c>
      <c r="O8" s="489">
        <f t="shared" si="0"/>
        <v>2012</v>
      </c>
      <c r="P8" s="489">
        <f t="shared" si="0"/>
        <v>2013</v>
      </c>
      <c r="Q8" s="489">
        <f t="shared" si="0"/>
        <v>2014</v>
      </c>
      <c r="R8" s="489">
        <f t="shared" si="0"/>
        <v>2015</v>
      </c>
      <c r="S8" s="488">
        <f t="shared" si="0"/>
        <v>2012</v>
      </c>
      <c r="T8" s="489">
        <f t="shared" si="0"/>
        <v>2013</v>
      </c>
      <c r="U8" s="489">
        <f t="shared" si="0"/>
        <v>2014</v>
      </c>
      <c r="V8" s="490">
        <f t="shared" si="0"/>
        <v>2015</v>
      </c>
      <c r="W8" s="488">
        <f t="shared" si="0"/>
        <v>2012</v>
      </c>
      <c r="X8" s="489">
        <f t="shared" si="0"/>
        <v>2013</v>
      </c>
      <c r="Y8" s="489">
        <f t="shared" si="0"/>
        <v>2014</v>
      </c>
      <c r="Z8" s="490">
        <f t="shared" si="0"/>
        <v>2015</v>
      </c>
      <c r="AA8" s="488">
        <f t="shared" si="0"/>
        <v>2012</v>
      </c>
      <c r="AB8" s="489">
        <f t="shared" si="0"/>
        <v>2013</v>
      </c>
      <c r="AC8" s="489">
        <f t="shared" si="0"/>
        <v>2014</v>
      </c>
      <c r="AD8" s="490">
        <f t="shared" si="0"/>
        <v>2015</v>
      </c>
    </row>
    <row r="9" spans="1:30" s="6" customFormat="1" ht="22.5" customHeight="1">
      <c r="A9" s="491" t="s">
        <v>962</v>
      </c>
      <c r="B9" s="299" t="s">
        <v>1480</v>
      </c>
      <c r="C9" s="369">
        <v>3073</v>
      </c>
      <c r="D9" s="370">
        <v>2388</v>
      </c>
      <c r="E9" s="370">
        <v>3001</v>
      </c>
      <c r="F9" s="492">
        <v>3201</v>
      </c>
      <c r="G9" s="370">
        <v>2087</v>
      </c>
      <c r="H9" s="370">
        <v>2242</v>
      </c>
      <c r="I9" s="370">
        <v>2284</v>
      </c>
      <c r="J9" s="492">
        <v>2951</v>
      </c>
      <c r="K9" s="370">
        <v>171</v>
      </c>
      <c r="L9" s="370">
        <v>153</v>
      </c>
      <c r="M9" s="370">
        <v>128</v>
      </c>
      <c r="N9" s="492">
        <v>223</v>
      </c>
      <c r="O9" s="370">
        <v>1325</v>
      </c>
      <c r="P9" s="370">
        <v>1141</v>
      </c>
      <c r="Q9" s="370">
        <v>1080</v>
      </c>
      <c r="R9" s="492">
        <v>1060</v>
      </c>
      <c r="S9" s="370">
        <v>32</v>
      </c>
      <c r="T9" s="370">
        <v>16</v>
      </c>
      <c r="U9" s="370">
        <v>40</v>
      </c>
      <c r="V9" s="492">
        <v>23</v>
      </c>
      <c r="W9" s="370">
        <v>919</v>
      </c>
      <c r="X9" s="370">
        <v>873</v>
      </c>
      <c r="Y9" s="370">
        <v>149</v>
      </c>
      <c r="Z9" s="370">
        <v>12</v>
      </c>
      <c r="AA9" s="369">
        <f t="shared" ref="AA9:AD12" si="1">+W9+S9+O9+K9+G9+C9</f>
        <v>7607</v>
      </c>
      <c r="AB9" s="370">
        <f t="shared" si="1"/>
        <v>6813</v>
      </c>
      <c r="AC9" s="370">
        <f t="shared" si="1"/>
        <v>6682</v>
      </c>
      <c r="AD9" s="492">
        <f t="shared" si="1"/>
        <v>7470</v>
      </c>
    </row>
    <row r="10" spans="1:30" s="6" customFormat="1" ht="22.5" customHeight="1">
      <c r="A10" s="491"/>
      <c r="B10" s="299" t="s">
        <v>1481</v>
      </c>
      <c r="C10" s="369">
        <v>7131</v>
      </c>
      <c r="D10" s="370">
        <v>5104</v>
      </c>
      <c r="E10" s="370">
        <v>4437</v>
      </c>
      <c r="F10" s="492">
        <v>3160</v>
      </c>
      <c r="G10" s="370">
        <v>2121</v>
      </c>
      <c r="H10" s="370">
        <v>2168</v>
      </c>
      <c r="I10" s="370">
        <v>2974</v>
      </c>
      <c r="J10" s="492">
        <v>3579</v>
      </c>
      <c r="K10" s="370">
        <v>345</v>
      </c>
      <c r="L10" s="370">
        <v>349</v>
      </c>
      <c r="M10" s="370">
        <v>463</v>
      </c>
      <c r="N10" s="492">
        <v>578</v>
      </c>
      <c r="O10" s="370">
        <v>2360</v>
      </c>
      <c r="P10" s="370">
        <v>1802</v>
      </c>
      <c r="Q10" s="370">
        <v>2025</v>
      </c>
      <c r="R10" s="492">
        <v>2306</v>
      </c>
      <c r="S10" s="370">
        <v>106</v>
      </c>
      <c r="T10" s="370">
        <v>89</v>
      </c>
      <c r="U10" s="370">
        <v>128</v>
      </c>
      <c r="V10" s="492">
        <v>80</v>
      </c>
      <c r="W10" s="370">
        <v>1566</v>
      </c>
      <c r="X10" s="370">
        <v>1508</v>
      </c>
      <c r="Y10" s="370">
        <v>17</v>
      </c>
      <c r="Z10" s="370"/>
      <c r="AA10" s="369">
        <f t="shared" si="1"/>
        <v>13629</v>
      </c>
      <c r="AB10" s="370">
        <f t="shared" si="1"/>
        <v>11020</v>
      </c>
      <c r="AC10" s="370">
        <f t="shared" si="1"/>
        <v>10044</v>
      </c>
      <c r="AD10" s="492">
        <f t="shared" si="1"/>
        <v>9703</v>
      </c>
    </row>
    <row r="11" spans="1:30" s="6" customFormat="1" ht="22.5" customHeight="1">
      <c r="A11" s="491"/>
      <c r="B11" s="491" t="s">
        <v>829</v>
      </c>
      <c r="C11" s="369">
        <v>1184</v>
      </c>
      <c r="D11" s="370">
        <v>871</v>
      </c>
      <c r="E11" s="370">
        <v>1126</v>
      </c>
      <c r="F11" s="492">
        <v>934</v>
      </c>
      <c r="G11" s="370">
        <v>413</v>
      </c>
      <c r="H11" s="370">
        <v>397</v>
      </c>
      <c r="I11" s="370">
        <v>481</v>
      </c>
      <c r="J11" s="492">
        <v>579</v>
      </c>
      <c r="K11" s="370">
        <v>21</v>
      </c>
      <c r="L11" s="370">
        <v>27</v>
      </c>
      <c r="M11" s="370">
        <v>40</v>
      </c>
      <c r="N11" s="492">
        <v>27</v>
      </c>
      <c r="O11" s="370">
        <v>322</v>
      </c>
      <c r="P11" s="370">
        <v>315</v>
      </c>
      <c r="Q11" s="370">
        <v>220</v>
      </c>
      <c r="R11" s="492">
        <v>194</v>
      </c>
      <c r="S11" s="370">
        <v>3</v>
      </c>
      <c r="T11" s="370">
        <v>9</v>
      </c>
      <c r="U11" s="370">
        <v>37</v>
      </c>
      <c r="V11" s="492">
        <v>8</v>
      </c>
      <c r="W11" s="370">
        <v>211</v>
      </c>
      <c r="X11" s="370">
        <v>225</v>
      </c>
      <c r="Y11" s="370"/>
      <c r="Z11" s="370"/>
      <c r="AA11" s="369">
        <f t="shared" si="1"/>
        <v>2154</v>
      </c>
      <c r="AB11" s="370">
        <f t="shared" si="1"/>
        <v>1844</v>
      </c>
      <c r="AC11" s="370">
        <f t="shared" si="1"/>
        <v>1904</v>
      </c>
      <c r="AD11" s="492">
        <f t="shared" si="1"/>
        <v>1742</v>
      </c>
    </row>
    <row r="12" spans="1:30" s="6" customFormat="1" ht="22.5" customHeight="1">
      <c r="A12" s="491"/>
      <c r="B12" s="299" t="s">
        <v>1282</v>
      </c>
      <c r="C12" s="369">
        <v>210</v>
      </c>
      <c r="D12" s="370">
        <v>193</v>
      </c>
      <c r="E12" s="370">
        <v>173</v>
      </c>
      <c r="F12" s="533">
        <v>118</v>
      </c>
      <c r="G12" s="370">
        <v>98</v>
      </c>
      <c r="H12" s="370"/>
      <c r="I12" s="370">
        <v>115</v>
      </c>
      <c r="J12" s="492">
        <v>92</v>
      </c>
      <c r="K12" s="370">
        <v>7</v>
      </c>
      <c r="L12" s="370">
        <v>7</v>
      </c>
      <c r="M12" s="370">
        <v>5</v>
      </c>
      <c r="N12" s="492">
        <v>7</v>
      </c>
      <c r="O12" s="370">
        <v>60</v>
      </c>
      <c r="P12" s="370">
        <v>31</v>
      </c>
      <c r="Q12" s="370">
        <v>60</v>
      </c>
      <c r="R12" s="492">
        <v>41</v>
      </c>
      <c r="S12" s="370">
        <v>0</v>
      </c>
      <c r="T12" s="370">
        <v>1</v>
      </c>
      <c r="U12" s="370">
        <v>3</v>
      </c>
      <c r="V12" s="492"/>
      <c r="W12" s="370">
        <v>64</v>
      </c>
      <c r="X12" s="370">
        <v>36</v>
      </c>
      <c r="Y12" s="370">
        <v>4</v>
      </c>
      <c r="Z12" s="492">
        <v>5</v>
      </c>
      <c r="AA12" s="370">
        <f t="shared" si="1"/>
        <v>439</v>
      </c>
      <c r="AB12" s="370">
        <f t="shared" si="1"/>
        <v>268</v>
      </c>
      <c r="AC12" s="370">
        <f t="shared" si="1"/>
        <v>360</v>
      </c>
      <c r="AD12" s="492">
        <f>+Z12+V12+R12+N12+J12+F12</f>
        <v>263</v>
      </c>
    </row>
    <row r="13" spans="1:30" s="6" customFormat="1" ht="22.5" customHeight="1">
      <c r="A13" s="491"/>
      <c r="B13" s="491" t="s">
        <v>644</v>
      </c>
      <c r="C13" s="369">
        <v>11598</v>
      </c>
      <c r="D13" s="370">
        <v>8556</v>
      </c>
      <c r="E13" s="370">
        <v>8737</v>
      </c>
      <c r="F13" s="492">
        <f>SUM(F9:F12)</f>
        <v>7413</v>
      </c>
      <c r="G13" s="370">
        <f>SUM(G9:G12)</f>
        <v>4719</v>
      </c>
      <c r="H13" s="370">
        <v>4807</v>
      </c>
      <c r="I13" s="370">
        <v>5854</v>
      </c>
      <c r="J13" s="492">
        <f>SUM(J9:J12)</f>
        <v>7201</v>
      </c>
      <c r="K13" s="370">
        <v>544</v>
      </c>
      <c r="L13" s="370">
        <v>536</v>
      </c>
      <c r="M13" s="370">
        <f>SUM(M9:M12)</f>
        <v>636</v>
      </c>
      <c r="N13" s="492">
        <f>SUM(N9:N12)</f>
        <v>835</v>
      </c>
      <c r="O13" s="370">
        <v>4067</v>
      </c>
      <c r="P13" s="370">
        <v>3289</v>
      </c>
      <c r="Q13" s="370">
        <f>SUM(Q9:Q12)</f>
        <v>3385</v>
      </c>
      <c r="R13" s="492">
        <f>SUM(R9:R12)</f>
        <v>3601</v>
      </c>
      <c r="S13" s="370">
        <v>141</v>
      </c>
      <c r="T13" s="370">
        <v>115</v>
      </c>
      <c r="U13" s="370">
        <f>SUM(U9:U12)</f>
        <v>208</v>
      </c>
      <c r="V13" s="492">
        <f>SUM(V9:V12)</f>
        <v>111</v>
      </c>
      <c r="W13" s="370">
        <v>2760</v>
      </c>
      <c r="X13" s="370">
        <v>2642</v>
      </c>
      <c r="Y13" s="370">
        <f t="shared" ref="Y13:AD13" si="2">SUM(Y9:Y12)</f>
        <v>170</v>
      </c>
      <c r="Z13" s="492">
        <f t="shared" si="2"/>
        <v>17</v>
      </c>
      <c r="AA13" s="369">
        <f t="shared" si="2"/>
        <v>23829</v>
      </c>
      <c r="AB13" s="370">
        <f t="shared" si="2"/>
        <v>19945</v>
      </c>
      <c r="AC13" s="370">
        <f t="shared" si="2"/>
        <v>18990</v>
      </c>
      <c r="AD13" s="492">
        <f t="shared" si="2"/>
        <v>19178</v>
      </c>
    </row>
    <row r="14" spans="1:30" s="6" customFormat="1" ht="22.5" customHeight="1">
      <c r="A14" s="491" t="s">
        <v>540</v>
      </c>
      <c r="B14" s="251" t="s">
        <v>830</v>
      </c>
      <c r="C14" s="369">
        <v>3193</v>
      </c>
      <c r="D14" s="370">
        <v>2948</v>
      </c>
      <c r="E14" s="370">
        <v>3213</v>
      </c>
      <c r="F14" s="492">
        <v>2819</v>
      </c>
      <c r="G14" s="370">
        <v>1844</v>
      </c>
      <c r="H14" s="370">
        <v>1977</v>
      </c>
      <c r="I14" s="370">
        <v>1728</v>
      </c>
      <c r="J14" s="492">
        <v>1818</v>
      </c>
      <c r="K14" s="370">
        <v>111</v>
      </c>
      <c r="L14" s="370">
        <v>106</v>
      </c>
      <c r="M14" s="370">
        <v>193</v>
      </c>
      <c r="N14" s="492">
        <v>184</v>
      </c>
      <c r="O14" s="370">
        <v>1023</v>
      </c>
      <c r="P14" s="370">
        <v>967</v>
      </c>
      <c r="Q14" s="370">
        <v>1157</v>
      </c>
      <c r="R14" s="492">
        <v>1293</v>
      </c>
      <c r="S14" s="370">
        <v>33</v>
      </c>
      <c r="T14" s="370">
        <v>114</v>
      </c>
      <c r="U14" s="370">
        <v>175</v>
      </c>
      <c r="V14" s="492">
        <v>194</v>
      </c>
      <c r="W14" s="370">
        <v>454</v>
      </c>
      <c r="X14" s="370">
        <v>380</v>
      </c>
      <c r="Y14" s="370">
        <v>0</v>
      </c>
      <c r="Z14" s="492"/>
      <c r="AA14" s="369">
        <f>+W14+S14+O14+K14+G14+C14</f>
        <v>6658</v>
      </c>
      <c r="AB14" s="370">
        <f>+X14+T14+P14+L14+H14+D14</f>
        <v>6492</v>
      </c>
      <c r="AC14" s="370">
        <f>+Y14+U14+Q14+M14+I14+E14</f>
        <v>6466</v>
      </c>
      <c r="AD14" s="492">
        <f>+Z14+V14+R14+N14+J14+F14</f>
        <v>6308</v>
      </c>
    </row>
    <row r="15" spans="1:30" s="6" customFormat="1" ht="22.5" customHeight="1">
      <c r="A15" s="491"/>
      <c r="B15" s="251" t="s">
        <v>1287</v>
      </c>
      <c r="C15" s="369">
        <v>1184</v>
      </c>
      <c r="D15" s="370">
        <v>368</v>
      </c>
      <c r="E15" s="370">
        <v>346</v>
      </c>
      <c r="F15" s="492">
        <v>421</v>
      </c>
      <c r="G15" s="370">
        <v>413</v>
      </c>
      <c r="H15" s="370">
        <v>377</v>
      </c>
      <c r="I15" s="370">
        <v>338</v>
      </c>
      <c r="J15" s="492">
        <v>280</v>
      </c>
      <c r="K15" s="370">
        <v>21</v>
      </c>
      <c r="L15" s="370">
        <v>11</v>
      </c>
      <c r="M15" s="370">
        <v>20</v>
      </c>
      <c r="N15" s="492">
        <v>6</v>
      </c>
      <c r="O15" s="370">
        <v>322</v>
      </c>
      <c r="P15" s="370">
        <v>258</v>
      </c>
      <c r="Q15" s="370">
        <v>290</v>
      </c>
      <c r="R15" s="492">
        <v>266</v>
      </c>
      <c r="S15" s="370">
        <v>3</v>
      </c>
      <c r="T15" s="370"/>
      <c r="U15" s="370"/>
      <c r="V15" s="492"/>
      <c r="W15" s="370">
        <v>211</v>
      </c>
      <c r="X15" s="370">
        <v>100</v>
      </c>
      <c r="Y15" s="370"/>
      <c r="Z15" s="492"/>
      <c r="AA15" s="370">
        <f t="shared" ref="AA15:AD16" si="3">+W15+S15+O15+K15+G15+C15</f>
        <v>2154</v>
      </c>
      <c r="AB15" s="370">
        <f t="shared" si="3"/>
        <v>1114</v>
      </c>
      <c r="AC15" s="370">
        <f t="shared" si="3"/>
        <v>994</v>
      </c>
      <c r="AD15" s="492">
        <f t="shared" si="3"/>
        <v>973</v>
      </c>
    </row>
    <row r="16" spans="1:30" s="6" customFormat="1" ht="22.5" customHeight="1">
      <c r="A16" s="491"/>
      <c r="B16" s="299" t="s">
        <v>1284</v>
      </c>
      <c r="C16" s="369">
        <v>345</v>
      </c>
      <c r="D16" s="370">
        <v>172</v>
      </c>
      <c r="E16" s="370">
        <v>221</v>
      </c>
      <c r="F16" s="492">
        <v>201</v>
      </c>
      <c r="G16" s="370">
        <v>219</v>
      </c>
      <c r="H16" s="370">
        <v>219</v>
      </c>
      <c r="I16" s="370">
        <v>162</v>
      </c>
      <c r="J16" s="492">
        <v>185</v>
      </c>
      <c r="K16" s="370">
        <v>3</v>
      </c>
      <c r="L16" s="370">
        <v>5</v>
      </c>
      <c r="M16" s="370">
        <v>8</v>
      </c>
      <c r="N16" s="492">
        <v>2</v>
      </c>
      <c r="O16" s="370">
        <v>73</v>
      </c>
      <c r="P16" s="370">
        <v>67</v>
      </c>
      <c r="Q16" s="370">
        <v>73</v>
      </c>
      <c r="R16" s="492">
        <v>86</v>
      </c>
      <c r="S16" s="370"/>
      <c r="T16" s="370"/>
      <c r="U16" s="370"/>
      <c r="V16" s="492"/>
      <c r="W16" s="370">
        <v>27</v>
      </c>
      <c r="X16" s="370">
        <v>42</v>
      </c>
      <c r="Y16" s="370"/>
      <c r="Z16" s="492"/>
      <c r="AA16" s="370">
        <f t="shared" si="3"/>
        <v>667</v>
      </c>
      <c r="AB16" s="370">
        <f t="shared" si="3"/>
        <v>505</v>
      </c>
      <c r="AC16" s="370">
        <f t="shared" si="3"/>
        <v>464</v>
      </c>
      <c r="AD16" s="492">
        <f t="shared" si="3"/>
        <v>474</v>
      </c>
    </row>
    <row r="17" spans="1:30" s="6" customFormat="1" ht="22.5" customHeight="1">
      <c r="A17" s="491"/>
      <c r="B17" s="343" t="s">
        <v>644</v>
      </c>
      <c r="C17" s="369">
        <v>4722</v>
      </c>
      <c r="D17" s="370">
        <v>3488</v>
      </c>
      <c r="E17" s="370">
        <v>3780</v>
      </c>
      <c r="F17" s="492">
        <f>SUM(F14:F16)</f>
        <v>3441</v>
      </c>
      <c r="G17" s="370">
        <v>2476</v>
      </c>
      <c r="H17" s="370">
        <v>2573</v>
      </c>
      <c r="I17" s="370">
        <v>2228</v>
      </c>
      <c r="J17" s="492">
        <f>SUM(J14:J16)</f>
        <v>2283</v>
      </c>
      <c r="K17" s="370">
        <v>135</v>
      </c>
      <c r="L17" s="370">
        <v>122</v>
      </c>
      <c r="M17" s="370">
        <f>SUM(M14:M16)</f>
        <v>221</v>
      </c>
      <c r="N17" s="492">
        <f>SUM(N14:N16)</f>
        <v>192</v>
      </c>
      <c r="O17" s="370">
        <v>1418</v>
      </c>
      <c r="P17" s="370">
        <v>1292</v>
      </c>
      <c r="Q17" s="370">
        <f>SUM(Q14:Q16)</f>
        <v>1520</v>
      </c>
      <c r="R17" s="492">
        <f>SUM(R14:R16)</f>
        <v>1645</v>
      </c>
      <c r="S17" s="370">
        <v>36</v>
      </c>
      <c r="T17" s="370">
        <v>114</v>
      </c>
      <c r="U17" s="370">
        <f t="shared" ref="U17:Z17" si="4">SUM(U14:U16)</f>
        <v>175</v>
      </c>
      <c r="V17" s="492">
        <f t="shared" si="4"/>
        <v>194</v>
      </c>
      <c r="W17" s="370">
        <f t="shared" si="4"/>
        <v>692</v>
      </c>
      <c r="X17" s="370">
        <f t="shared" si="4"/>
        <v>522</v>
      </c>
      <c r="Y17" s="370">
        <f t="shared" si="4"/>
        <v>0</v>
      </c>
      <c r="Z17" s="492">
        <f t="shared" si="4"/>
        <v>0</v>
      </c>
      <c r="AA17" s="370">
        <f>SUM(AA14:AA16)</f>
        <v>9479</v>
      </c>
      <c r="AB17" s="370">
        <f>SUM(AB14:AB16)</f>
        <v>8111</v>
      </c>
      <c r="AC17" s="370">
        <f>SUM(AC14:AC16)</f>
        <v>7924</v>
      </c>
      <c r="AD17" s="492">
        <f>SUM(AD14:AD16)</f>
        <v>7755</v>
      </c>
    </row>
    <row r="18" spans="1:30" s="6" customFormat="1" ht="22.5" customHeight="1">
      <c r="A18" s="491" t="s">
        <v>963</v>
      </c>
      <c r="B18" s="491" t="s">
        <v>832</v>
      </c>
      <c r="C18" s="369">
        <v>3291</v>
      </c>
      <c r="D18" s="370">
        <v>2320</v>
      </c>
      <c r="E18" s="370">
        <v>3009</v>
      </c>
      <c r="F18" s="492">
        <v>3172</v>
      </c>
      <c r="G18" s="370">
        <v>1382</v>
      </c>
      <c r="H18" s="370">
        <v>1394</v>
      </c>
      <c r="I18" s="370">
        <v>1502</v>
      </c>
      <c r="J18" s="492">
        <v>1427</v>
      </c>
      <c r="K18" s="370">
        <v>141</v>
      </c>
      <c r="L18" s="370">
        <v>92</v>
      </c>
      <c r="M18" s="370">
        <v>100</v>
      </c>
      <c r="N18" s="492">
        <v>13</v>
      </c>
      <c r="O18" s="370">
        <v>1192</v>
      </c>
      <c r="P18" s="370">
        <v>480</v>
      </c>
      <c r="Q18" s="370">
        <v>644</v>
      </c>
      <c r="R18" s="492">
        <v>913</v>
      </c>
      <c r="S18" s="370">
        <v>19</v>
      </c>
      <c r="T18" s="370"/>
      <c r="U18" s="370">
        <v>71</v>
      </c>
      <c r="V18" s="492">
        <v>96</v>
      </c>
      <c r="W18" s="370">
        <v>780</v>
      </c>
      <c r="X18" s="370">
        <v>829</v>
      </c>
      <c r="Y18" s="370">
        <v>592</v>
      </c>
      <c r="Z18" s="492"/>
      <c r="AA18" s="369">
        <f t="shared" ref="AA18:AD19" si="5">+W18+S18+O18+K18+G18+C18</f>
        <v>6805</v>
      </c>
      <c r="AB18" s="370">
        <f t="shared" si="5"/>
        <v>5115</v>
      </c>
      <c r="AC18" s="370">
        <f t="shared" si="5"/>
        <v>5918</v>
      </c>
      <c r="AD18" s="492">
        <f t="shared" si="5"/>
        <v>5621</v>
      </c>
    </row>
    <row r="19" spans="1:30" s="6" customFormat="1" ht="22.5" customHeight="1">
      <c r="A19" s="491"/>
      <c r="B19" s="299" t="s">
        <v>1286</v>
      </c>
      <c r="C19" s="369">
        <v>257</v>
      </c>
      <c r="D19" s="370">
        <v>240</v>
      </c>
      <c r="E19" s="370">
        <v>202</v>
      </c>
      <c r="F19" s="492">
        <v>206</v>
      </c>
      <c r="G19" s="370">
        <v>121</v>
      </c>
      <c r="H19" s="370">
        <v>118</v>
      </c>
      <c r="I19" s="370">
        <v>107</v>
      </c>
      <c r="J19" s="492">
        <v>136</v>
      </c>
      <c r="K19" s="370">
        <v>7</v>
      </c>
      <c r="L19" s="370">
        <v>12</v>
      </c>
      <c r="M19" s="370">
        <v>5</v>
      </c>
      <c r="N19" s="492"/>
      <c r="O19" s="370">
        <v>93</v>
      </c>
      <c r="P19" s="370">
        <v>63</v>
      </c>
      <c r="Q19" s="370">
        <v>85</v>
      </c>
      <c r="R19" s="492">
        <v>100</v>
      </c>
      <c r="S19" s="370">
        <v>2</v>
      </c>
      <c r="T19" s="370"/>
      <c r="U19" s="370"/>
      <c r="V19" s="492"/>
      <c r="W19" s="370">
        <v>50</v>
      </c>
      <c r="X19" s="370">
        <v>54</v>
      </c>
      <c r="Y19" s="370">
        <v>41</v>
      </c>
      <c r="Z19" s="492"/>
      <c r="AA19" s="370">
        <f t="shared" si="5"/>
        <v>530</v>
      </c>
      <c r="AB19" s="370">
        <f t="shared" si="5"/>
        <v>487</v>
      </c>
      <c r="AC19" s="370">
        <f t="shared" si="5"/>
        <v>440</v>
      </c>
      <c r="AD19" s="492">
        <f t="shared" si="5"/>
        <v>442</v>
      </c>
    </row>
    <row r="20" spans="1:30" s="6" customFormat="1" ht="22.5" customHeight="1">
      <c r="A20" s="491"/>
      <c r="B20" s="343" t="s">
        <v>644</v>
      </c>
      <c r="C20" s="369">
        <v>3548</v>
      </c>
      <c r="D20" s="370">
        <v>2560</v>
      </c>
      <c r="E20" s="370">
        <v>3211</v>
      </c>
      <c r="F20" s="492">
        <f>SUM(F18:F19)</f>
        <v>3378</v>
      </c>
      <c r="G20" s="370">
        <v>1503</v>
      </c>
      <c r="H20" s="370">
        <v>1512</v>
      </c>
      <c r="I20" s="370">
        <v>1609</v>
      </c>
      <c r="J20" s="492">
        <f>SUM(J18:J19)</f>
        <v>1563</v>
      </c>
      <c r="K20" s="370">
        <v>148</v>
      </c>
      <c r="L20" s="370">
        <v>104</v>
      </c>
      <c r="M20" s="370">
        <f>SUM(M18:M19)</f>
        <v>105</v>
      </c>
      <c r="N20" s="492">
        <f>SUM(N18:N19)</f>
        <v>13</v>
      </c>
      <c r="O20" s="370">
        <v>1285</v>
      </c>
      <c r="P20" s="370">
        <v>543</v>
      </c>
      <c r="Q20" s="370">
        <f>SUM(Q18:Q19)</f>
        <v>729</v>
      </c>
      <c r="R20" s="492">
        <f>SUM(R18:R19)</f>
        <v>1013</v>
      </c>
      <c r="S20" s="370">
        <v>21</v>
      </c>
      <c r="T20" s="370">
        <v>0</v>
      </c>
      <c r="U20" s="370">
        <f>SUM(U18:U19)</f>
        <v>71</v>
      </c>
      <c r="V20" s="492">
        <f>SUM(V18:V19)</f>
        <v>96</v>
      </c>
      <c r="W20" s="370">
        <v>830</v>
      </c>
      <c r="X20" s="370">
        <v>883</v>
      </c>
      <c r="Y20" s="370">
        <f>SUM(Y18:Y19)</f>
        <v>633</v>
      </c>
      <c r="Z20" s="492">
        <f>SUM(Z18:Z19)</f>
        <v>0</v>
      </c>
      <c r="AA20" s="370">
        <f t="shared" ref="AA20:AC21" si="6">+W20+S20+O20+K20+G20+C20</f>
        <v>7335</v>
      </c>
      <c r="AB20" s="370">
        <f t="shared" si="6"/>
        <v>5602</v>
      </c>
      <c r="AC20" s="370">
        <f t="shared" si="6"/>
        <v>6358</v>
      </c>
      <c r="AD20" s="492">
        <f>SUM(AD18:AD19)</f>
        <v>6063</v>
      </c>
    </row>
    <row r="21" spans="1:30" s="6" customFormat="1" ht="22.5" customHeight="1">
      <c r="A21" s="491" t="s">
        <v>542</v>
      </c>
      <c r="B21" s="491" t="s">
        <v>833</v>
      </c>
      <c r="C21" s="369">
        <v>3957</v>
      </c>
      <c r="D21" s="370">
        <v>4437</v>
      </c>
      <c r="E21" s="370">
        <v>3546</v>
      </c>
      <c r="F21" s="492">
        <v>3571</v>
      </c>
      <c r="G21" s="370">
        <v>1658</v>
      </c>
      <c r="H21" s="370">
        <v>1389</v>
      </c>
      <c r="I21" s="370">
        <v>1424</v>
      </c>
      <c r="J21" s="492">
        <v>1569</v>
      </c>
      <c r="K21" s="370">
        <v>106</v>
      </c>
      <c r="L21" s="370">
        <v>76</v>
      </c>
      <c r="M21" s="370">
        <v>69</v>
      </c>
      <c r="N21" s="492">
        <v>118</v>
      </c>
      <c r="O21" s="370">
        <v>475</v>
      </c>
      <c r="P21" s="370">
        <v>353</v>
      </c>
      <c r="Q21" s="370">
        <v>393</v>
      </c>
      <c r="R21" s="492">
        <v>558</v>
      </c>
      <c r="S21" s="370">
        <v>18</v>
      </c>
      <c r="T21" s="370">
        <v>12</v>
      </c>
      <c r="U21" s="370">
        <v>405</v>
      </c>
      <c r="V21" s="492">
        <v>261</v>
      </c>
      <c r="W21" s="370">
        <v>390</v>
      </c>
      <c r="X21" s="370">
        <v>810</v>
      </c>
      <c r="Y21" s="370"/>
      <c r="Z21" s="492"/>
      <c r="AA21" s="369">
        <f t="shared" si="6"/>
        <v>6604</v>
      </c>
      <c r="AB21" s="370">
        <f t="shared" si="6"/>
        <v>7077</v>
      </c>
      <c r="AC21" s="370">
        <f t="shared" si="6"/>
        <v>5837</v>
      </c>
      <c r="AD21" s="492">
        <f>+Z21+V21+R21+N21+J21+F21</f>
        <v>6077</v>
      </c>
    </row>
    <row r="22" spans="1:30" s="6" customFormat="1" ht="22.5" customHeight="1">
      <c r="A22" s="496" t="s">
        <v>964</v>
      </c>
      <c r="B22" s="497"/>
      <c r="C22" s="498">
        <v>23825</v>
      </c>
      <c r="D22" s="499">
        <v>19041</v>
      </c>
      <c r="E22" s="499">
        <v>19274</v>
      </c>
      <c r="F22" s="500">
        <f>+F13+F17+F20+F21</f>
        <v>17803</v>
      </c>
      <c r="G22" s="499">
        <v>10356</v>
      </c>
      <c r="H22" s="499">
        <v>10281</v>
      </c>
      <c r="I22" s="499">
        <v>11115</v>
      </c>
      <c r="J22" s="500">
        <f>+J13+J17+J20+J21</f>
        <v>12616</v>
      </c>
      <c r="K22" s="499">
        <v>933</v>
      </c>
      <c r="L22" s="499">
        <v>838</v>
      </c>
      <c r="M22" s="499">
        <f>+M13+M17+M20+M21</f>
        <v>1031</v>
      </c>
      <c r="N22" s="500">
        <f>+N13+N17+N20+N21</f>
        <v>1158</v>
      </c>
      <c r="O22" s="499">
        <v>7245</v>
      </c>
      <c r="P22" s="499">
        <v>5477</v>
      </c>
      <c r="Q22" s="499">
        <f>+Q13+Q17+Q20+Q21</f>
        <v>6027</v>
      </c>
      <c r="R22" s="500">
        <f>+R13+R17+R20+R21</f>
        <v>6817</v>
      </c>
      <c r="S22" s="499">
        <v>216</v>
      </c>
      <c r="T22" s="499">
        <v>241</v>
      </c>
      <c r="U22" s="499">
        <f>+U13+U17+U20+U21</f>
        <v>859</v>
      </c>
      <c r="V22" s="500">
        <f>+V13+V17+V20+V21</f>
        <v>662</v>
      </c>
      <c r="W22" s="499">
        <v>4672</v>
      </c>
      <c r="X22" s="499">
        <f t="shared" ref="X22:AD22" si="7">+X13+X17+X20+X21</f>
        <v>4857</v>
      </c>
      <c r="Y22" s="499">
        <f t="shared" si="7"/>
        <v>803</v>
      </c>
      <c r="Z22" s="500">
        <f t="shared" si="7"/>
        <v>17</v>
      </c>
      <c r="AA22" s="499">
        <f t="shared" si="7"/>
        <v>47247</v>
      </c>
      <c r="AB22" s="499">
        <f t="shared" si="7"/>
        <v>40735</v>
      </c>
      <c r="AC22" s="499">
        <f t="shared" si="7"/>
        <v>39109</v>
      </c>
      <c r="AD22" s="500">
        <f t="shared" si="7"/>
        <v>39073</v>
      </c>
    </row>
    <row r="23" spans="1:30" s="6" customFormat="1" ht="22.5" customHeight="1">
      <c r="A23" s="491" t="s">
        <v>965</v>
      </c>
      <c r="B23" s="299" t="s">
        <v>1483</v>
      </c>
      <c r="C23" s="369">
        <v>6099</v>
      </c>
      <c r="D23" s="370">
        <v>5867</v>
      </c>
      <c r="E23" s="370">
        <v>5749</v>
      </c>
      <c r="F23" s="492">
        <v>5568</v>
      </c>
      <c r="G23" s="370">
        <v>3441</v>
      </c>
      <c r="H23" s="370">
        <v>3241</v>
      </c>
      <c r="I23" s="370">
        <v>3241</v>
      </c>
      <c r="J23" s="492">
        <v>3065</v>
      </c>
      <c r="K23" s="370">
        <v>381</v>
      </c>
      <c r="L23" s="370">
        <v>94</v>
      </c>
      <c r="M23" s="370">
        <v>66</v>
      </c>
      <c r="N23" s="492">
        <v>106</v>
      </c>
      <c r="O23" s="370">
        <v>1849</v>
      </c>
      <c r="P23" s="370">
        <v>1555</v>
      </c>
      <c r="Q23" s="370">
        <v>1432</v>
      </c>
      <c r="R23" s="492">
        <v>1295</v>
      </c>
      <c r="S23" s="370">
        <v>88</v>
      </c>
      <c r="T23" s="370">
        <v>36</v>
      </c>
      <c r="U23" s="370">
        <v>49</v>
      </c>
      <c r="V23" s="492">
        <v>70</v>
      </c>
      <c r="W23" s="370">
        <v>1725</v>
      </c>
      <c r="X23" s="370">
        <v>1847</v>
      </c>
      <c r="Y23" s="370">
        <v>0</v>
      </c>
      <c r="Z23" s="492"/>
      <c r="AA23" s="369">
        <f t="shared" ref="AA23:AD26" si="8">+W23+S23+O23+K23+G23+C23</f>
        <v>13583</v>
      </c>
      <c r="AB23" s="370">
        <f t="shared" si="8"/>
        <v>12640</v>
      </c>
      <c r="AC23" s="370">
        <f t="shared" si="8"/>
        <v>10537</v>
      </c>
      <c r="AD23" s="492">
        <f t="shared" si="8"/>
        <v>10104</v>
      </c>
    </row>
    <row r="24" spans="1:30" s="6" customFormat="1" ht="22.5" customHeight="1">
      <c r="A24" s="491"/>
      <c r="B24" s="299" t="s">
        <v>1482</v>
      </c>
      <c r="C24" s="369">
        <v>9857</v>
      </c>
      <c r="D24" s="370">
        <v>9292</v>
      </c>
      <c r="E24" s="370">
        <v>9034</v>
      </c>
      <c r="F24" s="492">
        <v>9168</v>
      </c>
      <c r="G24" s="370">
        <v>3921</v>
      </c>
      <c r="H24" s="370">
        <v>3354</v>
      </c>
      <c r="I24" s="370">
        <v>4008</v>
      </c>
      <c r="J24" s="492">
        <v>4335</v>
      </c>
      <c r="K24" s="370">
        <v>510</v>
      </c>
      <c r="L24" s="370">
        <v>439</v>
      </c>
      <c r="M24" s="370">
        <v>486</v>
      </c>
      <c r="N24" s="492">
        <v>535</v>
      </c>
      <c r="O24" s="370">
        <v>3077</v>
      </c>
      <c r="P24" s="370">
        <v>3480</v>
      </c>
      <c r="Q24" s="370">
        <v>3762</v>
      </c>
      <c r="R24" s="492">
        <v>3340</v>
      </c>
      <c r="S24" s="370">
        <v>170</v>
      </c>
      <c r="T24" s="370">
        <v>207</v>
      </c>
      <c r="U24" s="370">
        <v>265</v>
      </c>
      <c r="V24" s="492">
        <v>268</v>
      </c>
      <c r="W24" s="370">
        <v>1672</v>
      </c>
      <c r="X24" s="370">
        <v>1834</v>
      </c>
      <c r="Y24" s="370">
        <v>2</v>
      </c>
      <c r="Z24" s="492">
        <v>17</v>
      </c>
      <c r="AA24" s="369">
        <f t="shared" si="8"/>
        <v>19207</v>
      </c>
      <c r="AB24" s="370">
        <f t="shared" si="8"/>
        <v>18606</v>
      </c>
      <c r="AC24" s="370">
        <f t="shared" si="8"/>
        <v>17557</v>
      </c>
      <c r="AD24" s="492">
        <f t="shared" si="8"/>
        <v>17663</v>
      </c>
    </row>
    <row r="25" spans="1:30" s="6" customFormat="1" ht="22.5" customHeight="1">
      <c r="A25" s="491"/>
      <c r="B25" s="491" t="s">
        <v>550</v>
      </c>
      <c r="C25" s="369">
        <v>719</v>
      </c>
      <c r="D25" s="370">
        <v>805</v>
      </c>
      <c r="E25" s="370">
        <v>917</v>
      </c>
      <c r="F25" s="492">
        <v>673</v>
      </c>
      <c r="G25" s="370">
        <v>401</v>
      </c>
      <c r="H25" s="370">
        <v>347</v>
      </c>
      <c r="I25" s="370">
        <v>451</v>
      </c>
      <c r="J25" s="492">
        <v>373</v>
      </c>
      <c r="K25" s="370">
        <v>33</v>
      </c>
      <c r="L25" s="370">
        <v>34</v>
      </c>
      <c r="M25" s="370">
        <v>40</v>
      </c>
      <c r="N25" s="492">
        <v>32</v>
      </c>
      <c r="O25" s="370">
        <v>283</v>
      </c>
      <c r="P25" s="370">
        <v>307</v>
      </c>
      <c r="Q25" s="370">
        <v>456</v>
      </c>
      <c r="R25" s="492">
        <v>371</v>
      </c>
      <c r="S25" s="370">
        <v>16</v>
      </c>
      <c r="T25" s="370">
        <v>10</v>
      </c>
      <c r="U25" s="370"/>
      <c r="V25" s="492">
        <v>8</v>
      </c>
      <c r="W25" s="370">
        <v>87</v>
      </c>
      <c r="X25" s="370">
        <v>99</v>
      </c>
      <c r="Y25" s="370"/>
      <c r="Z25" s="492"/>
      <c r="AA25" s="369">
        <f t="shared" si="8"/>
        <v>1539</v>
      </c>
      <c r="AB25" s="370">
        <f t="shared" si="8"/>
        <v>1602</v>
      </c>
      <c r="AC25" s="370">
        <f t="shared" si="8"/>
        <v>1864</v>
      </c>
      <c r="AD25" s="492">
        <f t="shared" si="8"/>
        <v>1457</v>
      </c>
    </row>
    <row r="26" spans="1:30" s="6" customFormat="1" ht="22.5" customHeight="1">
      <c r="A26" s="491"/>
      <c r="B26" s="491" t="s">
        <v>837</v>
      </c>
      <c r="C26" s="369">
        <v>1422</v>
      </c>
      <c r="D26" s="370">
        <v>1348</v>
      </c>
      <c r="E26" s="370">
        <v>1636</v>
      </c>
      <c r="F26" s="492">
        <v>1500</v>
      </c>
      <c r="G26" s="370">
        <v>583</v>
      </c>
      <c r="H26" s="370">
        <v>750</v>
      </c>
      <c r="I26" s="370">
        <v>692</v>
      </c>
      <c r="J26" s="492">
        <v>827</v>
      </c>
      <c r="K26" s="370">
        <v>37</v>
      </c>
      <c r="L26" s="370">
        <v>45</v>
      </c>
      <c r="M26" s="370">
        <v>69</v>
      </c>
      <c r="N26" s="492">
        <v>62</v>
      </c>
      <c r="O26" s="370">
        <v>288</v>
      </c>
      <c r="P26" s="370">
        <v>333</v>
      </c>
      <c r="Q26" s="370">
        <v>579</v>
      </c>
      <c r="R26" s="492">
        <v>607</v>
      </c>
      <c r="S26" s="370">
        <v>22</v>
      </c>
      <c r="T26" s="370">
        <v>18</v>
      </c>
      <c r="U26" s="370">
        <v>54</v>
      </c>
      <c r="V26" s="492">
        <v>14</v>
      </c>
      <c r="W26" s="370">
        <v>220</v>
      </c>
      <c r="X26" s="370">
        <v>172</v>
      </c>
      <c r="Y26" s="370"/>
      <c r="Z26" s="492"/>
      <c r="AA26" s="369">
        <f t="shared" si="8"/>
        <v>2572</v>
      </c>
      <c r="AB26" s="370">
        <f t="shared" si="8"/>
        <v>2666</v>
      </c>
      <c r="AC26" s="370">
        <f t="shared" si="8"/>
        <v>3030</v>
      </c>
      <c r="AD26" s="492">
        <f t="shared" si="8"/>
        <v>3010</v>
      </c>
    </row>
    <row r="27" spans="1:30" s="6" customFormat="1" ht="22.5" customHeight="1">
      <c r="A27" s="491"/>
      <c r="B27" s="491" t="s">
        <v>644</v>
      </c>
      <c r="C27" s="369">
        <v>18097</v>
      </c>
      <c r="D27" s="370">
        <v>17312</v>
      </c>
      <c r="E27" s="370">
        <v>17336</v>
      </c>
      <c r="F27" s="492">
        <f>SUM(F23:F26)</f>
        <v>16909</v>
      </c>
      <c r="G27" s="370">
        <v>8346</v>
      </c>
      <c r="H27" s="370">
        <v>7692</v>
      </c>
      <c r="I27" s="370">
        <v>8392</v>
      </c>
      <c r="J27" s="492">
        <f>SUM(J23:J26)</f>
        <v>8600</v>
      </c>
      <c r="K27" s="370">
        <v>961</v>
      </c>
      <c r="L27" s="370">
        <v>612</v>
      </c>
      <c r="M27" s="370">
        <f>SUM(M23:M26)</f>
        <v>661</v>
      </c>
      <c r="N27" s="492">
        <f>SUM(N23:N26)</f>
        <v>735</v>
      </c>
      <c r="O27" s="370">
        <v>5497</v>
      </c>
      <c r="P27" s="370">
        <v>5675</v>
      </c>
      <c r="Q27" s="370">
        <f>SUM(Q23:Q26)</f>
        <v>6229</v>
      </c>
      <c r="R27" s="492">
        <f>SUM(R23:R26)</f>
        <v>5613</v>
      </c>
      <c r="S27" s="370">
        <v>296</v>
      </c>
      <c r="T27" s="370">
        <v>271</v>
      </c>
      <c r="U27" s="370">
        <f>SUM(U23:U26)</f>
        <v>368</v>
      </c>
      <c r="V27" s="492">
        <f>SUM(V23:V26)</f>
        <v>360</v>
      </c>
      <c r="W27" s="370">
        <v>3704</v>
      </c>
      <c r="X27" s="370">
        <v>3952</v>
      </c>
      <c r="Y27" s="370">
        <f t="shared" ref="Y27:AD27" si="9">SUM(Y23:Y26)</f>
        <v>2</v>
      </c>
      <c r="Z27" s="492">
        <f t="shared" si="9"/>
        <v>17</v>
      </c>
      <c r="AA27" s="369">
        <f t="shared" si="9"/>
        <v>36901</v>
      </c>
      <c r="AB27" s="370">
        <f t="shared" si="9"/>
        <v>35514</v>
      </c>
      <c r="AC27" s="370">
        <f t="shared" si="9"/>
        <v>32988</v>
      </c>
      <c r="AD27" s="492">
        <f t="shared" si="9"/>
        <v>32234</v>
      </c>
    </row>
    <row r="28" spans="1:30" s="6" customFormat="1" ht="22.5" customHeight="1">
      <c r="A28" s="491" t="s">
        <v>545</v>
      </c>
      <c r="B28" s="491" t="s">
        <v>838</v>
      </c>
      <c r="C28" s="369">
        <v>3770</v>
      </c>
      <c r="D28" s="370">
        <v>3241</v>
      </c>
      <c r="E28" s="370">
        <v>3180</v>
      </c>
      <c r="F28" s="492">
        <v>2678</v>
      </c>
      <c r="G28" s="370">
        <v>524</v>
      </c>
      <c r="H28" s="370">
        <v>1352</v>
      </c>
      <c r="I28" s="370">
        <v>1635</v>
      </c>
      <c r="J28" s="492">
        <v>2112</v>
      </c>
      <c r="K28" s="370">
        <v>170</v>
      </c>
      <c r="L28" s="370">
        <v>0</v>
      </c>
      <c r="M28" s="370">
        <v>63</v>
      </c>
      <c r="N28" s="492">
        <v>137</v>
      </c>
      <c r="O28" s="370">
        <v>998</v>
      </c>
      <c r="P28" s="370">
        <v>1069</v>
      </c>
      <c r="Q28" s="370">
        <v>1085</v>
      </c>
      <c r="R28" s="492">
        <v>1198</v>
      </c>
      <c r="S28" s="370">
        <v>146</v>
      </c>
      <c r="T28" s="370">
        <v>127</v>
      </c>
      <c r="U28" s="370">
        <v>121</v>
      </c>
      <c r="V28" s="492">
        <v>163</v>
      </c>
      <c r="W28" s="370">
        <v>385</v>
      </c>
      <c r="X28" s="370">
        <v>678</v>
      </c>
      <c r="Y28" s="370">
        <v>5</v>
      </c>
      <c r="Z28" s="492"/>
      <c r="AA28" s="369">
        <f>+W28+S28+O28+K28+G28+C28</f>
        <v>5993</v>
      </c>
      <c r="AB28" s="370">
        <f>+X28+T28+P28+L28+H28+D28</f>
        <v>6467</v>
      </c>
      <c r="AC28" s="370">
        <f>+Y28+U28+Q28+M28+I28+E28</f>
        <v>6089</v>
      </c>
      <c r="AD28" s="492">
        <f>+Z28+V28+R28+N28+J28+F28</f>
        <v>6288</v>
      </c>
    </row>
    <row r="29" spans="1:30" s="6" customFormat="1" ht="22.5" customHeight="1">
      <c r="A29" s="491"/>
      <c r="B29" s="299" t="s">
        <v>1276</v>
      </c>
      <c r="C29" s="369">
        <v>491</v>
      </c>
      <c r="D29" s="370">
        <v>210</v>
      </c>
      <c r="E29" s="370">
        <v>260</v>
      </c>
      <c r="F29" s="492">
        <v>235</v>
      </c>
      <c r="G29" s="370">
        <v>136</v>
      </c>
      <c r="H29" s="370">
        <v>133</v>
      </c>
      <c r="I29" s="370">
        <v>137</v>
      </c>
      <c r="J29" s="492">
        <v>201</v>
      </c>
      <c r="K29" s="370">
        <v>9</v>
      </c>
      <c r="L29" s="370"/>
      <c r="M29" s="370"/>
      <c r="N29" s="492"/>
      <c r="O29" s="370">
        <v>165</v>
      </c>
      <c r="P29" s="370">
        <v>198</v>
      </c>
      <c r="Q29" s="370">
        <v>183</v>
      </c>
      <c r="R29" s="492">
        <v>163</v>
      </c>
      <c r="S29" s="370"/>
      <c r="T29" s="370"/>
      <c r="U29" s="370"/>
      <c r="V29" s="492"/>
      <c r="W29" s="370">
        <v>115</v>
      </c>
      <c r="X29" s="370">
        <v>113</v>
      </c>
      <c r="Y29" s="370">
        <v>12</v>
      </c>
      <c r="Z29" s="492"/>
      <c r="AA29" s="370">
        <f t="shared" ref="AA29:AD31" si="10">+W29+S29+O29+K29+G29+C29</f>
        <v>916</v>
      </c>
      <c r="AB29" s="370">
        <f t="shared" si="10"/>
        <v>654</v>
      </c>
      <c r="AC29" s="370">
        <f t="shared" si="10"/>
        <v>592</v>
      </c>
      <c r="AD29" s="492">
        <f t="shared" si="10"/>
        <v>599</v>
      </c>
    </row>
    <row r="30" spans="1:30" s="6" customFormat="1" ht="22.5" customHeight="1">
      <c r="A30" s="491"/>
      <c r="B30" s="251" t="s">
        <v>1340</v>
      </c>
      <c r="C30" s="369"/>
      <c r="D30" s="370"/>
      <c r="E30" s="370"/>
      <c r="F30" s="492"/>
      <c r="G30" s="370"/>
      <c r="H30" s="370"/>
      <c r="I30" s="370"/>
      <c r="J30" s="492"/>
      <c r="K30" s="370"/>
      <c r="L30" s="370"/>
      <c r="M30" s="370"/>
      <c r="N30" s="492"/>
      <c r="O30" s="370"/>
      <c r="P30" s="370"/>
      <c r="Q30" s="370"/>
      <c r="R30" s="492"/>
      <c r="S30" s="370"/>
      <c r="T30" s="370"/>
      <c r="U30" s="370">
        <v>14</v>
      </c>
      <c r="V30" s="492">
        <v>1</v>
      </c>
      <c r="W30" s="370"/>
      <c r="X30" s="370"/>
      <c r="Y30" s="370"/>
      <c r="Z30" s="492"/>
      <c r="AA30" s="369"/>
      <c r="AB30" s="370"/>
      <c r="AC30" s="370">
        <f t="shared" si="10"/>
        <v>14</v>
      </c>
      <c r="AD30" s="492">
        <f t="shared" si="10"/>
        <v>1</v>
      </c>
    </row>
    <row r="31" spans="1:30" s="6" customFormat="1" ht="22.5" customHeight="1">
      <c r="A31" s="491"/>
      <c r="B31" s="491" t="s">
        <v>966</v>
      </c>
      <c r="C31" s="369"/>
      <c r="D31" s="370">
        <v>4</v>
      </c>
      <c r="E31" s="370">
        <v>2</v>
      </c>
      <c r="F31" s="492"/>
      <c r="G31" s="370"/>
      <c r="H31" s="370"/>
      <c r="I31" s="370"/>
      <c r="J31" s="492"/>
      <c r="K31" s="370"/>
      <c r="L31" s="370"/>
      <c r="M31" s="370"/>
      <c r="N31" s="492"/>
      <c r="O31" s="370"/>
      <c r="P31" s="370"/>
      <c r="Q31" s="370"/>
      <c r="R31" s="492"/>
      <c r="S31" s="370"/>
      <c r="T31" s="370"/>
      <c r="U31" s="370"/>
      <c r="V31" s="492"/>
      <c r="W31" s="370"/>
      <c r="X31" s="370"/>
      <c r="Y31" s="370"/>
      <c r="Z31" s="492"/>
      <c r="AA31" s="369">
        <f>+W31+S31+O31+K31+G31+C31</f>
        <v>0</v>
      </c>
      <c r="AB31" s="370">
        <f t="shared" si="10"/>
        <v>4</v>
      </c>
      <c r="AC31" s="370">
        <f t="shared" si="10"/>
        <v>2</v>
      </c>
      <c r="AD31" s="492">
        <f t="shared" si="10"/>
        <v>0</v>
      </c>
    </row>
    <row r="32" spans="1:30" s="6" customFormat="1" ht="22.5" customHeight="1">
      <c r="A32" s="491"/>
      <c r="B32" s="491" t="s">
        <v>644</v>
      </c>
      <c r="C32" s="369">
        <v>4261</v>
      </c>
      <c r="D32" s="370">
        <v>3455</v>
      </c>
      <c r="E32" s="370">
        <v>3442</v>
      </c>
      <c r="F32" s="492">
        <f>SUM(F28:F31)</f>
        <v>2913</v>
      </c>
      <c r="G32" s="370">
        <v>660</v>
      </c>
      <c r="H32" s="370">
        <v>1485</v>
      </c>
      <c r="I32" s="370">
        <v>1772</v>
      </c>
      <c r="J32" s="492">
        <f>SUM(J28:J31)</f>
        <v>2313</v>
      </c>
      <c r="K32" s="370">
        <v>179</v>
      </c>
      <c r="L32" s="370">
        <v>0</v>
      </c>
      <c r="M32" s="370">
        <f>SUM(M28:M31)</f>
        <v>63</v>
      </c>
      <c r="N32" s="492">
        <f>SUM(N28:N31)</f>
        <v>137</v>
      </c>
      <c r="O32" s="370">
        <v>1163</v>
      </c>
      <c r="P32" s="370">
        <v>1267</v>
      </c>
      <c r="Q32" s="370">
        <f>SUM(Q28:Q31)</f>
        <v>1268</v>
      </c>
      <c r="R32" s="492">
        <f>SUM(R28:R31)</f>
        <v>1361</v>
      </c>
      <c r="S32" s="370">
        <v>146</v>
      </c>
      <c r="T32" s="370">
        <v>127</v>
      </c>
      <c r="U32" s="370">
        <f>SUM(U28:U31)</f>
        <v>135</v>
      </c>
      <c r="V32" s="492">
        <f>SUM(V28:V31)</f>
        <v>164</v>
      </c>
      <c r="W32" s="370">
        <v>500</v>
      </c>
      <c r="X32" s="370">
        <v>791</v>
      </c>
      <c r="Y32" s="370">
        <f t="shared" ref="Y32:AD32" si="11">SUM(Y28:Y31)</f>
        <v>17</v>
      </c>
      <c r="Z32" s="492">
        <f t="shared" si="11"/>
        <v>0</v>
      </c>
      <c r="AA32" s="369">
        <f t="shared" si="11"/>
        <v>6909</v>
      </c>
      <c r="AB32" s="370">
        <f t="shared" si="11"/>
        <v>7125</v>
      </c>
      <c r="AC32" s="370">
        <f t="shared" si="11"/>
        <v>6697</v>
      </c>
      <c r="AD32" s="492">
        <f t="shared" si="11"/>
        <v>6888</v>
      </c>
    </row>
    <row r="33" spans="1:30" s="6" customFormat="1" ht="22.5" customHeight="1">
      <c r="A33" s="491" t="s">
        <v>546</v>
      </c>
      <c r="B33" s="251" t="s">
        <v>648</v>
      </c>
      <c r="C33" s="369">
        <v>3152</v>
      </c>
      <c r="D33" s="370">
        <v>2737</v>
      </c>
      <c r="E33" s="370">
        <v>3320</v>
      </c>
      <c r="F33" s="492">
        <v>4127</v>
      </c>
      <c r="G33" s="370">
        <v>1193</v>
      </c>
      <c r="H33" s="370">
        <v>1266</v>
      </c>
      <c r="I33" s="370">
        <v>1615</v>
      </c>
      <c r="J33" s="492">
        <v>1733</v>
      </c>
      <c r="K33" s="370">
        <v>132</v>
      </c>
      <c r="L33" s="370">
        <v>155</v>
      </c>
      <c r="M33" s="370">
        <v>158</v>
      </c>
      <c r="N33" s="492">
        <v>167</v>
      </c>
      <c r="O33" s="370">
        <v>1084</v>
      </c>
      <c r="P33" s="370">
        <v>1077</v>
      </c>
      <c r="Q33" s="370">
        <v>1163</v>
      </c>
      <c r="R33" s="492">
        <v>1324</v>
      </c>
      <c r="S33" s="370">
        <v>30</v>
      </c>
      <c r="T33" s="370">
        <v>31</v>
      </c>
      <c r="U33" s="370">
        <v>15</v>
      </c>
      <c r="V33" s="492">
        <v>40</v>
      </c>
      <c r="W33" s="370">
        <v>829</v>
      </c>
      <c r="X33" s="370">
        <v>963</v>
      </c>
      <c r="Y33" s="370"/>
      <c r="Z33" s="492"/>
      <c r="AA33" s="369">
        <f t="shared" ref="AA33:AC39" si="12">+W33+S33+O33+K33+G33+C33</f>
        <v>6420</v>
      </c>
      <c r="AB33" s="370">
        <f t="shared" si="12"/>
        <v>6229</v>
      </c>
      <c r="AC33" s="370">
        <f t="shared" si="12"/>
        <v>6271</v>
      </c>
      <c r="AD33" s="492">
        <f>+Z33+V33+R33+N33+J33+F33</f>
        <v>7391</v>
      </c>
    </row>
    <row r="34" spans="1:30" s="6" customFormat="1" ht="22.5" customHeight="1">
      <c r="A34" s="491"/>
      <c r="B34" s="491" t="s">
        <v>840</v>
      </c>
      <c r="C34" s="369">
        <v>549</v>
      </c>
      <c r="D34" s="370">
        <v>494</v>
      </c>
      <c r="E34" s="370">
        <v>452</v>
      </c>
      <c r="F34" s="492">
        <v>454</v>
      </c>
      <c r="G34" s="370">
        <v>229</v>
      </c>
      <c r="H34" s="370">
        <v>161</v>
      </c>
      <c r="I34" s="370">
        <v>251</v>
      </c>
      <c r="J34" s="492">
        <v>255</v>
      </c>
      <c r="K34" s="370">
        <v>16</v>
      </c>
      <c r="L34" s="370">
        <v>21</v>
      </c>
      <c r="M34" s="370">
        <v>19</v>
      </c>
      <c r="N34" s="492">
        <v>19</v>
      </c>
      <c r="O34" s="370">
        <v>110</v>
      </c>
      <c r="P34" s="370">
        <v>130</v>
      </c>
      <c r="Q34" s="370">
        <v>195</v>
      </c>
      <c r="R34" s="492">
        <v>152</v>
      </c>
      <c r="S34" s="370">
        <v>8</v>
      </c>
      <c r="T34" s="370">
        <v>14</v>
      </c>
      <c r="U34" s="370">
        <v>15</v>
      </c>
      <c r="V34" s="492">
        <v>12</v>
      </c>
      <c r="W34" s="370">
        <v>113</v>
      </c>
      <c r="X34" s="370">
        <v>124</v>
      </c>
      <c r="Y34" s="370"/>
      <c r="Z34" s="492"/>
      <c r="AA34" s="369">
        <f t="shared" ref="AA34:AC35" si="13">+W34+S34+O34+K34+G34+C34</f>
        <v>1025</v>
      </c>
      <c r="AB34" s="370">
        <f t="shared" si="13"/>
        <v>944</v>
      </c>
      <c r="AC34" s="370">
        <f t="shared" si="13"/>
        <v>932</v>
      </c>
      <c r="AD34" s="492">
        <f>+Z34+V34+R34+N34+J34+F34</f>
        <v>892</v>
      </c>
    </row>
    <row r="35" spans="1:30" s="6" customFormat="1" ht="22.5" customHeight="1">
      <c r="A35" s="491"/>
      <c r="B35" s="299" t="s">
        <v>1277</v>
      </c>
      <c r="C35" s="369">
        <v>152</v>
      </c>
      <c r="D35" s="370">
        <v>112</v>
      </c>
      <c r="E35" s="370">
        <v>76</v>
      </c>
      <c r="F35" s="492">
        <v>177</v>
      </c>
      <c r="G35" s="370">
        <v>168</v>
      </c>
      <c r="H35" s="370">
        <v>122</v>
      </c>
      <c r="I35" s="370">
        <v>156</v>
      </c>
      <c r="J35" s="492">
        <v>166</v>
      </c>
      <c r="K35" s="370">
        <v>18</v>
      </c>
      <c r="L35" s="370">
        <v>14</v>
      </c>
      <c r="M35" s="370">
        <v>12</v>
      </c>
      <c r="N35" s="492">
        <v>14</v>
      </c>
      <c r="O35" s="370">
        <v>122</v>
      </c>
      <c r="P35" s="370">
        <v>87</v>
      </c>
      <c r="Q35" s="370">
        <v>101</v>
      </c>
      <c r="R35" s="492">
        <v>100</v>
      </c>
      <c r="S35" s="370">
        <v>17</v>
      </c>
      <c r="T35" s="370">
        <v>1</v>
      </c>
      <c r="U35" s="370">
        <v>1</v>
      </c>
      <c r="V35" s="492"/>
      <c r="W35" s="370">
        <v>74</v>
      </c>
      <c r="X35" s="370">
        <v>107</v>
      </c>
      <c r="Y35" s="370">
        <v>10</v>
      </c>
      <c r="Z35" s="492"/>
      <c r="AA35" s="370">
        <f t="shared" si="13"/>
        <v>551</v>
      </c>
      <c r="AB35" s="370">
        <f t="shared" si="13"/>
        <v>443</v>
      </c>
      <c r="AC35" s="370">
        <f t="shared" si="13"/>
        <v>356</v>
      </c>
      <c r="AD35" s="492">
        <f>+Z35+V35+R35+N35+J35+F35</f>
        <v>457</v>
      </c>
    </row>
    <row r="36" spans="1:30" s="6" customFormat="1" ht="22.5" customHeight="1">
      <c r="A36" s="491"/>
      <c r="B36" s="491" t="s">
        <v>644</v>
      </c>
      <c r="C36" s="369">
        <v>3853</v>
      </c>
      <c r="D36" s="370">
        <v>3343</v>
      </c>
      <c r="E36" s="370">
        <v>3848</v>
      </c>
      <c r="F36" s="370">
        <f t="shared" ref="F36:AD36" si="14">SUM(F33:F35)</f>
        <v>4758</v>
      </c>
      <c r="G36" s="369">
        <v>1590</v>
      </c>
      <c r="H36" s="370">
        <v>1549</v>
      </c>
      <c r="I36" s="370">
        <v>2022</v>
      </c>
      <c r="J36" s="492">
        <f t="shared" si="14"/>
        <v>2154</v>
      </c>
      <c r="K36" s="370">
        <f t="shared" ref="K36:M36" si="15">SUM(K33:K35)</f>
        <v>166</v>
      </c>
      <c r="L36" s="370">
        <f t="shared" si="15"/>
        <v>190</v>
      </c>
      <c r="M36" s="370">
        <f t="shared" si="15"/>
        <v>189</v>
      </c>
      <c r="N36" s="492">
        <f t="shared" si="14"/>
        <v>200</v>
      </c>
      <c r="O36" s="370">
        <f t="shared" ref="O36:Q36" si="16">SUM(O33:O35)</f>
        <v>1316</v>
      </c>
      <c r="P36" s="370">
        <f t="shared" si="16"/>
        <v>1294</v>
      </c>
      <c r="Q36" s="370">
        <f t="shared" si="16"/>
        <v>1459</v>
      </c>
      <c r="R36" s="492">
        <f t="shared" si="14"/>
        <v>1576</v>
      </c>
      <c r="S36" s="370">
        <f t="shared" ref="S36:U36" si="17">SUM(S33:S35)</f>
        <v>55</v>
      </c>
      <c r="T36" s="370">
        <f t="shared" si="17"/>
        <v>46</v>
      </c>
      <c r="U36" s="370">
        <f t="shared" si="17"/>
        <v>31</v>
      </c>
      <c r="V36" s="492">
        <f t="shared" si="14"/>
        <v>52</v>
      </c>
      <c r="W36" s="370">
        <f t="shared" ref="W36:Y36" si="18">SUM(W33:W35)</f>
        <v>1016</v>
      </c>
      <c r="X36" s="370">
        <f t="shared" si="18"/>
        <v>1194</v>
      </c>
      <c r="Y36" s="370">
        <f t="shared" si="18"/>
        <v>10</v>
      </c>
      <c r="Z36" s="370">
        <f t="shared" si="14"/>
        <v>0</v>
      </c>
      <c r="AA36" s="369">
        <f t="shared" si="14"/>
        <v>7996</v>
      </c>
      <c r="AB36" s="370">
        <f t="shared" si="14"/>
        <v>7616</v>
      </c>
      <c r="AC36" s="370">
        <f t="shared" si="14"/>
        <v>7559</v>
      </c>
      <c r="AD36" s="492">
        <f t="shared" si="14"/>
        <v>8740</v>
      </c>
    </row>
    <row r="37" spans="1:30" s="6" customFormat="1" ht="22.5" customHeight="1">
      <c r="A37" s="491" t="s">
        <v>547</v>
      </c>
      <c r="B37" s="491" t="s">
        <v>841</v>
      </c>
      <c r="C37" s="369">
        <v>2856</v>
      </c>
      <c r="D37" s="370">
        <v>2682</v>
      </c>
      <c r="E37" s="370">
        <v>3096</v>
      </c>
      <c r="F37" s="492">
        <v>2451</v>
      </c>
      <c r="G37" s="370">
        <v>1186</v>
      </c>
      <c r="H37" s="370">
        <v>796</v>
      </c>
      <c r="I37" s="370">
        <v>595</v>
      </c>
      <c r="J37" s="492">
        <v>702</v>
      </c>
      <c r="K37" s="370">
        <v>20</v>
      </c>
      <c r="L37" s="370">
        <v>68</v>
      </c>
      <c r="M37" s="370">
        <v>86</v>
      </c>
      <c r="N37" s="492">
        <v>91</v>
      </c>
      <c r="O37" s="370">
        <v>1027</v>
      </c>
      <c r="P37" s="370">
        <v>777</v>
      </c>
      <c r="Q37" s="370">
        <v>711</v>
      </c>
      <c r="R37" s="492">
        <v>713</v>
      </c>
      <c r="S37" s="370">
        <v>245</v>
      </c>
      <c r="T37" s="370">
        <v>76</v>
      </c>
      <c r="U37" s="370">
        <v>8</v>
      </c>
      <c r="V37" s="492">
        <v>45</v>
      </c>
      <c r="W37" s="370">
        <v>346</v>
      </c>
      <c r="X37" s="370">
        <v>475</v>
      </c>
      <c r="Y37" s="370">
        <v>5</v>
      </c>
      <c r="Z37" s="492">
        <v>4</v>
      </c>
      <c r="AA37" s="369">
        <f t="shared" si="12"/>
        <v>5680</v>
      </c>
      <c r="AB37" s="370">
        <f t="shared" si="12"/>
        <v>4874</v>
      </c>
      <c r="AC37" s="370">
        <f t="shared" si="12"/>
        <v>4501</v>
      </c>
      <c r="AD37" s="492">
        <f>+Z37+V37+R37+N37+J37+F37</f>
        <v>4006</v>
      </c>
    </row>
    <row r="38" spans="1:30" s="6" customFormat="1" ht="22.5" customHeight="1">
      <c r="A38" s="491" t="s">
        <v>967</v>
      </c>
      <c r="B38" s="251" t="s">
        <v>842</v>
      </c>
      <c r="C38" s="369">
        <v>6109</v>
      </c>
      <c r="D38" s="370">
        <v>5706</v>
      </c>
      <c r="E38" s="370">
        <v>6558</v>
      </c>
      <c r="F38" s="492">
        <v>6057</v>
      </c>
      <c r="G38" s="370">
        <v>2621</v>
      </c>
      <c r="H38" s="370">
        <v>2095</v>
      </c>
      <c r="I38" s="370">
        <v>2730</v>
      </c>
      <c r="J38" s="492">
        <v>2962</v>
      </c>
      <c r="K38" s="370">
        <v>408</v>
      </c>
      <c r="L38" s="370">
        <v>134</v>
      </c>
      <c r="M38" s="370">
        <v>201</v>
      </c>
      <c r="N38" s="492">
        <v>295</v>
      </c>
      <c r="O38" s="370">
        <v>1663</v>
      </c>
      <c r="P38" s="370">
        <v>1821</v>
      </c>
      <c r="Q38" s="370">
        <v>2510</v>
      </c>
      <c r="R38" s="492">
        <v>2118</v>
      </c>
      <c r="S38" s="370">
        <v>133</v>
      </c>
      <c r="T38" s="370">
        <v>131</v>
      </c>
      <c r="U38" s="370">
        <v>83</v>
      </c>
      <c r="V38" s="492">
        <v>72</v>
      </c>
      <c r="W38" s="370">
        <v>1791</v>
      </c>
      <c r="X38" s="370">
        <v>1710</v>
      </c>
      <c r="Y38" s="370">
        <v>1179</v>
      </c>
      <c r="Z38" s="492">
        <v>101</v>
      </c>
      <c r="AA38" s="369">
        <f t="shared" si="12"/>
        <v>12725</v>
      </c>
      <c r="AB38" s="370">
        <f t="shared" si="12"/>
        <v>11597</v>
      </c>
      <c r="AC38" s="370">
        <f t="shared" si="12"/>
        <v>13261</v>
      </c>
      <c r="AD38" s="492">
        <f>+Z38+V38+R38+N38+J38+F38</f>
        <v>11605</v>
      </c>
    </row>
    <row r="39" spans="1:30" s="6" customFormat="1" ht="22.5" customHeight="1">
      <c r="A39" s="491"/>
      <c r="B39" s="251" t="s">
        <v>1001</v>
      </c>
      <c r="C39" s="369"/>
      <c r="D39" s="370"/>
      <c r="E39" s="370"/>
      <c r="F39" s="492"/>
      <c r="G39" s="370"/>
      <c r="H39" s="370"/>
      <c r="I39" s="370"/>
      <c r="J39" s="492"/>
      <c r="K39" s="370"/>
      <c r="L39" s="370"/>
      <c r="M39" s="370"/>
      <c r="N39" s="492"/>
      <c r="O39" s="370"/>
      <c r="P39" s="370"/>
      <c r="Q39" s="370"/>
      <c r="R39" s="492"/>
      <c r="S39" s="370"/>
      <c r="T39" s="370"/>
      <c r="U39" s="370">
        <v>4</v>
      </c>
      <c r="V39" s="492">
        <v>3</v>
      </c>
      <c r="W39" s="370"/>
      <c r="X39" s="370"/>
      <c r="Y39" s="370"/>
      <c r="Z39" s="492"/>
      <c r="AA39" s="369"/>
      <c r="AB39" s="370"/>
      <c r="AC39" s="370">
        <f t="shared" si="12"/>
        <v>4</v>
      </c>
      <c r="AD39" s="492">
        <f>+Z39+V39+R39+N39+J39+F39</f>
        <v>3</v>
      </c>
    </row>
    <row r="40" spans="1:30" s="6" customFormat="1" ht="22.5" customHeight="1">
      <c r="A40" s="491" t="s">
        <v>549</v>
      </c>
      <c r="B40" s="251" t="s">
        <v>843</v>
      </c>
      <c r="C40" s="369">
        <v>4231</v>
      </c>
      <c r="D40" s="370">
        <v>3210</v>
      </c>
      <c r="E40" s="370">
        <v>3428</v>
      </c>
      <c r="F40" s="492">
        <v>3758</v>
      </c>
      <c r="G40" s="370">
        <v>1834</v>
      </c>
      <c r="H40" s="370">
        <v>1644</v>
      </c>
      <c r="I40" s="370">
        <v>1733</v>
      </c>
      <c r="J40" s="492">
        <v>1701</v>
      </c>
      <c r="K40" s="370">
        <v>129</v>
      </c>
      <c r="L40" s="370">
        <v>136</v>
      </c>
      <c r="M40" s="370">
        <v>22</v>
      </c>
      <c r="N40" s="492">
        <v>143</v>
      </c>
      <c r="O40" s="370">
        <v>791</v>
      </c>
      <c r="P40" s="370">
        <v>690</v>
      </c>
      <c r="Q40" s="370">
        <v>838</v>
      </c>
      <c r="R40" s="492">
        <v>645</v>
      </c>
      <c r="S40" s="370">
        <v>36</v>
      </c>
      <c r="T40" s="370">
        <v>62</v>
      </c>
      <c r="U40" s="370">
        <v>35</v>
      </c>
      <c r="V40" s="492">
        <v>38</v>
      </c>
      <c r="W40" s="370">
        <v>545</v>
      </c>
      <c r="X40" s="370">
        <v>451</v>
      </c>
      <c r="Y40" s="370"/>
      <c r="Z40" s="492"/>
      <c r="AA40" s="369">
        <f t="shared" ref="AA40:AC41" si="19">+W40+S40+O40+K40+G40+C40</f>
        <v>7566</v>
      </c>
      <c r="AB40" s="370">
        <f t="shared" si="19"/>
        <v>6193</v>
      </c>
      <c r="AC40" s="370">
        <f t="shared" si="19"/>
        <v>6056</v>
      </c>
      <c r="AD40" s="492">
        <f>+Z40+V40+R40+N40+J40+F40</f>
        <v>6285</v>
      </c>
    </row>
    <row r="41" spans="1:30" s="6" customFormat="1" ht="22.5" customHeight="1">
      <c r="A41" s="491"/>
      <c r="B41" s="251" t="s">
        <v>1270</v>
      </c>
      <c r="C41" s="369">
        <v>698</v>
      </c>
      <c r="D41" s="370">
        <v>720</v>
      </c>
      <c r="E41" s="370">
        <v>287</v>
      </c>
      <c r="F41" s="492">
        <v>374</v>
      </c>
      <c r="G41" s="370">
        <v>229</v>
      </c>
      <c r="H41" s="370">
        <v>231</v>
      </c>
      <c r="I41" s="370">
        <v>275</v>
      </c>
      <c r="J41" s="492">
        <v>273</v>
      </c>
      <c r="K41" s="370"/>
      <c r="L41" s="370"/>
      <c r="M41" s="370">
        <v>7</v>
      </c>
      <c r="N41" s="492">
        <v>3</v>
      </c>
      <c r="O41" s="370">
        <v>75</v>
      </c>
      <c r="P41" s="370">
        <v>81</v>
      </c>
      <c r="Q41" s="370">
        <v>120</v>
      </c>
      <c r="R41" s="492">
        <v>119</v>
      </c>
      <c r="S41" s="370"/>
      <c r="T41" s="370"/>
      <c r="U41" s="370"/>
      <c r="V41" s="492"/>
      <c r="W41" s="370">
        <v>83</v>
      </c>
      <c r="X41" s="370">
        <v>69</v>
      </c>
      <c r="Y41" s="370"/>
      <c r="Z41" s="492"/>
      <c r="AA41" s="370">
        <f t="shared" si="19"/>
        <v>1085</v>
      </c>
      <c r="AB41" s="370">
        <f t="shared" si="19"/>
        <v>1101</v>
      </c>
      <c r="AC41" s="370">
        <f t="shared" si="19"/>
        <v>689</v>
      </c>
      <c r="AD41" s="492">
        <f>+Z41+V41+R41+N41+J41+F41</f>
        <v>769</v>
      </c>
    </row>
    <row r="42" spans="1:30" s="6" customFormat="1" ht="22.5" customHeight="1">
      <c r="A42" s="491"/>
      <c r="B42" s="491" t="s">
        <v>644</v>
      </c>
      <c r="C42" s="369">
        <v>4929</v>
      </c>
      <c r="D42" s="370">
        <v>3930</v>
      </c>
      <c r="E42" s="370">
        <v>3715</v>
      </c>
      <c r="F42" s="492">
        <f>SUM(F40:F41)</f>
        <v>4132</v>
      </c>
      <c r="G42" s="370">
        <v>2063</v>
      </c>
      <c r="H42" s="370">
        <v>1875</v>
      </c>
      <c r="I42" s="370">
        <v>2008</v>
      </c>
      <c r="J42" s="492">
        <f>SUM(J40:J41)</f>
        <v>1974</v>
      </c>
      <c r="K42" s="370">
        <v>129</v>
      </c>
      <c r="L42" s="370">
        <v>136</v>
      </c>
      <c r="M42" s="370">
        <f>SUM(M40:M41)</f>
        <v>29</v>
      </c>
      <c r="N42" s="492">
        <f>SUM(N40:N41)</f>
        <v>146</v>
      </c>
      <c r="O42" s="370">
        <v>866</v>
      </c>
      <c r="P42" s="370">
        <v>771</v>
      </c>
      <c r="Q42" s="370">
        <f>SUM(Q40:Q41)</f>
        <v>958</v>
      </c>
      <c r="R42" s="492">
        <f>SUM(R40:R41)</f>
        <v>764</v>
      </c>
      <c r="S42" s="370">
        <v>36</v>
      </c>
      <c r="T42" s="370">
        <v>62</v>
      </c>
      <c r="U42" s="370">
        <f>SUM(U40:U41)</f>
        <v>35</v>
      </c>
      <c r="V42" s="492">
        <f>SUM(V40:V41)</f>
        <v>38</v>
      </c>
      <c r="W42" s="370">
        <v>628</v>
      </c>
      <c r="X42" s="370">
        <v>520</v>
      </c>
      <c r="Y42" s="370">
        <f t="shared" ref="Y42:AD42" si="20">SUM(Y40:Y41)</f>
        <v>0</v>
      </c>
      <c r="Z42" s="492">
        <f t="shared" si="20"/>
        <v>0</v>
      </c>
      <c r="AA42" s="370">
        <f t="shared" si="20"/>
        <v>8651</v>
      </c>
      <c r="AB42" s="370">
        <f t="shared" si="20"/>
        <v>7294</v>
      </c>
      <c r="AC42" s="370">
        <f t="shared" si="20"/>
        <v>6745</v>
      </c>
      <c r="AD42" s="492">
        <f t="shared" si="20"/>
        <v>7054</v>
      </c>
    </row>
    <row r="43" spans="1:30" s="6" customFormat="1" ht="22.5" customHeight="1">
      <c r="A43" s="501" t="s">
        <v>968</v>
      </c>
      <c r="B43" s="497"/>
      <c r="C43" s="498">
        <f t="shared" ref="C43:AC43" si="21">SUM(C36:C41)+C27+C32</f>
        <v>40105</v>
      </c>
      <c r="D43" s="499">
        <f t="shared" si="21"/>
        <v>36428</v>
      </c>
      <c r="E43" s="499">
        <f t="shared" si="21"/>
        <v>37995</v>
      </c>
      <c r="F43" s="500">
        <f>+F27+F32+F36+F37+F38+F42+F39</f>
        <v>37220</v>
      </c>
      <c r="G43" s="498">
        <f t="shared" si="21"/>
        <v>16466</v>
      </c>
      <c r="H43" s="499">
        <f t="shared" si="21"/>
        <v>15492</v>
      </c>
      <c r="I43" s="499">
        <f t="shared" si="21"/>
        <v>17519</v>
      </c>
      <c r="J43" s="500">
        <f>+J27+J32+J36+J37+J38+J42+J39</f>
        <v>18705</v>
      </c>
      <c r="K43" s="498">
        <f t="shared" si="21"/>
        <v>1863</v>
      </c>
      <c r="L43" s="499">
        <f t="shared" si="21"/>
        <v>1140</v>
      </c>
      <c r="M43" s="499">
        <f t="shared" si="21"/>
        <v>1229</v>
      </c>
      <c r="N43" s="500">
        <f>+N27+N32+N36+N37+N38+N42+N39</f>
        <v>1604</v>
      </c>
      <c r="O43" s="498">
        <f t="shared" si="21"/>
        <v>11532</v>
      </c>
      <c r="P43" s="499">
        <f t="shared" si="21"/>
        <v>11605</v>
      </c>
      <c r="Q43" s="499">
        <f t="shared" si="21"/>
        <v>13135</v>
      </c>
      <c r="R43" s="500">
        <f>+R27+R32+R36+R37+R38+R42+R39</f>
        <v>12145</v>
      </c>
      <c r="S43" s="498">
        <f t="shared" si="21"/>
        <v>911</v>
      </c>
      <c r="T43" s="499">
        <f t="shared" si="21"/>
        <v>713</v>
      </c>
      <c r="U43" s="499">
        <f t="shared" si="21"/>
        <v>664</v>
      </c>
      <c r="V43" s="500">
        <f>+V27+V32+V36+V37+V38+V42+V39</f>
        <v>734</v>
      </c>
      <c r="W43" s="498">
        <f t="shared" si="21"/>
        <v>7985</v>
      </c>
      <c r="X43" s="499">
        <f t="shared" si="21"/>
        <v>8642</v>
      </c>
      <c r="Y43" s="499">
        <f t="shared" si="21"/>
        <v>1213</v>
      </c>
      <c r="Z43" s="500">
        <f>+Z27+Z32+Z36+Z37+Z38+Z42+Z39</f>
        <v>122</v>
      </c>
      <c r="AA43" s="498">
        <f t="shared" si="21"/>
        <v>78862</v>
      </c>
      <c r="AB43" s="499">
        <f t="shared" si="21"/>
        <v>74020</v>
      </c>
      <c r="AC43" s="499">
        <f t="shared" si="21"/>
        <v>71755</v>
      </c>
      <c r="AD43" s="500">
        <f>+AD27+AD32+AD36+AD37+AD38+AD42+AD39</f>
        <v>70530</v>
      </c>
    </row>
    <row r="44" spans="1:30" s="6" customFormat="1" ht="22.5" customHeight="1">
      <c r="A44" s="1405" t="s">
        <v>656</v>
      </c>
      <c r="B44" s="1406"/>
      <c r="C44" s="502">
        <f t="shared" ref="C44:AC44" si="22">+C22+C43</f>
        <v>63930</v>
      </c>
      <c r="D44" s="503">
        <f t="shared" si="22"/>
        <v>55469</v>
      </c>
      <c r="E44" s="503">
        <f t="shared" si="22"/>
        <v>57269</v>
      </c>
      <c r="F44" s="504">
        <f t="shared" si="22"/>
        <v>55023</v>
      </c>
      <c r="G44" s="503">
        <f t="shared" si="22"/>
        <v>26822</v>
      </c>
      <c r="H44" s="503">
        <f t="shared" si="22"/>
        <v>25773</v>
      </c>
      <c r="I44" s="503">
        <f t="shared" si="22"/>
        <v>28634</v>
      </c>
      <c r="J44" s="504">
        <f t="shared" si="22"/>
        <v>31321</v>
      </c>
      <c r="K44" s="502">
        <f t="shared" si="22"/>
        <v>2796</v>
      </c>
      <c r="L44" s="503">
        <f t="shared" si="22"/>
        <v>1978</v>
      </c>
      <c r="M44" s="503">
        <f t="shared" si="22"/>
        <v>2260</v>
      </c>
      <c r="N44" s="504">
        <f t="shared" si="22"/>
        <v>2762</v>
      </c>
      <c r="O44" s="503">
        <f t="shared" si="22"/>
        <v>18777</v>
      </c>
      <c r="P44" s="503">
        <f t="shared" si="22"/>
        <v>17082</v>
      </c>
      <c r="Q44" s="503">
        <f t="shared" si="22"/>
        <v>19162</v>
      </c>
      <c r="R44" s="504">
        <f t="shared" si="22"/>
        <v>18962</v>
      </c>
      <c r="S44" s="502">
        <f t="shared" si="22"/>
        <v>1127</v>
      </c>
      <c r="T44" s="503">
        <f t="shared" si="22"/>
        <v>954</v>
      </c>
      <c r="U44" s="503">
        <f t="shared" si="22"/>
        <v>1523</v>
      </c>
      <c r="V44" s="504">
        <f t="shared" si="22"/>
        <v>1396</v>
      </c>
      <c r="W44" s="503">
        <f t="shared" si="22"/>
        <v>12657</v>
      </c>
      <c r="X44" s="503">
        <f t="shared" si="22"/>
        <v>13499</v>
      </c>
      <c r="Y44" s="503">
        <f t="shared" si="22"/>
        <v>2016</v>
      </c>
      <c r="Z44" s="504">
        <f t="shared" si="22"/>
        <v>139</v>
      </c>
      <c r="AA44" s="502">
        <f>+AA22+AA43</f>
        <v>126109</v>
      </c>
      <c r="AB44" s="503">
        <f>+AB22+AB43</f>
        <v>114755</v>
      </c>
      <c r="AC44" s="503">
        <f t="shared" si="22"/>
        <v>110864</v>
      </c>
      <c r="AD44" s="504">
        <f>+AD22+AD43</f>
        <v>109603</v>
      </c>
    </row>
    <row r="45" spans="1:30">
      <c r="J45" s="118"/>
      <c r="M45" s="153"/>
      <c r="N45" s="118"/>
      <c r="R45" s="118"/>
      <c r="V45" s="118"/>
      <c r="Z45" s="118"/>
    </row>
    <row r="46" spans="1:30">
      <c r="F46" s="512"/>
      <c r="G46" s="512"/>
      <c r="H46" s="512"/>
      <c r="I46" s="512"/>
      <c r="J46" s="512"/>
      <c r="K46" s="512"/>
      <c r="L46" s="512"/>
      <c r="M46" s="512"/>
      <c r="N46" s="512"/>
      <c r="O46" s="512"/>
      <c r="P46" s="512"/>
      <c r="Q46" s="512"/>
      <c r="R46" s="512"/>
      <c r="S46" s="512"/>
      <c r="T46" s="512"/>
      <c r="U46" s="512"/>
      <c r="V46" s="512"/>
      <c r="W46" s="512"/>
      <c r="X46" s="512"/>
      <c r="Y46" s="512"/>
      <c r="Z46" s="512"/>
      <c r="AA46" s="512"/>
      <c r="AB46" s="512"/>
      <c r="AC46" s="512"/>
      <c r="AD46" s="512"/>
    </row>
    <row r="47" spans="1:30">
      <c r="F47" s="512"/>
      <c r="G47" s="512"/>
      <c r="H47" s="512"/>
      <c r="I47" s="512"/>
      <c r="J47" s="512"/>
      <c r="K47" s="512"/>
      <c r="L47" s="512"/>
      <c r="M47" s="512"/>
      <c r="N47" s="512"/>
      <c r="O47" s="512"/>
      <c r="P47" s="512"/>
      <c r="Q47" s="512"/>
      <c r="R47" s="512"/>
      <c r="S47" s="512"/>
      <c r="T47" s="512"/>
      <c r="U47" s="512"/>
      <c r="V47" s="512"/>
      <c r="W47" s="512"/>
      <c r="X47" s="512"/>
      <c r="Y47" s="512"/>
      <c r="Z47" s="512"/>
      <c r="AA47" s="512"/>
      <c r="AB47" s="512"/>
      <c r="AC47" s="512"/>
      <c r="AD47" s="512"/>
    </row>
    <row r="48" spans="1:30">
      <c r="F48" s="512"/>
      <c r="G48" s="512"/>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row>
    <row r="49" spans="6:30">
      <c r="F49" s="512"/>
      <c r="G49" s="509"/>
      <c r="H49" s="509"/>
      <c r="I49" s="509"/>
      <c r="J49" s="512"/>
      <c r="K49" s="509"/>
      <c r="L49" s="509"/>
      <c r="M49" s="509"/>
      <c r="N49" s="512"/>
      <c r="O49" s="509"/>
      <c r="P49" s="509"/>
      <c r="Q49" s="509"/>
      <c r="R49" s="512"/>
      <c r="S49" s="509"/>
      <c r="T49" s="509"/>
      <c r="U49" s="509"/>
      <c r="V49" s="512"/>
      <c r="W49" s="509"/>
      <c r="X49" s="509"/>
      <c r="Y49" s="509"/>
      <c r="Z49" s="512"/>
      <c r="AA49" s="509"/>
      <c r="AB49" s="509"/>
      <c r="AC49" s="509"/>
      <c r="AD49" s="512"/>
    </row>
    <row r="50" spans="6:30">
      <c r="M50" s="153"/>
    </row>
    <row r="51" spans="6:30">
      <c r="J51" s="118"/>
      <c r="M51" s="153"/>
      <c r="V51" s="118"/>
    </row>
    <row r="52" spans="6:30">
      <c r="M52" s="153"/>
      <c r="Z52" s="521"/>
    </row>
    <row r="53" spans="6:30">
      <c r="J53" s="521"/>
    </row>
  </sheetData>
  <mergeCells count="12">
    <mergeCell ref="A1:AD1"/>
    <mergeCell ref="A2:AD2"/>
    <mergeCell ref="A3:AD3"/>
    <mergeCell ref="A4:AD4"/>
    <mergeCell ref="A44:B44"/>
    <mergeCell ref="S7:V7"/>
    <mergeCell ref="W7:Z7"/>
    <mergeCell ref="AA7:AD7"/>
    <mergeCell ref="C7:F7"/>
    <mergeCell ref="G7:J7"/>
    <mergeCell ref="K7:N7"/>
    <mergeCell ref="O7:R7"/>
  </mergeCells>
  <phoneticPr fontId="19" type="noConversion"/>
  <pageMargins left="0.39370078740157483" right="0" top="0.98425196850393704" bottom="0.98425196850393704" header="0" footer="0"/>
  <pageSetup paperSize="5" scale="69" orientation="landscape"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3"/>
  <sheetViews>
    <sheetView topLeftCell="J42" workbookViewId="0">
      <selection activeCell="F19" sqref="F19"/>
    </sheetView>
  </sheetViews>
  <sheetFormatPr baseColWidth="10" defaultColWidth="11.42578125" defaultRowHeight="12"/>
  <cols>
    <col min="1" max="1" width="12.42578125" style="398" customWidth="1"/>
    <col min="2" max="2" width="19.85546875" style="398" customWidth="1"/>
    <col min="3" max="62" width="7.140625" style="398" customWidth="1"/>
    <col min="63" max="16384" width="11.42578125" style="398"/>
  </cols>
  <sheetData>
    <row r="1" spans="1:30">
      <c r="A1" s="1393" t="s">
        <v>954</v>
      </c>
      <c r="B1" s="1393"/>
      <c r="C1" s="1393"/>
      <c r="D1" s="1393"/>
      <c r="E1" s="1393"/>
      <c r="F1" s="1393"/>
      <c r="G1" s="1393"/>
      <c r="H1" s="1393"/>
      <c r="I1" s="1393"/>
      <c r="J1" s="1393"/>
      <c r="K1" s="1393"/>
      <c r="L1" s="1393"/>
      <c r="M1" s="1393"/>
      <c r="N1" s="1393"/>
      <c r="O1" s="1393"/>
      <c r="P1" s="1393"/>
      <c r="Q1" s="1393"/>
      <c r="R1" s="1393"/>
      <c r="S1" s="1393"/>
      <c r="T1" s="1393"/>
      <c r="U1" s="1393"/>
      <c r="V1" s="1393"/>
      <c r="W1" s="1393"/>
      <c r="X1" s="1393"/>
      <c r="Y1" s="1393"/>
      <c r="Z1" s="1393"/>
      <c r="AA1" s="1393"/>
      <c r="AB1" s="1393"/>
      <c r="AC1" s="1393"/>
      <c r="AD1" s="1393"/>
    </row>
    <row r="2" spans="1:30">
      <c r="A2" s="1393" t="s">
        <v>969</v>
      </c>
      <c r="B2" s="1393"/>
      <c r="C2" s="1393"/>
      <c r="D2" s="1393"/>
      <c r="E2" s="1393"/>
      <c r="F2" s="1393"/>
      <c r="G2" s="1393"/>
      <c r="H2" s="1393"/>
      <c r="I2" s="1393"/>
      <c r="J2" s="1393"/>
      <c r="K2" s="1393"/>
      <c r="L2" s="1393"/>
      <c r="M2" s="1393"/>
      <c r="N2" s="1393"/>
      <c r="O2" s="1393"/>
      <c r="P2" s="1393"/>
      <c r="Q2" s="1393"/>
      <c r="R2" s="1393"/>
      <c r="S2" s="1393"/>
      <c r="T2" s="1393"/>
      <c r="U2" s="1393"/>
      <c r="V2" s="1393"/>
      <c r="W2" s="1393"/>
      <c r="X2" s="1393"/>
      <c r="Y2" s="1393"/>
      <c r="Z2" s="1393"/>
      <c r="AA2" s="1393"/>
      <c r="AB2" s="1393"/>
      <c r="AC2" s="1393"/>
      <c r="AD2" s="1393"/>
    </row>
    <row r="3" spans="1:30">
      <c r="A3" s="1393" t="s">
        <v>910</v>
      </c>
      <c r="B3" s="1393"/>
      <c r="C3" s="1393"/>
      <c r="D3" s="1393"/>
      <c r="E3" s="1393"/>
      <c r="F3" s="1393"/>
      <c r="G3" s="1393"/>
      <c r="H3" s="1393"/>
      <c r="I3" s="1393"/>
      <c r="J3" s="1393"/>
      <c r="K3" s="1393"/>
      <c r="L3" s="1393"/>
      <c r="M3" s="1393"/>
      <c r="N3" s="1393"/>
      <c r="O3" s="1393"/>
      <c r="P3" s="1393"/>
      <c r="Q3" s="1393"/>
      <c r="R3" s="1393"/>
      <c r="S3" s="1393"/>
      <c r="T3" s="1393"/>
      <c r="U3" s="1393"/>
      <c r="V3" s="1393"/>
      <c r="W3" s="1393"/>
      <c r="X3" s="1393"/>
      <c r="Y3" s="1393"/>
      <c r="Z3" s="1393"/>
      <c r="AA3" s="1393"/>
      <c r="AB3" s="1393"/>
      <c r="AC3" s="1393"/>
      <c r="AD3" s="1393"/>
    </row>
    <row r="4" spans="1:30">
      <c r="A4" s="1393" t="str">
        <f>+'41'!A4:AD4</f>
        <v>2012 - 2015</v>
      </c>
      <c r="B4" s="1393"/>
      <c r="C4" s="1393"/>
      <c r="D4" s="1393"/>
      <c r="E4" s="1393"/>
      <c r="F4" s="1393"/>
      <c r="G4" s="1393"/>
      <c r="H4" s="1393"/>
      <c r="I4" s="1393"/>
      <c r="J4" s="1393"/>
      <c r="K4" s="1393"/>
      <c r="L4" s="1393"/>
      <c r="M4" s="1393"/>
      <c r="N4" s="1393"/>
      <c r="O4" s="1393"/>
      <c r="P4" s="1393"/>
      <c r="Q4" s="1393"/>
      <c r="R4" s="1393"/>
      <c r="S4" s="1393"/>
      <c r="T4" s="1393"/>
      <c r="U4" s="1393"/>
      <c r="V4" s="1393"/>
      <c r="W4" s="1393"/>
      <c r="X4" s="1393"/>
      <c r="Y4" s="1393"/>
      <c r="Z4" s="1393"/>
      <c r="AA4" s="1393"/>
      <c r="AB4" s="1393"/>
      <c r="AC4" s="1393"/>
      <c r="AD4" s="1393"/>
    </row>
    <row r="7" spans="1:30" s="507" customFormat="1" ht="22.5" customHeight="1">
      <c r="A7" s="505" t="s">
        <v>554</v>
      </c>
      <c r="B7" s="506" t="s">
        <v>866</v>
      </c>
      <c r="C7" s="1384" t="s">
        <v>956</v>
      </c>
      <c r="D7" s="1385"/>
      <c r="E7" s="1385"/>
      <c r="F7" s="1386"/>
      <c r="G7" s="1384" t="s">
        <v>957</v>
      </c>
      <c r="H7" s="1385"/>
      <c r="I7" s="1385"/>
      <c r="J7" s="1386"/>
      <c r="K7" s="1384" t="s">
        <v>958</v>
      </c>
      <c r="L7" s="1385"/>
      <c r="M7" s="1385"/>
      <c r="N7" s="1385"/>
      <c r="O7" s="1384" t="s">
        <v>959</v>
      </c>
      <c r="P7" s="1385"/>
      <c r="Q7" s="1385"/>
      <c r="R7" s="1386"/>
      <c r="S7" s="1385" t="s">
        <v>960</v>
      </c>
      <c r="T7" s="1385"/>
      <c r="U7" s="1385"/>
      <c r="V7" s="1386"/>
      <c r="W7" s="1384" t="s">
        <v>961</v>
      </c>
      <c r="X7" s="1385"/>
      <c r="Y7" s="1385"/>
      <c r="Z7" s="1386"/>
      <c r="AA7" s="1384" t="s">
        <v>656</v>
      </c>
      <c r="AB7" s="1385"/>
      <c r="AC7" s="1385"/>
      <c r="AD7" s="1386"/>
    </row>
    <row r="8" spans="1:30" s="507" customFormat="1" ht="22.5" customHeight="1">
      <c r="A8" s="487"/>
      <c r="B8" s="487"/>
      <c r="C8" s="488">
        <f>+'41'!C8</f>
        <v>2012</v>
      </c>
      <c r="D8" s="489">
        <f>+'41'!D8</f>
        <v>2013</v>
      </c>
      <c r="E8" s="489">
        <f>+'41'!E8</f>
        <v>2014</v>
      </c>
      <c r="F8" s="490">
        <f>+'41'!F8</f>
        <v>2015</v>
      </c>
      <c r="G8" s="488">
        <f>+'41'!G8</f>
        <v>2012</v>
      </c>
      <c r="H8" s="489">
        <f>+'41'!H8</f>
        <v>2013</v>
      </c>
      <c r="I8" s="489">
        <f>+'41'!I8</f>
        <v>2014</v>
      </c>
      <c r="J8" s="490">
        <f>+'41'!J8</f>
        <v>2015</v>
      </c>
      <c r="K8" s="489">
        <f>+'41'!K8</f>
        <v>2012</v>
      </c>
      <c r="L8" s="489">
        <f>+'41'!L8</f>
        <v>2013</v>
      </c>
      <c r="M8" s="489">
        <f>+'41'!M8</f>
        <v>2014</v>
      </c>
      <c r="N8" s="489">
        <f>+'41'!N8</f>
        <v>2015</v>
      </c>
      <c r="O8" s="488">
        <f>+'41'!O8</f>
        <v>2012</v>
      </c>
      <c r="P8" s="489">
        <f>+'41'!P8</f>
        <v>2013</v>
      </c>
      <c r="Q8" s="489">
        <f>+'41'!Q8</f>
        <v>2014</v>
      </c>
      <c r="R8" s="490">
        <f>+'41'!R8</f>
        <v>2015</v>
      </c>
      <c r="S8" s="489">
        <f>+'41'!S8</f>
        <v>2012</v>
      </c>
      <c r="T8" s="489">
        <f>+'41'!T8</f>
        <v>2013</v>
      </c>
      <c r="U8" s="489">
        <f>+'41'!U8</f>
        <v>2014</v>
      </c>
      <c r="V8" s="490">
        <f>+'41'!V8</f>
        <v>2015</v>
      </c>
      <c r="W8" s="488">
        <f>+'41'!W8</f>
        <v>2012</v>
      </c>
      <c r="X8" s="489">
        <f>+'41'!X8</f>
        <v>2013</v>
      </c>
      <c r="Y8" s="489">
        <f>+'41'!Y8</f>
        <v>2014</v>
      </c>
      <c r="Z8" s="490">
        <f>+'41'!Z8</f>
        <v>2015</v>
      </c>
      <c r="AA8" s="488">
        <f>+'41'!AA8</f>
        <v>2012</v>
      </c>
      <c r="AB8" s="489">
        <f>+'41'!AB8</f>
        <v>2013</v>
      </c>
      <c r="AC8" s="489">
        <f>+'41'!AC8</f>
        <v>2014</v>
      </c>
      <c r="AD8" s="490">
        <f>+'41'!AD8</f>
        <v>2015</v>
      </c>
    </row>
    <row r="9" spans="1:30" s="507" customFormat="1" ht="22.5" customHeight="1">
      <c r="A9" s="505" t="s">
        <v>962</v>
      </c>
      <c r="B9" s="299" t="s">
        <v>1480</v>
      </c>
      <c r="C9" s="369">
        <v>2642</v>
      </c>
      <c r="D9" s="370">
        <v>1849</v>
      </c>
      <c r="E9" s="370">
        <f>45+19+32+1519+117+14+73</f>
        <v>1819</v>
      </c>
      <c r="F9" s="492">
        <v>1778</v>
      </c>
      <c r="G9" s="369">
        <v>0</v>
      </c>
      <c r="H9" s="370">
        <v>91</v>
      </c>
      <c r="I9" s="370">
        <v>265</v>
      </c>
      <c r="J9" s="492">
        <v>322</v>
      </c>
      <c r="K9" s="370">
        <v>116</v>
      </c>
      <c r="L9" s="370">
        <v>100</v>
      </c>
      <c r="M9" s="370">
        <v>63</v>
      </c>
      <c r="N9" s="492">
        <v>55</v>
      </c>
      <c r="O9" s="370">
        <v>366</v>
      </c>
      <c r="P9" s="370">
        <v>328</v>
      </c>
      <c r="Q9" s="370">
        <f>23+292</f>
        <v>315</v>
      </c>
      <c r="R9" s="492">
        <v>258</v>
      </c>
      <c r="S9" s="370">
        <v>95</v>
      </c>
      <c r="T9" s="370">
        <v>92</v>
      </c>
      <c r="U9" s="370">
        <v>78</v>
      </c>
      <c r="V9" s="492">
        <v>108</v>
      </c>
      <c r="W9" s="370">
        <v>1</v>
      </c>
      <c r="X9" s="370"/>
      <c r="Y9" s="370"/>
      <c r="Z9" s="370"/>
      <c r="AA9" s="369">
        <f t="shared" ref="AA9:AD12" si="0">+W9+S9+O9+K9+G9+C9</f>
        <v>3220</v>
      </c>
      <c r="AB9" s="370">
        <f t="shared" si="0"/>
        <v>2460</v>
      </c>
      <c r="AC9" s="370">
        <f t="shared" si="0"/>
        <v>2540</v>
      </c>
      <c r="AD9" s="492">
        <f t="shared" si="0"/>
        <v>2521</v>
      </c>
    </row>
    <row r="10" spans="1:30" s="507" customFormat="1" ht="22.5" customHeight="1">
      <c r="A10" s="491"/>
      <c r="B10" s="299" t="s">
        <v>1481</v>
      </c>
      <c r="C10" s="369">
        <v>3185</v>
      </c>
      <c r="D10" s="370">
        <v>2233</v>
      </c>
      <c r="E10" s="370">
        <v>1697</v>
      </c>
      <c r="F10" s="492">
        <v>1159</v>
      </c>
      <c r="G10" s="369">
        <v>0</v>
      </c>
      <c r="H10" s="370">
        <v>0</v>
      </c>
      <c r="I10" s="370"/>
      <c r="J10" s="492">
        <v>1</v>
      </c>
      <c r="K10" s="370">
        <v>41</v>
      </c>
      <c r="L10" s="370">
        <v>38</v>
      </c>
      <c r="M10" s="370">
        <v>28</v>
      </c>
      <c r="N10" s="492">
        <v>50</v>
      </c>
      <c r="O10" s="370">
        <v>238</v>
      </c>
      <c r="P10" s="370">
        <v>279</v>
      </c>
      <c r="Q10" s="370">
        <v>266</v>
      </c>
      <c r="R10" s="492">
        <v>215</v>
      </c>
      <c r="S10" s="370">
        <v>402</v>
      </c>
      <c r="T10" s="370">
        <v>327</v>
      </c>
      <c r="U10" s="370">
        <v>192</v>
      </c>
      <c r="V10" s="492">
        <v>123</v>
      </c>
      <c r="W10" s="370">
        <v>10</v>
      </c>
      <c r="X10" s="370"/>
      <c r="Y10" s="370"/>
      <c r="Z10" s="370"/>
      <c r="AA10" s="369">
        <f t="shared" si="0"/>
        <v>3876</v>
      </c>
      <c r="AB10" s="370">
        <f t="shared" si="0"/>
        <v>2877</v>
      </c>
      <c r="AC10" s="370">
        <f t="shared" si="0"/>
        <v>2183</v>
      </c>
      <c r="AD10" s="492">
        <f t="shared" si="0"/>
        <v>1548</v>
      </c>
    </row>
    <row r="11" spans="1:30" s="507" customFormat="1" ht="22.5" customHeight="1">
      <c r="A11" s="491"/>
      <c r="B11" s="491" t="s">
        <v>829</v>
      </c>
      <c r="C11" s="369">
        <v>841</v>
      </c>
      <c r="D11" s="370">
        <v>794</v>
      </c>
      <c r="E11" s="370">
        <v>599</v>
      </c>
      <c r="F11" s="492">
        <v>513</v>
      </c>
      <c r="G11" s="369">
        <v>2</v>
      </c>
      <c r="H11" s="370">
        <v>12</v>
      </c>
      <c r="I11" s="370"/>
      <c r="J11" s="492"/>
      <c r="K11" s="370">
        <v>26</v>
      </c>
      <c r="L11" s="370">
        <v>42</v>
      </c>
      <c r="M11" s="370">
        <v>285</v>
      </c>
      <c r="N11" s="492">
        <v>159</v>
      </c>
      <c r="O11" s="370">
        <v>120</v>
      </c>
      <c r="P11" s="370">
        <v>112</v>
      </c>
      <c r="Q11" s="370">
        <v>107</v>
      </c>
      <c r="R11" s="492">
        <v>82</v>
      </c>
      <c r="S11" s="370">
        <v>15</v>
      </c>
      <c r="T11" s="370">
        <v>48</v>
      </c>
      <c r="U11" s="370">
        <v>42</v>
      </c>
      <c r="V11" s="492">
        <v>37</v>
      </c>
      <c r="W11" s="370"/>
      <c r="X11" s="370"/>
      <c r="Y11" s="370"/>
      <c r="Z11" s="370"/>
      <c r="AA11" s="369">
        <f t="shared" si="0"/>
        <v>1004</v>
      </c>
      <c r="AB11" s="370">
        <f t="shared" si="0"/>
        <v>1008</v>
      </c>
      <c r="AC11" s="370">
        <f t="shared" si="0"/>
        <v>1033</v>
      </c>
      <c r="AD11" s="492">
        <f t="shared" si="0"/>
        <v>791</v>
      </c>
    </row>
    <row r="12" spans="1:30" s="507" customFormat="1" ht="22.5" customHeight="1">
      <c r="A12" s="491"/>
      <c r="B12" s="251" t="s">
        <v>1282</v>
      </c>
      <c r="C12" s="369">
        <v>133</v>
      </c>
      <c r="D12" s="370">
        <v>100</v>
      </c>
      <c r="E12" s="370">
        <v>153</v>
      </c>
      <c r="F12" s="492">
        <v>96</v>
      </c>
      <c r="G12" s="369">
        <v>1</v>
      </c>
      <c r="H12" s="370">
        <v>91</v>
      </c>
      <c r="I12" s="370">
        <v>1</v>
      </c>
      <c r="J12" s="492"/>
      <c r="K12" s="370"/>
      <c r="L12" s="370">
        <v>3</v>
      </c>
      <c r="M12" s="370">
        <v>4</v>
      </c>
      <c r="N12" s="492">
        <v>1</v>
      </c>
      <c r="O12" s="370">
        <v>32</v>
      </c>
      <c r="P12" s="370">
        <v>13</v>
      </c>
      <c r="Q12" s="370">
        <v>15</v>
      </c>
      <c r="R12" s="492">
        <v>5</v>
      </c>
      <c r="S12" s="370"/>
      <c r="T12" s="370">
        <v>4</v>
      </c>
      <c r="U12" s="370">
        <v>4</v>
      </c>
      <c r="V12" s="492">
        <v>3</v>
      </c>
      <c r="W12" s="370"/>
      <c r="X12" s="370"/>
      <c r="Y12" s="370"/>
      <c r="Z12" s="370"/>
      <c r="AA12" s="370">
        <f t="shared" si="0"/>
        <v>166</v>
      </c>
      <c r="AB12" s="370">
        <f t="shared" si="0"/>
        <v>211</v>
      </c>
      <c r="AC12" s="370">
        <f t="shared" si="0"/>
        <v>177</v>
      </c>
      <c r="AD12" s="492">
        <f>+Z12+V12+R12+N12+J12+F12</f>
        <v>105</v>
      </c>
    </row>
    <row r="13" spans="1:30" s="507" customFormat="1" ht="22.5" customHeight="1">
      <c r="A13" s="491"/>
      <c r="B13" s="491" t="s">
        <v>644</v>
      </c>
      <c r="C13" s="369">
        <f t="shared" ref="C13" si="1">SUM(C9:C12)</f>
        <v>6801</v>
      </c>
      <c r="D13" s="370">
        <f>SUM(D9:D12)</f>
        <v>4976</v>
      </c>
      <c r="E13" s="370">
        <f>SUM(E9:E12)</f>
        <v>4268</v>
      </c>
      <c r="F13" s="492">
        <f>SUM(F9:F12)</f>
        <v>3546</v>
      </c>
      <c r="G13" s="369">
        <f t="shared" ref="G13:I13" si="2">SUM(G9:G12)</f>
        <v>3</v>
      </c>
      <c r="H13" s="370">
        <f t="shared" si="2"/>
        <v>194</v>
      </c>
      <c r="I13" s="370">
        <f t="shared" si="2"/>
        <v>266</v>
      </c>
      <c r="J13" s="492">
        <f t="shared" ref="J13:M13" si="3">SUM(J9:J12)</f>
        <v>323</v>
      </c>
      <c r="K13" s="370">
        <f t="shared" si="3"/>
        <v>183</v>
      </c>
      <c r="L13" s="370">
        <f t="shared" si="3"/>
        <v>183</v>
      </c>
      <c r="M13" s="370">
        <f t="shared" si="3"/>
        <v>380</v>
      </c>
      <c r="N13" s="492">
        <f t="shared" ref="N13:Q13" si="4">SUM(N9:N12)</f>
        <v>265</v>
      </c>
      <c r="O13" s="370">
        <f t="shared" si="4"/>
        <v>756</v>
      </c>
      <c r="P13" s="370">
        <f t="shared" si="4"/>
        <v>732</v>
      </c>
      <c r="Q13" s="370">
        <f t="shared" si="4"/>
        <v>703</v>
      </c>
      <c r="R13" s="492">
        <f t="shared" ref="R13:U13" si="5">SUM(R9:R12)</f>
        <v>560</v>
      </c>
      <c r="S13" s="370">
        <f t="shared" si="5"/>
        <v>512</v>
      </c>
      <c r="T13" s="370">
        <f t="shared" si="5"/>
        <v>471</v>
      </c>
      <c r="U13" s="370">
        <f t="shared" si="5"/>
        <v>316</v>
      </c>
      <c r="V13" s="492">
        <f t="shared" ref="V13:Y13" si="6">SUM(V9:V12)</f>
        <v>271</v>
      </c>
      <c r="W13" s="370">
        <f t="shared" si="6"/>
        <v>11</v>
      </c>
      <c r="X13" s="370">
        <f t="shared" si="6"/>
        <v>0</v>
      </c>
      <c r="Y13" s="370">
        <f t="shared" si="6"/>
        <v>0</v>
      </c>
      <c r="Z13" s="492">
        <f t="shared" ref="Z13" si="7">SUM(Z9:Z12)</f>
        <v>0</v>
      </c>
      <c r="AA13" s="370">
        <f t="shared" ref="AA13" si="8">SUM(AA9:AA12)</f>
        <v>8266</v>
      </c>
      <c r="AB13" s="370">
        <f t="shared" ref="AB13:AD13" si="9">SUM(AB9:AB12)</f>
        <v>6556</v>
      </c>
      <c r="AC13" s="370">
        <f t="shared" si="9"/>
        <v>5933</v>
      </c>
      <c r="AD13" s="492">
        <f t="shared" si="9"/>
        <v>4965</v>
      </c>
    </row>
    <row r="14" spans="1:30" s="507" customFormat="1" ht="22.5" customHeight="1">
      <c r="A14" s="491" t="s">
        <v>540</v>
      </c>
      <c r="B14" s="491" t="s">
        <v>830</v>
      </c>
      <c r="C14" s="369">
        <v>1764</v>
      </c>
      <c r="D14" s="370">
        <v>1463</v>
      </c>
      <c r="E14" s="370">
        <v>1930</v>
      </c>
      <c r="F14" s="492">
        <v>1532</v>
      </c>
      <c r="G14" s="369">
        <v>12</v>
      </c>
      <c r="H14" s="370">
        <v>95</v>
      </c>
      <c r="I14" s="370">
        <v>93</v>
      </c>
      <c r="J14" s="492">
        <v>112</v>
      </c>
      <c r="K14" s="370">
        <v>56</v>
      </c>
      <c r="L14" s="370">
        <v>181</v>
      </c>
      <c r="M14" s="370">
        <v>121</v>
      </c>
      <c r="N14" s="492">
        <v>124</v>
      </c>
      <c r="O14" s="370">
        <v>110</v>
      </c>
      <c r="P14" s="370">
        <v>107</v>
      </c>
      <c r="Q14" s="370">
        <v>105</v>
      </c>
      <c r="R14" s="492">
        <v>96</v>
      </c>
      <c r="S14" s="370">
        <v>92</v>
      </c>
      <c r="T14" s="370">
        <v>97</v>
      </c>
      <c r="U14" s="370">
        <v>166</v>
      </c>
      <c r="V14" s="492">
        <v>167</v>
      </c>
      <c r="W14" s="370"/>
      <c r="X14" s="370"/>
      <c r="Y14" s="370"/>
      <c r="Z14" s="492"/>
      <c r="AA14" s="369">
        <f>+W14+S14+O14+K14+G14+C14</f>
        <v>2034</v>
      </c>
      <c r="AB14" s="370">
        <f>+X14+T14+P14+L14+H14+D14</f>
        <v>1943</v>
      </c>
      <c r="AC14" s="370">
        <f>+Y14+U14+Q14+M14+I14+E14</f>
        <v>2415</v>
      </c>
      <c r="AD14" s="492">
        <f>+Z14+V14+R14+N14+J14+F14</f>
        <v>2031</v>
      </c>
    </row>
    <row r="15" spans="1:30" s="507" customFormat="1" ht="22.5" customHeight="1">
      <c r="A15" s="491"/>
      <c r="B15" s="251" t="s">
        <v>1287</v>
      </c>
      <c r="C15" s="369">
        <v>841</v>
      </c>
      <c r="D15" s="370">
        <v>239</v>
      </c>
      <c r="E15" s="370">
        <v>207</v>
      </c>
      <c r="F15" s="492">
        <v>198</v>
      </c>
      <c r="G15" s="369">
        <v>2</v>
      </c>
      <c r="H15" s="370">
        <v>27</v>
      </c>
      <c r="I15" s="370">
        <v>12</v>
      </c>
      <c r="J15" s="492">
        <v>43</v>
      </c>
      <c r="K15" s="370">
        <v>26</v>
      </c>
      <c r="L15" s="370">
        <v>45</v>
      </c>
      <c r="M15" s="370">
        <v>11</v>
      </c>
      <c r="N15" s="492">
        <v>15</v>
      </c>
      <c r="O15" s="370">
        <v>120</v>
      </c>
      <c r="P15" s="370">
        <v>37</v>
      </c>
      <c r="Q15" s="370">
        <v>24</v>
      </c>
      <c r="R15" s="492">
        <v>18</v>
      </c>
      <c r="S15" s="370">
        <v>15</v>
      </c>
      <c r="T15" s="370"/>
      <c r="U15" s="370"/>
      <c r="V15" s="492"/>
      <c r="W15" s="370"/>
      <c r="X15" s="370"/>
      <c r="Y15" s="370"/>
      <c r="Z15" s="492"/>
      <c r="AA15" s="370">
        <f t="shared" ref="AA15:AD16" si="10">+W15+S15+O15+K15+G15+C15</f>
        <v>1004</v>
      </c>
      <c r="AB15" s="370">
        <f t="shared" si="10"/>
        <v>348</v>
      </c>
      <c r="AC15" s="370">
        <f t="shared" si="10"/>
        <v>254</v>
      </c>
      <c r="AD15" s="492">
        <f t="shared" si="10"/>
        <v>274</v>
      </c>
    </row>
    <row r="16" spans="1:30" s="507" customFormat="1" ht="22.5" customHeight="1">
      <c r="A16" s="491"/>
      <c r="B16" s="251" t="s">
        <v>1284</v>
      </c>
      <c r="C16" s="369">
        <v>297</v>
      </c>
      <c r="D16" s="370">
        <v>150</v>
      </c>
      <c r="E16" s="370">
        <v>175</v>
      </c>
      <c r="F16" s="492">
        <v>161</v>
      </c>
      <c r="G16" s="369">
        <v>0</v>
      </c>
      <c r="H16" s="370">
        <v>3</v>
      </c>
      <c r="I16" s="370"/>
      <c r="J16" s="492">
        <v>4</v>
      </c>
      <c r="K16" s="370">
        <v>8</v>
      </c>
      <c r="L16" s="370">
        <v>7</v>
      </c>
      <c r="M16" s="370">
        <v>4</v>
      </c>
      <c r="N16" s="492">
        <v>6</v>
      </c>
      <c r="O16" s="370">
        <v>14</v>
      </c>
      <c r="P16" s="370">
        <v>17</v>
      </c>
      <c r="Q16" s="370">
        <v>8</v>
      </c>
      <c r="R16" s="492">
        <v>7</v>
      </c>
      <c r="S16" s="370"/>
      <c r="T16" s="370"/>
      <c r="U16" s="370"/>
      <c r="V16" s="492"/>
      <c r="W16" s="370"/>
      <c r="X16" s="370">
        <v>1</v>
      </c>
      <c r="Y16" s="370"/>
      <c r="Z16" s="492"/>
      <c r="AA16" s="370">
        <f t="shared" si="10"/>
        <v>319</v>
      </c>
      <c r="AB16" s="370">
        <f t="shared" si="10"/>
        <v>178</v>
      </c>
      <c r="AC16" s="370">
        <f t="shared" si="10"/>
        <v>187</v>
      </c>
      <c r="AD16" s="492">
        <f t="shared" si="10"/>
        <v>178</v>
      </c>
    </row>
    <row r="17" spans="1:30" s="507" customFormat="1" ht="22.5" customHeight="1">
      <c r="A17" s="491"/>
      <c r="B17" s="491" t="s">
        <v>644</v>
      </c>
      <c r="C17" s="369">
        <f t="shared" ref="C17" si="11">SUM(C14:C16)</f>
        <v>2902</v>
      </c>
      <c r="D17" s="370">
        <f>SUM(D14:D16)</f>
        <v>1852</v>
      </c>
      <c r="E17" s="370">
        <f>SUM(E14:E16)</f>
        <v>2312</v>
      </c>
      <c r="F17" s="492">
        <f>SUM(F14:F16)</f>
        <v>1891</v>
      </c>
      <c r="G17" s="369">
        <f t="shared" ref="G17:I17" si="12">SUM(G14:G16)</f>
        <v>14</v>
      </c>
      <c r="H17" s="370">
        <f t="shared" si="12"/>
        <v>125</v>
      </c>
      <c r="I17" s="370">
        <f t="shared" si="12"/>
        <v>105</v>
      </c>
      <c r="J17" s="492">
        <f t="shared" ref="J17:M17" si="13">SUM(J14:J16)</f>
        <v>159</v>
      </c>
      <c r="K17" s="370">
        <f t="shared" si="13"/>
        <v>90</v>
      </c>
      <c r="L17" s="370">
        <f t="shared" si="13"/>
        <v>233</v>
      </c>
      <c r="M17" s="370">
        <f t="shared" si="13"/>
        <v>136</v>
      </c>
      <c r="N17" s="492">
        <f t="shared" ref="N17:Q17" si="14">SUM(N14:N16)</f>
        <v>145</v>
      </c>
      <c r="O17" s="370">
        <f t="shared" si="14"/>
        <v>244</v>
      </c>
      <c r="P17" s="370">
        <f t="shared" si="14"/>
        <v>161</v>
      </c>
      <c r="Q17" s="370">
        <f t="shared" si="14"/>
        <v>137</v>
      </c>
      <c r="R17" s="492">
        <f t="shared" ref="R17:U17" si="15">SUM(R14:R16)</f>
        <v>121</v>
      </c>
      <c r="S17" s="370">
        <f t="shared" si="15"/>
        <v>107</v>
      </c>
      <c r="T17" s="370">
        <f t="shared" si="15"/>
        <v>97</v>
      </c>
      <c r="U17" s="370">
        <f t="shared" si="15"/>
        <v>166</v>
      </c>
      <c r="V17" s="492">
        <f t="shared" ref="V17:Y17" si="16">SUM(V14:V16)</f>
        <v>167</v>
      </c>
      <c r="W17" s="370">
        <f t="shared" si="16"/>
        <v>0</v>
      </c>
      <c r="X17" s="370">
        <f t="shared" si="16"/>
        <v>1</v>
      </c>
      <c r="Y17" s="370">
        <f t="shared" si="16"/>
        <v>0</v>
      </c>
      <c r="Z17" s="492">
        <f t="shared" ref="Z17" si="17">SUM(Z14:Z16)</f>
        <v>0</v>
      </c>
      <c r="AA17" s="370">
        <f t="shared" ref="AA17" si="18">SUM(AA14:AA16)</f>
        <v>3357</v>
      </c>
      <c r="AB17" s="370">
        <f t="shared" ref="AB17:AD17" si="19">SUM(AB14:AB16)</f>
        <v>2469</v>
      </c>
      <c r="AC17" s="370">
        <f t="shared" si="19"/>
        <v>2856</v>
      </c>
      <c r="AD17" s="492">
        <f t="shared" si="19"/>
        <v>2483</v>
      </c>
    </row>
    <row r="18" spans="1:30" s="507" customFormat="1" ht="22.5" customHeight="1">
      <c r="A18" s="491" t="s">
        <v>963</v>
      </c>
      <c r="B18" s="491" t="s">
        <v>832</v>
      </c>
      <c r="C18" s="369">
        <v>1314</v>
      </c>
      <c r="D18" s="370">
        <v>1197</v>
      </c>
      <c r="E18" s="370">
        <v>1563</v>
      </c>
      <c r="F18" s="492">
        <v>1117</v>
      </c>
      <c r="G18" s="369">
        <v>0</v>
      </c>
      <c r="H18" s="370">
        <v>31</v>
      </c>
      <c r="I18" s="370">
        <v>112</v>
      </c>
      <c r="J18" s="492">
        <v>80</v>
      </c>
      <c r="K18" s="370">
        <v>53</v>
      </c>
      <c r="L18" s="370">
        <v>46</v>
      </c>
      <c r="M18" s="370">
        <v>58</v>
      </c>
      <c r="N18" s="492">
        <v>101</v>
      </c>
      <c r="O18" s="370">
        <v>172</v>
      </c>
      <c r="P18" s="370">
        <v>100</v>
      </c>
      <c r="Q18" s="370">
        <v>82</v>
      </c>
      <c r="R18" s="492">
        <v>124</v>
      </c>
      <c r="S18" s="370">
        <v>40</v>
      </c>
      <c r="T18" s="370">
        <v>12</v>
      </c>
      <c r="U18" s="370">
        <v>75</v>
      </c>
      <c r="V18" s="492">
        <v>92</v>
      </c>
      <c r="W18" s="370"/>
      <c r="X18" s="370"/>
      <c r="Y18" s="370"/>
      <c r="Z18" s="492"/>
      <c r="AA18" s="369">
        <f t="shared" ref="AA18:AD19" si="20">+W18+S18+O18+K18+G18+C18</f>
        <v>1579</v>
      </c>
      <c r="AB18" s="370">
        <f t="shared" si="20"/>
        <v>1386</v>
      </c>
      <c r="AC18" s="370">
        <f t="shared" si="20"/>
        <v>1890</v>
      </c>
      <c r="AD18" s="492">
        <f t="shared" si="20"/>
        <v>1514</v>
      </c>
    </row>
    <row r="19" spans="1:30" s="507" customFormat="1" ht="22.5" customHeight="1">
      <c r="A19" s="491"/>
      <c r="B19" s="251" t="s">
        <v>1286</v>
      </c>
      <c r="C19" s="369">
        <v>162</v>
      </c>
      <c r="D19" s="370">
        <v>113</v>
      </c>
      <c r="E19" s="370">
        <v>139</v>
      </c>
      <c r="F19" s="492">
        <v>96</v>
      </c>
      <c r="G19" s="369">
        <v>0</v>
      </c>
      <c r="H19" s="370">
        <v>9</v>
      </c>
      <c r="I19" s="370">
        <v>22</v>
      </c>
      <c r="J19" s="492"/>
      <c r="K19" s="370">
        <v>6</v>
      </c>
      <c r="L19" s="370">
        <v>5</v>
      </c>
      <c r="M19" s="370">
        <v>2</v>
      </c>
      <c r="N19" s="492">
        <v>11</v>
      </c>
      <c r="O19" s="370">
        <v>10</v>
      </c>
      <c r="P19" s="370">
        <v>8</v>
      </c>
      <c r="Q19" s="370">
        <v>19</v>
      </c>
      <c r="R19" s="492">
        <v>6</v>
      </c>
      <c r="S19" s="370"/>
      <c r="T19" s="370"/>
      <c r="U19" s="370"/>
      <c r="V19" s="492"/>
      <c r="W19" s="370"/>
      <c r="X19" s="370"/>
      <c r="Y19" s="370"/>
      <c r="Z19" s="492"/>
      <c r="AA19" s="370">
        <f t="shared" si="20"/>
        <v>178</v>
      </c>
      <c r="AB19" s="370">
        <f t="shared" si="20"/>
        <v>135</v>
      </c>
      <c r="AC19" s="370">
        <f t="shared" si="20"/>
        <v>182</v>
      </c>
      <c r="AD19" s="492">
        <f t="shared" si="20"/>
        <v>113</v>
      </c>
    </row>
    <row r="20" spans="1:30" s="507" customFormat="1" ht="22.5" customHeight="1">
      <c r="A20" s="491"/>
      <c r="B20" s="491" t="s">
        <v>644</v>
      </c>
      <c r="C20" s="369">
        <f>SUM(C18:C19)</f>
        <v>1476</v>
      </c>
      <c r="D20" s="370">
        <f>SUM(D18:D19)</f>
        <v>1310</v>
      </c>
      <c r="E20" s="370">
        <f>SUM(E18:E19)</f>
        <v>1702</v>
      </c>
      <c r="F20" s="492">
        <f>SUM(F18:F19)</f>
        <v>1213</v>
      </c>
      <c r="G20" s="369">
        <f t="shared" ref="G20:I20" si="21">SUM(G18:G19)</f>
        <v>0</v>
      </c>
      <c r="H20" s="370">
        <f t="shared" si="21"/>
        <v>40</v>
      </c>
      <c r="I20" s="370">
        <f t="shared" si="21"/>
        <v>134</v>
      </c>
      <c r="J20" s="492">
        <f t="shared" ref="J20:AD20" si="22">SUM(J18:J19)</f>
        <v>80</v>
      </c>
      <c r="K20" s="370">
        <f t="shared" ref="K20:M20" si="23">SUM(K18:K19)</f>
        <v>59</v>
      </c>
      <c r="L20" s="370">
        <f t="shared" si="23"/>
        <v>51</v>
      </c>
      <c r="M20" s="370">
        <f t="shared" si="23"/>
        <v>60</v>
      </c>
      <c r="N20" s="492">
        <f t="shared" si="22"/>
        <v>112</v>
      </c>
      <c r="O20" s="370">
        <f t="shared" ref="O20:Q20" si="24">SUM(O18:O19)</f>
        <v>182</v>
      </c>
      <c r="P20" s="370">
        <f t="shared" si="24"/>
        <v>108</v>
      </c>
      <c r="Q20" s="370">
        <f t="shared" si="24"/>
        <v>101</v>
      </c>
      <c r="R20" s="492">
        <f t="shared" si="22"/>
        <v>130</v>
      </c>
      <c r="S20" s="370">
        <f t="shared" ref="S20:U20" si="25">SUM(S18:S19)</f>
        <v>40</v>
      </c>
      <c r="T20" s="370">
        <f t="shared" si="25"/>
        <v>12</v>
      </c>
      <c r="U20" s="370">
        <f t="shared" si="25"/>
        <v>75</v>
      </c>
      <c r="V20" s="492">
        <f t="shared" si="22"/>
        <v>92</v>
      </c>
      <c r="W20" s="370">
        <f t="shared" ref="W20:Y20" si="26">SUM(W18:W19)</f>
        <v>0</v>
      </c>
      <c r="X20" s="370">
        <f t="shared" si="26"/>
        <v>0</v>
      </c>
      <c r="Y20" s="370">
        <f t="shared" si="26"/>
        <v>0</v>
      </c>
      <c r="Z20" s="492">
        <f t="shared" si="22"/>
        <v>0</v>
      </c>
      <c r="AA20" s="370">
        <f t="shared" si="22"/>
        <v>1757</v>
      </c>
      <c r="AB20" s="370">
        <f t="shared" si="22"/>
        <v>1521</v>
      </c>
      <c r="AC20" s="370">
        <f t="shared" si="22"/>
        <v>2072</v>
      </c>
      <c r="AD20" s="492">
        <f t="shared" si="22"/>
        <v>1627</v>
      </c>
    </row>
    <row r="21" spans="1:30" s="507" customFormat="1" ht="22.5" customHeight="1">
      <c r="A21" s="491" t="s">
        <v>542</v>
      </c>
      <c r="B21" s="491" t="s">
        <v>833</v>
      </c>
      <c r="C21" s="369">
        <v>2045</v>
      </c>
      <c r="D21" s="370">
        <v>2291</v>
      </c>
      <c r="E21" s="370">
        <v>1755</v>
      </c>
      <c r="F21" s="492">
        <v>1908</v>
      </c>
      <c r="G21" s="369">
        <v>39</v>
      </c>
      <c r="H21" s="370"/>
      <c r="I21" s="370">
        <v>9</v>
      </c>
      <c r="J21" s="492">
        <v>12</v>
      </c>
      <c r="K21" s="370">
        <v>16</v>
      </c>
      <c r="L21" s="370">
        <v>65</v>
      </c>
      <c r="M21" s="370">
        <v>85</v>
      </c>
      <c r="N21" s="492">
        <v>107</v>
      </c>
      <c r="O21" s="370">
        <v>223</v>
      </c>
      <c r="P21" s="370">
        <v>195</v>
      </c>
      <c r="Q21" s="370">
        <v>223</v>
      </c>
      <c r="R21" s="492">
        <v>204</v>
      </c>
      <c r="S21" s="370">
        <v>76</v>
      </c>
      <c r="T21" s="370">
        <v>15</v>
      </c>
      <c r="U21" s="370">
        <v>123</v>
      </c>
      <c r="V21" s="492">
        <v>72</v>
      </c>
      <c r="W21" s="370"/>
      <c r="X21" s="370"/>
      <c r="Y21" s="370"/>
      <c r="Z21" s="492"/>
      <c r="AA21" s="369">
        <f>+W21+S21+O21+K21+G21+C21</f>
        <v>2399</v>
      </c>
      <c r="AB21" s="370">
        <f>+X21+T21+P21+L21+H21+D21</f>
        <v>2566</v>
      </c>
      <c r="AC21" s="370">
        <f>+Y21+U21+Q21+M21+I21+E21</f>
        <v>2195</v>
      </c>
      <c r="AD21" s="492">
        <f>+Z21+V21+R21+N21+J21+F21</f>
        <v>2303</v>
      </c>
    </row>
    <row r="22" spans="1:30" s="507" customFormat="1" ht="22.5" customHeight="1">
      <c r="A22" s="501" t="s">
        <v>964</v>
      </c>
      <c r="B22" s="497"/>
      <c r="C22" s="498">
        <f>+C13+C17+C20+C21</f>
        <v>13224</v>
      </c>
      <c r="D22" s="499">
        <f>+D13+D17+D20+D21</f>
        <v>10429</v>
      </c>
      <c r="E22" s="499">
        <f>+E13+E17+E20+E21</f>
        <v>10037</v>
      </c>
      <c r="F22" s="500">
        <f>+F13+F17+F20+F21</f>
        <v>8558</v>
      </c>
      <c r="G22" s="498">
        <f t="shared" ref="G22:I22" si="27">+G13+G17+G20+G21</f>
        <v>56</v>
      </c>
      <c r="H22" s="499">
        <f t="shared" si="27"/>
        <v>359</v>
      </c>
      <c r="I22" s="499">
        <f t="shared" si="27"/>
        <v>514</v>
      </c>
      <c r="J22" s="500">
        <f t="shared" ref="J22:AD22" si="28">+J13+J17+J20+J21</f>
        <v>574</v>
      </c>
      <c r="K22" s="499">
        <f t="shared" ref="K22:M22" si="29">+K13+K17+K20+K21</f>
        <v>348</v>
      </c>
      <c r="L22" s="499">
        <f t="shared" si="29"/>
        <v>532</v>
      </c>
      <c r="M22" s="499">
        <f t="shared" si="29"/>
        <v>661</v>
      </c>
      <c r="N22" s="500">
        <f t="shared" si="28"/>
        <v>629</v>
      </c>
      <c r="O22" s="499">
        <f t="shared" ref="O22:Q22" si="30">+O13+O17+O20+O21</f>
        <v>1405</v>
      </c>
      <c r="P22" s="499">
        <f t="shared" si="30"/>
        <v>1196</v>
      </c>
      <c r="Q22" s="499">
        <f t="shared" si="30"/>
        <v>1164</v>
      </c>
      <c r="R22" s="500">
        <f t="shared" si="28"/>
        <v>1015</v>
      </c>
      <c r="S22" s="499">
        <f t="shared" ref="S22:U22" si="31">+S13+S17+S20+S21</f>
        <v>735</v>
      </c>
      <c r="T22" s="499">
        <f t="shared" si="31"/>
        <v>595</v>
      </c>
      <c r="U22" s="499">
        <f t="shared" si="31"/>
        <v>680</v>
      </c>
      <c r="V22" s="500">
        <f t="shared" si="28"/>
        <v>602</v>
      </c>
      <c r="W22" s="499">
        <f t="shared" ref="W22:Y22" si="32">+W13+W17+W20+W21</f>
        <v>11</v>
      </c>
      <c r="X22" s="499">
        <f t="shared" si="32"/>
        <v>1</v>
      </c>
      <c r="Y22" s="499">
        <f t="shared" si="32"/>
        <v>0</v>
      </c>
      <c r="Z22" s="500">
        <f t="shared" si="28"/>
        <v>0</v>
      </c>
      <c r="AA22" s="499">
        <f t="shared" si="28"/>
        <v>15779</v>
      </c>
      <c r="AB22" s="499">
        <f t="shared" si="28"/>
        <v>13112</v>
      </c>
      <c r="AC22" s="499">
        <f t="shared" si="28"/>
        <v>13056</v>
      </c>
      <c r="AD22" s="500">
        <f t="shared" si="28"/>
        <v>11378</v>
      </c>
    </row>
    <row r="23" spans="1:30" s="507" customFormat="1" ht="22.5" customHeight="1">
      <c r="A23" s="491" t="s">
        <v>965</v>
      </c>
      <c r="B23" s="299" t="s">
        <v>1483</v>
      </c>
      <c r="C23" s="369">
        <v>2617</v>
      </c>
      <c r="D23" s="370">
        <v>2930</v>
      </c>
      <c r="E23" s="370">
        <v>2554</v>
      </c>
      <c r="F23" s="492">
        <v>2432</v>
      </c>
      <c r="G23" s="369">
        <v>0</v>
      </c>
      <c r="H23" s="370">
        <v>72</v>
      </c>
      <c r="I23" s="370">
        <v>104</v>
      </c>
      <c r="J23" s="492">
        <v>45</v>
      </c>
      <c r="K23" s="370">
        <v>64</v>
      </c>
      <c r="L23" s="370">
        <v>139</v>
      </c>
      <c r="M23" s="370">
        <v>192</v>
      </c>
      <c r="N23" s="492">
        <v>255</v>
      </c>
      <c r="O23" s="370">
        <v>522</v>
      </c>
      <c r="P23" s="370">
        <v>358</v>
      </c>
      <c r="Q23" s="370">
        <v>405</v>
      </c>
      <c r="R23" s="492">
        <v>297</v>
      </c>
      <c r="S23" s="370">
        <v>592</v>
      </c>
      <c r="T23" s="370">
        <v>465</v>
      </c>
      <c r="U23" s="370">
        <v>598</v>
      </c>
      <c r="V23" s="492">
        <v>396</v>
      </c>
      <c r="W23" s="370"/>
      <c r="X23" s="370"/>
      <c r="Y23" s="370"/>
      <c r="Z23" s="492"/>
      <c r="AA23" s="369">
        <f t="shared" ref="AA23:AD26" si="33">+W23+S23+O23+K23+G23+C23</f>
        <v>3795</v>
      </c>
      <c r="AB23" s="370">
        <f t="shared" si="33"/>
        <v>3964</v>
      </c>
      <c r="AC23" s="370">
        <f t="shared" si="33"/>
        <v>3853</v>
      </c>
      <c r="AD23" s="492">
        <f t="shared" si="33"/>
        <v>3425</v>
      </c>
    </row>
    <row r="24" spans="1:30" s="507" customFormat="1" ht="22.5" customHeight="1">
      <c r="A24" s="491"/>
      <c r="B24" s="299" t="s">
        <v>1482</v>
      </c>
      <c r="C24" s="369">
        <v>4105</v>
      </c>
      <c r="D24" s="370">
        <v>3655</v>
      </c>
      <c r="E24" s="370">
        <v>3806</v>
      </c>
      <c r="F24" s="492">
        <v>3770</v>
      </c>
      <c r="G24" s="369">
        <v>6</v>
      </c>
      <c r="H24" s="370">
        <v>2</v>
      </c>
      <c r="I24" s="370">
        <v>2</v>
      </c>
      <c r="J24" s="492">
        <v>9</v>
      </c>
      <c r="K24" s="370">
        <v>1745</v>
      </c>
      <c r="L24" s="370">
        <v>2581</v>
      </c>
      <c r="M24" s="370">
        <v>722</v>
      </c>
      <c r="N24" s="492">
        <v>813</v>
      </c>
      <c r="O24" s="370">
        <v>310</v>
      </c>
      <c r="P24" s="370">
        <v>408</v>
      </c>
      <c r="Q24" s="370">
        <v>375</v>
      </c>
      <c r="R24" s="492">
        <v>320</v>
      </c>
      <c r="S24" s="370">
        <v>279</v>
      </c>
      <c r="T24" s="370">
        <v>386</v>
      </c>
      <c r="U24" s="370">
        <v>336</v>
      </c>
      <c r="V24" s="492">
        <v>359</v>
      </c>
      <c r="W24" s="370">
        <v>1</v>
      </c>
      <c r="X24" s="370">
        <v>1</v>
      </c>
      <c r="Y24" s="370"/>
      <c r="Z24" s="492"/>
      <c r="AA24" s="369">
        <f t="shared" si="33"/>
        <v>6446</v>
      </c>
      <c r="AB24" s="370">
        <f t="shared" si="33"/>
        <v>7033</v>
      </c>
      <c r="AC24" s="370">
        <f t="shared" si="33"/>
        <v>5241</v>
      </c>
      <c r="AD24" s="492">
        <f t="shared" si="33"/>
        <v>5271</v>
      </c>
    </row>
    <row r="25" spans="1:30" s="507" customFormat="1" ht="22.5" customHeight="1">
      <c r="A25" s="491"/>
      <c r="B25" s="491" t="s">
        <v>550</v>
      </c>
      <c r="C25" s="369">
        <v>396</v>
      </c>
      <c r="D25" s="370">
        <v>465</v>
      </c>
      <c r="E25" s="370">
        <v>424</v>
      </c>
      <c r="F25" s="492">
        <v>328</v>
      </c>
      <c r="G25" s="369">
        <v>5</v>
      </c>
      <c r="H25" s="370">
        <v>1</v>
      </c>
      <c r="I25" s="370">
        <v>3</v>
      </c>
      <c r="J25" s="492">
        <v>3</v>
      </c>
      <c r="K25" s="370">
        <v>166</v>
      </c>
      <c r="L25" s="370">
        <v>144</v>
      </c>
      <c r="M25" s="370">
        <v>22</v>
      </c>
      <c r="N25" s="492">
        <v>21</v>
      </c>
      <c r="O25" s="370">
        <v>35</v>
      </c>
      <c r="P25" s="370">
        <v>71</v>
      </c>
      <c r="Q25" s="370">
        <v>84</v>
      </c>
      <c r="R25" s="492">
        <v>71</v>
      </c>
      <c r="S25" s="370">
        <v>12</v>
      </c>
      <c r="T25" s="370">
        <v>28</v>
      </c>
      <c r="U25" s="370">
        <v>16</v>
      </c>
      <c r="V25" s="492">
        <v>13</v>
      </c>
      <c r="W25" s="370"/>
      <c r="X25" s="370"/>
      <c r="Y25" s="370"/>
      <c r="Z25" s="492"/>
      <c r="AA25" s="369">
        <f t="shared" si="33"/>
        <v>614</v>
      </c>
      <c r="AB25" s="370">
        <f t="shared" si="33"/>
        <v>709</v>
      </c>
      <c r="AC25" s="370">
        <f t="shared" si="33"/>
        <v>549</v>
      </c>
      <c r="AD25" s="492">
        <f t="shared" si="33"/>
        <v>436</v>
      </c>
    </row>
    <row r="26" spans="1:30" s="507" customFormat="1" ht="22.5" customHeight="1">
      <c r="A26" s="491"/>
      <c r="B26" s="491" t="s">
        <v>837</v>
      </c>
      <c r="C26" s="369">
        <v>785</v>
      </c>
      <c r="D26" s="370">
        <v>998</v>
      </c>
      <c r="E26" s="370">
        <v>1097</v>
      </c>
      <c r="F26" s="492">
        <v>890</v>
      </c>
      <c r="G26" s="369">
        <v>1</v>
      </c>
      <c r="H26" s="370">
        <v>1</v>
      </c>
      <c r="I26" s="370">
        <v>20</v>
      </c>
      <c r="J26" s="492">
        <v>10</v>
      </c>
      <c r="K26" s="370">
        <v>32</v>
      </c>
      <c r="L26" s="370">
        <v>53</v>
      </c>
      <c r="M26" s="370">
        <v>11</v>
      </c>
      <c r="N26" s="492">
        <v>145</v>
      </c>
      <c r="O26" s="370">
        <v>34</v>
      </c>
      <c r="P26" s="370">
        <v>117</v>
      </c>
      <c r="Q26" s="370">
        <v>130</v>
      </c>
      <c r="R26" s="492">
        <v>108</v>
      </c>
      <c r="S26" s="370">
        <v>57</v>
      </c>
      <c r="T26" s="370">
        <v>94</v>
      </c>
      <c r="U26" s="370">
        <v>99</v>
      </c>
      <c r="V26" s="492">
        <v>83</v>
      </c>
      <c r="W26" s="370"/>
      <c r="X26" s="370">
        <v>1</v>
      </c>
      <c r="Y26" s="370"/>
      <c r="Z26" s="492"/>
      <c r="AA26" s="369">
        <f t="shared" si="33"/>
        <v>909</v>
      </c>
      <c r="AB26" s="370">
        <f t="shared" si="33"/>
        <v>1264</v>
      </c>
      <c r="AC26" s="370">
        <f t="shared" si="33"/>
        <v>1357</v>
      </c>
      <c r="AD26" s="492">
        <f t="shared" si="33"/>
        <v>1236</v>
      </c>
    </row>
    <row r="27" spans="1:30" s="507" customFormat="1" ht="22.5" customHeight="1">
      <c r="A27" s="491"/>
      <c r="B27" s="491" t="s">
        <v>644</v>
      </c>
      <c r="C27" s="369">
        <f t="shared" ref="C27" si="34">SUM(C23:C26)</f>
        <v>7903</v>
      </c>
      <c r="D27" s="370">
        <f>SUM(D23:D26)</f>
        <v>8048</v>
      </c>
      <c r="E27" s="370">
        <f>SUM(E23:E26)</f>
        <v>7881</v>
      </c>
      <c r="F27" s="492">
        <f>SUM(F23:F26)</f>
        <v>7420</v>
      </c>
      <c r="G27" s="369">
        <f t="shared" ref="G27:I27" si="35">SUM(G23:G26)</f>
        <v>12</v>
      </c>
      <c r="H27" s="370">
        <f t="shared" si="35"/>
        <v>76</v>
      </c>
      <c r="I27" s="370">
        <f t="shared" si="35"/>
        <v>129</v>
      </c>
      <c r="J27" s="492">
        <f t="shared" ref="J27:M27" si="36">SUM(J23:J26)</f>
        <v>67</v>
      </c>
      <c r="K27" s="370">
        <f t="shared" si="36"/>
        <v>2007</v>
      </c>
      <c r="L27" s="370">
        <f t="shared" si="36"/>
        <v>2917</v>
      </c>
      <c r="M27" s="370">
        <f t="shared" si="36"/>
        <v>947</v>
      </c>
      <c r="N27" s="492">
        <f t="shared" ref="N27:Q27" si="37">SUM(N23:N26)</f>
        <v>1234</v>
      </c>
      <c r="O27" s="370">
        <f t="shared" si="37"/>
        <v>901</v>
      </c>
      <c r="P27" s="370">
        <f t="shared" si="37"/>
        <v>954</v>
      </c>
      <c r="Q27" s="370">
        <f t="shared" si="37"/>
        <v>994</v>
      </c>
      <c r="R27" s="492">
        <f t="shared" ref="R27:U27" si="38">SUM(R23:R26)</f>
        <v>796</v>
      </c>
      <c r="S27" s="370">
        <f t="shared" si="38"/>
        <v>940</v>
      </c>
      <c r="T27" s="370">
        <f t="shared" si="38"/>
        <v>973</v>
      </c>
      <c r="U27" s="370">
        <f t="shared" si="38"/>
        <v>1049</v>
      </c>
      <c r="V27" s="492">
        <f t="shared" ref="V27:Y27" si="39">SUM(V23:V26)</f>
        <v>851</v>
      </c>
      <c r="W27" s="370">
        <f t="shared" si="39"/>
        <v>1</v>
      </c>
      <c r="X27" s="370">
        <f t="shared" si="39"/>
        <v>2</v>
      </c>
      <c r="Y27" s="370">
        <f t="shared" si="39"/>
        <v>0</v>
      </c>
      <c r="Z27" s="492">
        <f t="shared" ref="Z27" si="40">SUM(Z23:Z26)</f>
        <v>0</v>
      </c>
      <c r="AA27" s="369">
        <f t="shared" ref="AA27" si="41">SUM(AA23:AA26)</f>
        <v>11764</v>
      </c>
      <c r="AB27" s="370">
        <f t="shared" ref="AB27:AD27" si="42">SUM(AB23:AB26)</f>
        <v>12970</v>
      </c>
      <c r="AC27" s="370">
        <f t="shared" si="42"/>
        <v>11000</v>
      </c>
      <c r="AD27" s="492">
        <f t="shared" si="42"/>
        <v>10368</v>
      </c>
    </row>
    <row r="28" spans="1:30" s="507" customFormat="1" ht="22.5" customHeight="1">
      <c r="A28" s="491" t="s">
        <v>545</v>
      </c>
      <c r="B28" s="491" t="s">
        <v>838</v>
      </c>
      <c r="C28" s="369">
        <v>2754</v>
      </c>
      <c r="D28" s="370">
        <v>2302</v>
      </c>
      <c r="E28" s="370">
        <v>2123</v>
      </c>
      <c r="F28" s="492">
        <v>1764</v>
      </c>
      <c r="G28" s="369">
        <v>100</v>
      </c>
      <c r="H28" s="370">
        <v>93</v>
      </c>
      <c r="I28" s="370">
        <v>5</v>
      </c>
      <c r="J28" s="492">
        <v>78</v>
      </c>
      <c r="K28" s="370">
        <v>113</v>
      </c>
      <c r="L28" s="370">
        <v>148</v>
      </c>
      <c r="M28" s="370">
        <v>312</v>
      </c>
      <c r="N28" s="492">
        <v>250</v>
      </c>
      <c r="O28" s="370">
        <v>258</v>
      </c>
      <c r="P28" s="370">
        <v>232</v>
      </c>
      <c r="Q28" s="370">
        <v>191</v>
      </c>
      <c r="R28" s="492">
        <v>216</v>
      </c>
      <c r="S28" s="370">
        <v>175</v>
      </c>
      <c r="T28" s="370">
        <v>310</v>
      </c>
      <c r="U28" s="370">
        <v>308</v>
      </c>
      <c r="V28" s="492">
        <v>380</v>
      </c>
      <c r="W28" s="370">
        <v>2</v>
      </c>
      <c r="X28" s="370"/>
      <c r="Y28" s="370"/>
      <c r="Z28" s="492"/>
      <c r="AA28" s="369">
        <f t="shared" ref="AA28:AD29" si="43">+W28+S28+O28+K28+G28+C28</f>
        <v>3402</v>
      </c>
      <c r="AB28" s="370">
        <f t="shared" si="43"/>
        <v>3085</v>
      </c>
      <c r="AC28" s="370">
        <f t="shared" si="43"/>
        <v>2939</v>
      </c>
      <c r="AD28" s="492">
        <f t="shared" si="43"/>
        <v>2688</v>
      </c>
    </row>
    <row r="29" spans="1:30" s="507" customFormat="1" ht="22.5" customHeight="1">
      <c r="A29" s="491"/>
      <c r="B29" s="251" t="s">
        <v>1276</v>
      </c>
      <c r="C29" s="369">
        <v>329</v>
      </c>
      <c r="D29" s="370">
        <v>146</v>
      </c>
      <c r="E29" s="370">
        <v>149</v>
      </c>
      <c r="F29" s="492">
        <v>186</v>
      </c>
      <c r="G29" s="369">
        <v>0</v>
      </c>
      <c r="H29" s="370">
        <v>0</v>
      </c>
      <c r="I29" s="370"/>
      <c r="J29" s="492"/>
      <c r="K29" s="370">
        <v>2</v>
      </c>
      <c r="L29" s="370">
        <v>4</v>
      </c>
      <c r="M29" s="370">
        <v>7</v>
      </c>
      <c r="N29" s="492">
        <v>3</v>
      </c>
      <c r="O29" s="370">
        <v>43</v>
      </c>
      <c r="P29" s="370">
        <v>55</v>
      </c>
      <c r="Q29" s="370">
        <v>79</v>
      </c>
      <c r="R29" s="492">
        <v>39</v>
      </c>
      <c r="S29" s="370"/>
      <c r="T29" s="370"/>
      <c r="U29" s="370"/>
      <c r="V29" s="492"/>
      <c r="W29" s="370"/>
      <c r="X29" s="370"/>
      <c r="Y29" s="370"/>
      <c r="Z29" s="492"/>
      <c r="AA29" s="370">
        <f t="shared" si="43"/>
        <v>374</v>
      </c>
      <c r="AB29" s="370">
        <f t="shared" si="43"/>
        <v>205</v>
      </c>
      <c r="AC29" s="370">
        <f t="shared" si="43"/>
        <v>235</v>
      </c>
      <c r="AD29" s="492">
        <f t="shared" si="43"/>
        <v>228</v>
      </c>
    </row>
    <row r="30" spans="1:30" s="507" customFormat="1" ht="22.5" customHeight="1">
      <c r="A30" s="491"/>
      <c r="B30" s="251" t="s">
        <v>1340</v>
      </c>
      <c r="C30" s="369"/>
      <c r="D30" s="370"/>
      <c r="E30" s="370"/>
      <c r="F30" s="492"/>
      <c r="G30" s="369"/>
      <c r="H30" s="370"/>
      <c r="I30" s="370"/>
      <c r="J30" s="492"/>
      <c r="K30" s="370"/>
      <c r="L30" s="370"/>
      <c r="M30" s="370"/>
      <c r="N30" s="492"/>
      <c r="O30" s="370"/>
      <c r="P30" s="370"/>
      <c r="Q30" s="370"/>
      <c r="R30" s="492"/>
      <c r="S30" s="370"/>
      <c r="T30" s="370"/>
      <c r="U30" s="370">
        <v>43</v>
      </c>
      <c r="V30" s="492">
        <v>4</v>
      </c>
      <c r="W30" s="370"/>
      <c r="X30" s="370"/>
      <c r="Y30" s="370"/>
      <c r="Z30" s="492"/>
      <c r="AA30" s="369"/>
      <c r="AB30" s="370"/>
      <c r="AC30" s="370">
        <f>+Y30+U30+Q30+M30+I30+E30</f>
        <v>43</v>
      </c>
      <c r="AD30" s="492">
        <f>+Z30+V30+R30+N30+J30+F30</f>
        <v>4</v>
      </c>
    </row>
    <row r="31" spans="1:30" s="507" customFormat="1" ht="22.5" customHeight="1">
      <c r="A31" s="491"/>
      <c r="B31" s="491" t="s">
        <v>966</v>
      </c>
      <c r="C31" s="369">
        <v>1</v>
      </c>
      <c r="D31" s="370">
        <v>7</v>
      </c>
      <c r="E31" s="370">
        <v>3</v>
      </c>
      <c r="F31" s="492">
        <v>1</v>
      </c>
      <c r="G31" s="369"/>
      <c r="H31" s="370"/>
      <c r="I31" s="370"/>
      <c r="J31" s="492"/>
      <c r="K31" s="370"/>
      <c r="L31" s="370"/>
      <c r="M31" s="370"/>
      <c r="N31" s="492"/>
      <c r="O31" s="370"/>
      <c r="P31" s="370"/>
      <c r="Q31" s="370"/>
      <c r="R31" s="492"/>
      <c r="S31" s="370"/>
      <c r="T31" s="370"/>
      <c r="U31" s="370"/>
      <c r="V31" s="492"/>
      <c r="W31" s="370"/>
      <c r="X31" s="370"/>
      <c r="Y31" s="370"/>
      <c r="Z31" s="492"/>
      <c r="AA31" s="369">
        <f>+W31+S31+O31+K31+G31+C31</f>
        <v>1</v>
      </c>
      <c r="AB31" s="370">
        <f>+X31+T31+P31+L31+H31+D31</f>
        <v>7</v>
      </c>
      <c r="AC31" s="370">
        <f>+Y31+U31+Q31+M31+I31+E31</f>
        <v>3</v>
      </c>
      <c r="AD31" s="492">
        <f>+Z31+V31+R31+N31+J31+F31</f>
        <v>1</v>
      </c>
    </row>
    <row r="32" spans="1:30" s="507" customFormat="1" ht="22.5" customHeight="1">
      <c r="A32" s="491"/>
      <c r="B32" s="491" t="s">
        <v>644</v>
      </c>
      <c r="C32" s="369">
        <f t="shared" ref="C32" si="44">SUM(C28:C31)</f>
        <v>3084</v>
      </c>
      <c r="D32" s="370">
        <f>SUM(D28:D31)</f>
        <v>2455</v>
      </c>
      <c r="E32" s="370">
        <f>SUM(E28:E31)</f>
        <v>2275</v>
      </c>
      <c r="F32" s="492">
        <f>SUM(F28:F31)</f>
        <v>1951</v>
      </c>
      <c r="G32" s="369">
        <f t="shared" ref="G32:I32" si="45">SUM(G28:G31)</f>
        <v>100</v>
      </c>
      <c r="H32" s="370">
        <f t="shared" si="45"/>
        <v>93</v>
      </c>
      <c r="I32" s="370">
        <f t="shared" si="45"/>
        <v>5</v>
      </c>
      <c r="J32" s="492">
        <f t="shared" ref="J32:M32" si="46">SUM(J28:J31)</f>
        <v>78</v>
      </c>
      <c r="K32" s="370">
        <f t="shared" si="46"/>
        <v>115</v>
      </c>
      <c r="L32" s="370">
        <f t="shared" si="46"/>
        <v>152</v>
      </c>
      <c r="M32" s="370">
        <f t="shared" si="46"/>
        <v>319</v>
      </c>
      <c r="N32" s="492">
        <f t="shared" ref="N32:Q32" si="47">SUM(N28:N31)</f>
        <v>253</v>
      </c>
      <c r="O32" s="370">
        <f t="shared" si="47"/>
        <v>301</v>
      </c>
      <c r="P32" s="370">
        <f t="shared" si="47"/>
        <v>287</v>
      </c>
      <c r="Q32" s="370">
        <f t="shared" si="47"/>
        <v>270</v>
      </c>
      <c r="R32" s="492">
        <f t="shared" ref="R32:U32" si="48">SUM(R28:R31)</f>
        <v>255</v>
      </c>
      <c r="S32" s="370">
        <f t="shared" si="48"/>
        <v>175</v>
      </c>
      <c r="T32" s="370">
        <f t="shared" si="48"/>
        <v>310</v>
      </c>
      <c r="U32" s="370">
        <f t="shared" si="48"/>
        <v>351</v>
      </c>
      <c r="V32" s="492">
        <f t="shared" ref="V32:Y32" si="49">SUM(V28:V31)</f>
        <v>384</v>
      </c>
      <c r="W32" s="370">
        <f t="shared" si="49"/>
        <v>2</v>
      </c>
      <c r="X32" s="370">
        <f t="shared" si="49"/>
        <v>0</v>
      </c>
      <c r="Y32" s="370">
        <f t="shared" si="49"/>
        <v>0</v>
      </c>
      <c r="Z32" s="492">
        <f t="shared" ref="Z32" si="50">SUM(Z28:Z31)</f>
        <v>0</v>
      </c>
      <c r="AA32" s="369">
        <f t="shared" ref="AA32" si="51">SUM(AA28:AA31)</f>
        <v>3777</v>
      </c>
      <c r="AB32" s="370">
        <f t="shared" ref="AB32:AD32" si="52">SUM(AB28:AB31)</f>
        <v>3297</v>
      </c>
      <c r="AC32" s="370">
        <f t="shared" si="52"/>
        <v>3220</v>
      </c>
      <c r="AD32" s="492">
        <f t="shared" si="52"/>
        <v>2921</v>
      </c>
    </row>
    <row r="33" spans="1:30" s="507" customFormat="1" ht="22.5" customHeight="1">
      <c r="A33" s="491" t="s">
        <v>546</v>
      </c>
      <c r="B33" s="491" t="s">
        <v>648</v>
      </c>
      <c r="C33" s="369">
        <v>1994</v>
      </c>
      <c r="D33" s="370">
        <v>1635</v>
      </c>
      <c r="E33" s="370">
        <v>1837</v>
      </c>
      <c r="F33" s="492">
        <v>2217</v>
      </c>
      <c r="G33" s="369">
        <v>1</v>
      </c>
      <c r="H33" s="370">
        <v>1</v>
      </c>
      <c r="I33" s="370">
        <v>1</v>
      </c>
      <c r="J33" s="492"/>
      <c r="K33" s="370">
        <v>205</v>
      </c>
      <c r="L33" s="370">
        <v>264</v>
      </c>
      <c r="M33" s="370">
        <v>247</v>
      </c>
      <c r="N33" s="492">
        <v>286</v>
      </c>
      <c r="O33" s="370">
        <v>88</v>
      </c>
      <c r="P33" s="370">
        <v>142</v>
      </c>
      <c r="Q33" s="370">
        <v>106</v>
      </c>
      <c r="R33" s="492">
        <v>184</v>
      </c>
      <c r="S33" s="370">
        <v>205</v>
      </c>
      <c r="T33" s="370">
        <v>199</v>
      </c>
      <c r="U33" s="370">
        <v>160</v>
      </c>
      <c r="V33" s="492">
        <v>206</v>
      </c>
      <c r="W33" s="370"/>
      <c r="X33" s="370"/>
      <c r="Y33" s="370"/>
      <c r="Z33" s="492"/>
      <c r="AA33" s="369">
        <f t="shared" ref="AA33:AB40" si="53">+W33+S33+O33+K33+G33+C33</f>
        <v>2493</v>
      </c>
      <c r="AB33" s="370">
        <f t="shared" si="53"/>
        <v>2241</v>
      </c>
      <c r="AC33" s="370">
        <f t="shared" ref="AA33:AD41" si="54">+Y33+U33+Q33+M33+I33+E33</f>
        <v>2351</v>
      </c>
      <c r="AD33" s="492">
        <f t="shared" si="54"/>
        <v>2893</v>
      </c>
    </row>
    <row r="34" spans="1:30" s="507" customFormat="1" ht="22.5" customHeight="1">
      <c r="A34" s="491"/>
      <c r="B34" s="491" t="s">
        <v>840</v>
      </c>
      <c r="C34" s="369">
        <v>329</v>
      </c>
      <c r="D34" s="370">
        <v>312</v>
      </c>
      <c r="E34" s="370">
        <v>269</v>
      </c>
      <c r="F34" s="492">
        <v>297</v>
      </c>
      <c r="G34" s="369">
        <v>0</v>
      </c>
      <c r="H34" s="370">
        <v>0</v>
      </c>
      <c r="I34" s="370">
        <v>2</v>
      </c>
      <c r="J34" s="492"/>
      <c r="K34" s="370">
        <v>28</v>
      </c>
      <c r="L34" s="370">
        <v>55</v>
      </c>
      <c r="M34" s="370">
        <v>52</v>
      </c>
      <c r="N34" s="492">
        <v>42</v>
      </c>
      <c r="O34" s="370">
        <v>27</v>
      </c>
      <c r="P34" s="370">
        <v>64</v>
      </c>
      <c r="Q34" s="370">
        <v>22</v>
      </c>
      <c r="R34" s="492">
        <v>23</v>
      </c>
      <c r="S34" s="370">
        <v>16</v>
      </c>
      <c r="T34" s="370">
        <v>45</v>
      </c>
      <c r="U34" s="370">
        <v>48</v>
      </c>
      <c r="V34" s="492">
        <v>64</v>
      </c>
      <c r="W34" s="370"/>
      <c r="X34" s="370"/>
      <c r="Y34" s="370"/>
      <c r="Z34" s="492"/>
      <c r="AA34" s="369">
        <f t="shared" ref="AA34:AC35" si="55">+W34+S34+O34+K34+G34+C34</f>
        <v>400</v>
      </c>
      <c r="AB34" s="370">
        <f t="shared" si="55"/>
        <v>476</v>
      </c>
      <c r="AC34" s="370">
        <f t="shared" si="55"/>
        <v>393</v>
      </c>
      <c r="AD34" s="492">
        <f t="shared" si="54"/>
        <v>426</v>
      </c>
    </row>
    <row r="35" spans="1:30" s="507" customFormat="1" ht="22.5" customHeight="1">
      <c r="A35" s="491"/>
      <c r="B35" s="251" t="s">
        <v>1277</v>
      </c>
      <c r="C35" s="369">
        <v>66</v>
      </c>
      <c r="D35" s="370">
        <v>95</v>
      </c>
      <c r="E35" s="370">
        <v>69</v>
      </c>
      <c r="F35" s="492">
        <v>92</v>
      </c>
      <c r="G35" s="369">
        <v>0</v>
      </c>
      <c r="H35" s="370">
        <v>0</v>
      </c>
      <c r="I35" s="370"/>
      <c r="J35" s="492"/>
      <c r="K35" s="370">
        <v>12</v>
      </c>
      <c r="L35" s="370">
        <v>43</v>
      </c>
      <c r="M35" s="370">
        <v>18</v>
      </c>
      <c r="N35" s="492">
        <v>26</v>
      </c>
      <c r="O35" s="370">
        <v>3</v>
      </c>
      <c r="P35" s="370">
        <v>16</v>
      </c>
      <c r="Q35" s="370">
        <v>14</v>
      </c>
      <c r="R35" s="492">
        <v>13</v>
      </c>
      <c r="S35" s="370">
        <v>4</v>
      </c>
      <c r="T35" s="370">
        <v>41</v>
      </c>
      <c r="U35" s="370">
        <v>13</v>
      </c>
      <c r="V35" s="492">
        <v>10</v>
      </c>
      <c r="W35" s="370"/>
      <c r="X35" s="370"/>
      <c r="Y35" s="370"/>
      <c r="Z35" s="492"/>
      <c r="AA35" s="370">
        <f t="shared" si="55"/>
        <v>85</v>
      </c>
      <c r="AB35" s="370">
        <f t="shared" si="55"/>
        <v>195</v>
      </c>
      <c r="AC35" s="370">
        <f t="shared" si="55"/>
        <v>114</v>
      </c>
      <c r="AD35" s="492">
        <f t="shared" si="54"/>
        <v>141</v>
      </c>
    </row>
    <row r="36" spans="1:30" s="507" customFormat="1" ht="22.5" customHeight="1">
      <c r="A36" s="491"/>
      <c r="B36" s="491" t="s">
        <v>644</v>
      </c>
      <c r="C36" s="369">
        <f t="shared" ref="C36:E36" si="56">SUM(C33:C35)</f>
        <v>2389</v>
      </c>
      <c r="D36" s="370">
        <f t="shared" si="56"/>
        <v>2042</v>
      </c>
      <c r="E36" s="370">
        <f t="shared" si="56"/>
        <v>2175</v>
      </c>
      <c r="F36" s="492">
        <f t="shared" ref="F36:AD36" si="57">SUM(F33:F35)</f>
        <v>2606</v>
      </c>
      <c r="G36" s="369">
        <f t="shared" ref="G36:I36" si="58">SUM(G33:G35)</f>
        <v>1</v>
      </c>
      <c r="H36" s="370">
        <f t="shared" si="58"/>
        <v>1</v>
      </c>
      <c r="I36" s="370">
        <f t="shared" si="58"/>
        <v>3</v>
      </c>
      <c r="J36" s="492">
        <f t="shared" si="57"/>
        <v>0</v>
      </c>
      <c r="K36" s="370">
        <f t="shared" ref="K36:M36" si="59">SUM(K33:K35)</f>
        <v>245</v>
      </c>
      <c r="L36" s="370">
        <f t="shared" si="59"/>
        <v>362</v>
      </c>
      <c r="M36" s="370">
        <f t="shared" si="59"/>
        <v>317</v>
      </c>
      <c r="N36" s="492">
        <f t="shared" si="57"/>
        <v>354</v>
      </c>
      <c r="O36" s="370">
        <f t="shared" ref="O36:Q36" si="60">SUM(O33:O35)</f>
        <v>118</v>
      </c>
      <c r="P36" s="370">
        <f t="shared" si="60"/>
        <v>222</v>
      </c>
      <c r="Q36" s="370">
        <f t="shared" si="60"/>
        <v>142</v>
      </c>
      <c r="R36" s="492">
        <f t="shared" si="57"/>
        <v>220</v>
      </c>
      <c r="S36" s="370">
        <f t="shared" ref="S36:U36" si="61">SUM(S33:S35)</f>
        <v>225</v>
      </c>
      <c r="T36" s="370">
        <f t="shared" si="61"/>
        <v>285</v>
      </c>
      <c r="U36" s="370">
        <f t="shared" si="61"/>
        <v>221</v>
      </c>
      <c r="V36" s="492">
        <f t="shared" si="57"/>
        <v>280</v>
      </c>
      <c r="W36" s="370">
        <f t="shared" ref="W36:Y36" si="62">SUM(W33:W35)</f>
        <v>0</v>
      </c>
      <c r="X36" s="370">
        <f t="shared" si="62"/>
        <v>0</v>
      </c>
      <c r="Y36" s="370">
        <f t="shared" si="62"/>
        <v>0</v>
      </c>
      <c r="Z36" s="370">
        <f t="shared" si="57"/>
        <v>0</v>
      </c>
      <c r="AA36" s="369">
        <f t="shared" si="57"/>
        <v>2978</v>
      </c>
      <c r="AB36" s="370">
        <f t="shared" si="57"/>
        <v>2912</v>
      </c>
      <c r="AC36" s="370">
        <f t="shared" si="57"/>
        <v>2858</v>
      </c>
      <c r="AD36" s="492">
        <f t="shared" si="57"/>
        <v>3460</v>
      </c>
    </row>
    <row r="37" spans="1:30" s="507" customFormat="1" ht="22.5" customHeight="1">
      <c r="A37" s="491" t="s">
        <v>547</v>
      </c>
      <c r="B37" s="491" t="s">
        <v>841</v>
      </c>
      <c r="C37" s="369">
        <v>1555</v>
      </c>
      <c r="D37" s="370">
        <v>1438</v>
      </c>
      <c r="E37" s="370">
        <v>1640</v>
      </c>
      <c r="F37" s="492">
        <v>1203</v>
      </c>
      <c r="G37" s="369">
        <v>3</v>
      </c>
      <c r="H37" s="370">
        <v>115</v>
      </c>
      <c r="I37" s="370">
        <v>84</v>
      </c>
      <c r="J37" s="492">
        <v>1</v>
      </c>
      <c r="K37" s="370">
        <v>62</v>
      </c>
      <c r="L37" s="370">
        <v>57</v>
      </c>
      <c r="M37" s="370">
        <v>82</v>
      </c>
      <c r="N37" s="492">
        <v>147</v>
      </c>
      <c r="O37" s="370">
        <v>186</v>
      </c>
      <c r="P37" s="370">
        <v>204</v>
      </c>
      <c r="Q37" s="370">
        <v>197</v>
      </c>
      <c r="R37" s="492">
        <v>133</v>
      </c>
      <c r="S37" s="370">
        <v>239</v>
      </c>
      <c r="T37" s="370">
        <v>114</v>
      </c>
      <c r="U37" s="370">
        <v>22</v>
      </c>
      <c r="V37" s="492">
        <v>28</v>
      </c>
      <c r="W37" s="370"/>
      <c r="X37" s="370"/>
      <c r="Y37" s="370"/>
      <c r="Z37" s="492"/>
      <c r="AA37" s="369">
        <f t="shared" si="53"/>
        <v>2045</v>
      </c>
      <c r="AB37" s="370">
        <f t="shared" si="53"/>
        <v>1928</v>
      </c>
      <c r="AC37" s="370">
        <f t="shared" si="54"/>
        <v>2025</v>
      </c>
      <c r="AD37" s="492">
        <f t="shared" si="54"/>
        <v>1512</v>
      </c>
    </row>
    <row r="38" spans="1:30" s="507" customFormat="1" ht="22.5" customHeight="1">
      <c r="A38" s="491" t="s">
        <v>967</v>
      </c>
      <c r="B38" s="491" t="s">
        <v>842</v>
      </c>
      <c r="C38" s="369">
        <v>3122</v>
      </c>
      <c r="D38" s="370">
        <v>2620</v>
      </c>
      <c r="E38" s="370">
        <v>2699</v>
      </c>
      <c r="F38" s="492">
        <v>2423</v>
      </c>
      <c r="G38" s="369">
        <v>115</v>
      </c>
      <c r="H38" s="370">
        <v>9</v>
      </c>
      <c r="I38" s="370">
        <v>2</v>
      </c>
      <c r="J38" s="492">
        <v>5</v>
      </c>
      <c r="K38" s="370">
        <v>64</v>
      </c>
      <c r="L38" s="370">
        <v>126</v>
      </c>
      <c r="M38" s="370">
        <v>26</v>
      </c>
      <c r="N38" s="492">
        <v>4</v>
      </c>
      <c r="O38" s="370">
        <v>238</v>
      </c>
      <c r="P38" s="370">
        <v>281</v>
      </c>
      <c r="Q38" s="370">
        <v>243</v>
      </c>
      <c r="R38" s="492">
        <v>238</v>
      </c>
      <c r="S38" s="370">
        <v>170</v>
      </c>
      <c r="T38" s="370">
        <v>133</v>
      </c>
      <c r="U38" s="370">
        <v>121</v>
      </c>
      <c r="V38" s="492">
        <v>125</v>
      </c>
      <c r="W38" s="370"/>
      <c r="X38" s="370"/>
      <c r="Y38" s="370"/>
      <c r="Z38" s="492"/>
      <c r="AA38" s="369">
        <f t="shared" si="53"/>
        <v>3709</v>
      </c>
      <c r="AB38" s="370">
        <f t="shared" si="53"/>
        <v>3169</v>
      </c>
      <c r="AC38" s="370">
        <f t="shared" si="54"/>
        <v>3091</v>
      </c>
      <c r="AD38" s="492">
        <f t="shared" si="54"/>
        <v>2795</v>
      </c>
    </row>
    <row r="39" spans="1:30" s="507" customFormat="1" ht="22.5" customHeight="1">
      <c r="A39" s="491"/>
      <c r="B39" s="251" t="s">
        <v>1001</v>
      </c>
      <c r="C39" s="369"/>
      <c r="D39" s="370"/>
      <c r="E39" s="370">
        <v>1</v>
      </c>
      <c r="F39" s="492"/>
      <c r="G39" s="369"/>
      <c r="H39" s="370"/>
      <c r="I39" s="370"/>
      <c r="J39" s="492"/>
      <c r="K39" s="370"/>
      <c r="L39" s="370"/>
      <c r="M39" s="370"/>
      <c r="N39" s="492"/>
      <c r="O39" s="370"/>
      <c r="P39" s="370"/>
      <c r="Q39" s="370"/>
      <c r="R39" s="492"/>
      <c r="S39" s="370"/>
      <c r="T39" s="370"/>
      <c r="U39" s="370">
        <v>5</v>
      </c>
      <c r="V39" s="492">
        <v>13</v>
      </c>
      <c r="W39" s="370"/>
      <c r="X39" s="370"/>
      <c r="Y39" s="370"/>
      <c r="Z39" s="492"/>
      <c r="AA39" s="369"/>
      <c r="AB39" s="370"/>
      <c r="AC39" s="370">
        <f t="shared" si="54"/>
        <v>6</v>
      </c>
      <c r="AD39" s="492">
        <f t="shared" si="54"/>
        <v>13</v>
      </c>
    </row>
    <row r="40" spans="1:30" s="507" customFormat="1" ht="22.5" customHeight="1">
      <c r="A40" s="491" t="s">
        <v>549</v>
      </c>
      <c r="B40" s="491" t="s">
        <v>843</v>
      </c>
      <c r="C40" s="369">
        <v>2491</v>
      </c>
      <c r="D40" s="370">
        <v>1822</v>
      </c>
      <c r="E40" s="370">
        <v>1824</v>
      </c>
      <c r="F40" s="492">
        <v>1963</v>
      </c>
      <c r="G40" s="369">
        <v>0</v>
      </c>
      <c r="H40" s="370">
        <v>142</v>
      </c>
      <c r="I40" s="370"/>
      <c r="J40" s="492">
        <v>6</v>
      </c>
      <c r="K40" s="370">
        <v>49</v>
      </c>
      <c r="L40" s="370">
        <v>73</v>
      </c>
      <c r="M40" s="370">
        <v>104</v>
      </c>
      <c r="N40" s="492">
        <v>152</v>
      </c>
      <c r="O40" s="370">
        <v>88</v>
      </c>
      <c r="P40" s="370">
        <v>77</v>
      </c>
      <c r="Q40" s="370">
        <v>149</v>
      </c>
      <c r="R40" s="492">
        <v>161</v>
      </c>
      <c r="S40" s="370">
        <v>40</v>
      </c>
      <c r="T40" s="370">
        <v>67</v>
      </c>
      <c r="U40" s="370">
        <v>74</v>
      </c>
      <c r="V40" s="492">
        <v>49</v>
      </c>
      <c r="W40" s="370"/>
      <c r="X40" s="370"/>
      <c r="Y40" s="370"/>
      <c r="Z40" s="492"/>
      <c r="AA40" s="369">
        <f t="shared" si="53"/>
        <v>2668</v>
      </c>
      <c r="AB40" s="370">
        <f t="shared" si="53"/>
        <v>2181</v>
      </c>
      <c r="AC40" s="370">
        <f t="shared" si="54"/>
        <v>2151</v>
      </c>
      <c r="AD40" s="492">
        <f t="shared" si="54"/>
        <v>2331</v>
      </c>
    </row>
    <row r="41" spans="1:30" s="507" customFormat="1" ht="22.5" customHeight="1">
      <c r="A41" s="491"/>
      <c r="B41" s="251" t="s">
        <v>1270</v>
      </c>
      <c r="C41" s="369">
        <v>365</v>
      </c>
      <c r="D41" s="370">
        <v>507</v>
      </c>
      <c r="E41" s="370">
        <v>185</v>
      </c>
      <c r="F41" s="492">
        <v>167</v>
      </c>
      <c r="G41" s="369">
        <v>0</v>
      </c>
      <c r="H41" s="370">
        <v>0</v>
      </c>
      <c r="I41" s="370"/>
      <c r="J41" s="492">
        <v>2</v>
      </c>
      <c r="K41" s="370">
        <v>7</v>
      </c>
      <c r="L41" s="370"/>
      <c r="M41" s="370"/>
      <c r="N41" s="492">
        <v>7</v>
      </c>
      <c r="O41" s="370">
        <v>8</v>
      </c>
      <c r="P41" s="370">
        <v>10</v>
      </c>
      <c r="Q41" s="370">
        <v>8</v>
      </c>
      <c r="R41" s="492">
        <v>20</v>
      </c>
      <c r="S41" s="370"/>
      <c r="T41" s="370"/>
      <c r="U41" s="370"/>
      <c r="V41" s="492"/>
      <c r="W41" s="370"/>
      <c r="X41" s="370">
        <v>7</v>
      </c>
      <c r="Y41" s="370"/>
      <c r="Z41" s="492"/>
      <c r="AA41" s="370">
        <f t="shared" si="54"/>
        <v>380</v>
      </c>
      <c r="AB41" s="370">
        <f t="shared" si="54"/>
        <v>524</v>
      </c>
      <c r="AC41" s="370">
        <f t="shared" si="54"/>
        <v>193</v>
      </c>
      <c r="AD41" s="492">
        <f t="shared" si="54"/>
        <v>196</v>
      </c>
    </row>
    <row r="42" spans="1:30" s="507" customFormat="1" ht="22.5" customHeight="1">
      <c r="A42" s="491"/>
      <c r="B42" s="491" t="s">
        <v>644</v>
      </c>
      <c r="C42" s="369">
        <f t="shared" ref="C42" si="63">SUM(C40:C41)</f>
        <v>2856</v>
      </c>
      <c r="D42" s="370">
        <f>SUM(D40:D41)</f>
        <v>2329</v>
      </c>
      <c r="E42" s="370">
        <f>SUM(E40:E41)</f>
        <v>2009</v>
      </c>
      <c r="F42" s="492">
        <f>SUM(F40:F41)</f>
        <v>2130</v>
      </c>
      <c r="G42" s="369">
        <f t="shared" ref="G42:I42" si="64">SUM(G40:G41)</f>
        <v>0</v>
      </c>
      <c r="H42" s="370">
        <f t="shared" si="64"/>
        <v>142</v>
      </c>
      <c r="I42" s="370">
        <f t="shared" si="64"/>
        <v>0</v>
      </c>
      <c r="J42" s="492">
        <f t="shared" ref="J42:M42" si="65">SUM(J40:J41)</f>
        <v>8</v>
      </c>
      <c r="K42" s="370">
        <f t="shared" si="65"/>
        <v>56</v>
      </c>
      <c r="L42" s="370">
        <f t="shared" si="65"/>
        <v>73</v>
      </c>
      <c r="M42" s="370">
        <f t="shared" si="65"/>
        <v>104</v>
      </c>
      <c r="N42" s="492"/>
      <c r="O42" s="370">
        <f t="shared" ref="O42:Q42" si="66">SUM(O40:O41)</f>
        <v>96</v>
      </c>
      <c r="P42" s="370">
        <f t="shared" si="66"/>
        <v>87</v>
      </c>
      <c r="Q42" s="370">
        <f t="shared" si="66"/>
        <v>157</v>
      </c>
      <c r="R42" s="492">
        <f t="shared" ref="R42:U42" si="67">SUM(R40:R41)</f>
        <v>181</v>
      </c>
      <c r="S42" s="370">
        <f t="shared" si="67"/>
        <v>40</v>
      </c>
      <c r="T42" s="370">
        <f t="shared" si="67"/>
        <v>67</v>
      </c>
      <c r="U42" s="370">
        <f t="shared" si="67"/>
        <v>74</v>
      </c>
      <c r="V42" s="492">
        <f t="shared" ref="V42:Y42" si="68">SUM(V40:V41)</f>
        <v>49</v>
      </c>
      <c r="W42" s="370">
        <f t="shared" si="68"/>
        <v>0</v>
      </c>
      <c r="X42" s="370">
        <f t="shared" si="68"/>
        <v>7</v>
      </c>
      <c r="Y42" s="370">
        <f t="shared" si="68"/>
        <v>0</v>
      </c>
      <c r="Z42" s="492">
        <f t="shared" ref="Z42" si="69">SUM(Z40:Z41)</f>
        <v>0</v>
      </c>
      <c r="AA42" s="369">
        <f t="shared" ref="AA42" si="70">SUM(AA40:AA41)</f>
        <v>3048</v>
      </c>
      <c r="AB42" s="370">
        <f t="shared" ref="AB42:AD42" si="71">SUM(AB40:AB41)</f>
        <v>2705</v>
      </c>
      <c r="AC42" s="370">
        <f t="shared" si="71"/>
        <v>2344</v>
      </c>
      <c r="AD42" s="492">
        <f t="shared" si="71"/>
        <v>2527</v>
      </c>
    </row>
    <row r="43" spans="1:30" s="6" customFormat="1" ht="22.5" customHeight="1">
      <c r="A43" s="501" t="s">
        <v>968</v>
      </c>
      <c r="B43" s="497"/>
      <c r="C43" s="498">
        <f t="shared" ref="C43" si="72">+C27+C32+C36+C37+C38+C42+C39</f>
        <v>20909</v>
      </c>
      <c r="D43" s="499">
        <f>+D27+D32+D36+D37+D38+D42+D39</f>
        <v>18932</v>
      </c>
      <c r="E43" s="499">
        <f>+E27+E32+E36+E37+E38+E42+E39</f>
        <v>18680</v>
      </c>
      <c r="F43" s="500">
        <f>+F27+F32+F36+F37+F38+F42+F39</f>
        <v>17733</v>
      </c>
      <c r="G43" s="498">
        <f t="shared" ref="G43" si="73">+G27+G32+G36+G37+G38+G42+G39</f>
        <v>231</v>
      </c>
      <c r="H43" s="499">
        <f t="shared" ref="H43:J43" si="74">+H27+H32+H36+H37+H38+H42+H39</f>
        <v>436</v>
      </c>
      <c r="I43" s="499">
        <f t="shared" si="74"/>
        <v>223</v>
      </c>
      <c r="J43" s="500">
        <f t="shared" si="74"/>
        <v>159</v>
      </c>
      <c r="K43" s="499">
        <f t="shared" ref="K43" si="75">+K27+K32+K36+K37+K38+K42+K39</f>
        <v>2549</v>
      </c>
      <c r="L43" s="499">
        <f>+L27+L32+L36+L37+L38+L42+L39</f>
        <v>3687</v>
      </c>
      <c r="M43" s="499">
        <f t="shared" ref="M43:N43" si="76">+M27+M32+M36+M37+M38+M42+M39</f>
        <v>1795</v>
      </c>
      <c r="N43" s="500">
        <f t="shared" si="76"/>
        <v>1992</v>
      </c>
      <c r="O43" s="499">
        <f t="shared" ref="O43" si="77">+O27+O32+O36+O37+O38+O42+O39</f>
        <v>1840</v>
      </c>
      <c r="P43" s="499">
        <f t="shared" ref="P43:R43" si="78">+P27+P32+P36+P37+P38+P42+P39</f>
        <v>2035</v>
      </c>
      <c r="Q43" s="499">
        <f t="shared" si="78"/>
        <v>2003</v>
      </c>
      <c r="R43" s="500">
        <f t="shared" si="78"/>
        <v>1823</v>
      </c>
      <c r="S43" s="499">
        <f t="shared" ref="S43" si="79">+S27+S32+S36+S37+S38+S42+S39</f>
        <v>1789</v>
      </c>
      <c r="T43" s="499">
        <f t="shared" ref="T43:V43" si="80">+T27+T32+T36+T37+T38+T42+T39</f>
        <v>1882</v>
      </c>
      <c r="U43" s="499">
        <f t="shared" si="80"/>
        <v>1843</v>
      </c>
      <c r="V43" s="500">
        <f t="shared" si="80"/>
        <v>1730</v>
      </c>
      <c r="W43" s="499">
        <f t="shared" ref="W43" si="81">+W27+W32+W36+W37+W38+W42+W39</f>
        <v>3</v>
      </c>
      <c r="X43" s="499">
        <f t="shared" ref="X43:Z43" si="82">+X27+X32+X36+X37+X38+X42+X39</f>
        <v>9</v>
      </c>
      <c r="Y43" s="499">
        <f t="shared" si="82"/>
        <v>0</v>
      </c>
      <c r="Z43" s="500">
        <f t="shared" si="82"/>
        <v>0</v>
      </c>
      <c r="AA43" s="499">
        <f t="shared" ref="AA43" si="83">+AA27+AA32+AA36+AA37+AA38+AA42+AA39</f>
        <v>27321</v>
      </c>
      <c r="AB43" s="499">
        <f t="shared" ref="AB43:AD43" si="84">+AB27+AB32+AB36+AB37+AB38+AB42+AB39</f>
        <v>26981</v>
      </c>
      <c r="AC43" s="499">
        <f t="shared" si="84"/>
        <v>24544</v>
      </c>
      <c r="AD43" s="500">
        <f t="shared" si="84"/>
        <v>23596</v>
      </c>
    </row>
    <row r="44" spans="1:30" s="507" customFormat="1" ht="22.5" customHeight="1">
      <c r="A44" s="1407" t="s">
        <v>656</v>
      </c>
      <c r="B44" s="1408"/>
      <c r="C44" s="502">
        <f>+C22+C43</f>
        <v>34133</v>
      </c>
      <c r="D44" s="503">
        <f t="shared" ref="D44:AD44" si="85">+D22+D43</f>
        <v>29361</v>
      </c>
      <c r="E44" s="503">
        <f t="shared" si="85"/>
        <v>28717</v>
      </c>
      <c r="F44" s="504">
        <f t="shared" si="85"/>
        <v>26291</v>
      </c>
      <c r="G44" s="502">
        <f t="shared" si="85"/>
        <v>287</v>
      </c>
      <c r="H44" s="503">
        <f t="shared" si="85"/>
        <v>795</v>
      </c>
      <c r="I44" s="503">
        <f t="shared" si="85"/>
        <v>737</v>
      </c>
      <c r="J44" s="504">
        <f t="shared" si="85"/>
        <v>733</v>
      </c>
      <c r="K44" s="503">
        <f t="shared" si="85"/>
        <v>2897</v>
      </c>
      <c r="L44" s="503">
        <f t="shared" si="85"/>
        <v>4219</v>
      </c>
      <c r="M44" s="503">
        <f t="shared" si="85"/>
        <v>2456</v>
      </c>
      <c r="N44" s="504">
        <f t="shared" si="85"/>
        <v>2621</v>
      </c>
      <c r="O44" s="502">
        <f t="shared" si="85"/>
        <v>3245</v>
      </c>
      <c r="P44" s="503">
        <f t="shared" si="85"/>
        <v>3231</v>
      </c>
      <c r="Q44" s="503">
        <f t="shared" si="85"/>
        <v>3167</v>
      </c>
      <c r="R44" s="504">
        <f t="shared" si="85"/>
        <v>2838</v>
      </c>
      <c r="S44" s="503">
        <f t="shared" si="85"/>
        <v>2524</v>
      </c>
      <c r="T44" s="503">
        <f t="shared" si="85"/>
        <v>2477</v>
      </c>
      <c r="U44" s="503">
        <f t="shared" si="85"/>
        <v>2523</v>
      </c>
      <c r="V44" s="504">
        <f t="shared" si="85"/>
        <v>2332</v>
      </c>
      <c r="W44" s="503">
        <f t="shared" si="85"/>
        <v>14</v>
      </c>
      <c r="X44" s="503">
        <f t="shared" si="85"/>
        <v>10</v>
      </c>
      <c r="Y44" s="503">
        <f t="shared" si="85"/>
        <v>0</v>
      </c>
      <c r="Z44" s="504">
        <f t="shared" si="85"/>
        <v>0</v>
      </c>
      <c r="AA44" s="502">
        <f t="shared" si="85"/>
        <v>43100</v>
      </c>
      <c r="AB44" s="503">
        <f t="shared" si="85"/>
        <v>40093</v>
      </c>
      <c r="AC44" s="503">
        <f t="shared" si="85"/>
        <v>37600</v>
      </c>
      <c r="AD44" s="504">
        <f t="shared" si="85"/>
        <v>34974</v>
      </c>
    </row>
    <row r="46" spans="1:30">
      <c r="F46" s="512"/>
      <c r="G46" s="512"/>
      <c r="H46" s="512"/>
      <c r="I46" s="512"/>
      <c r="J46" s="512"/>
      <c r="K46" s="512"/>
      <c r="L46" s="512"/>
      <c r="M46" s="512"/>
      <c r="N46" s="512"/>
      <c r="O46" s="512"/>
      <c r="P46" s="512"/>
      <c r="Q46" s="512"/>
      <c r="R46" s="512"/>
      <c r="S46" s="512"/>
      <c r="T46" s="512"/>
      <c r="U46" s="512"/>
      <c r="V46" s="512"/>
      <c r="W46" s="512"/>
      <c r="X46" s="512"/>
      <c r="Y46" s="512"/>
      <c r="Z46" s="512"/>
      <c r="AA46" s="512"/>
      <c r="AB46" s="512"/>
      <c r="AC46" s="512"/>
      <c r="AD46" s="512"/>
    </row>
    <row r="47" spans="1:30">
      <c r="F47" s="512"/>
      <c r="G47" s="512"/>
      <c r="H47" s="512"/>
      <c r="I47" s="512"/>
      <c r="J47" s="512"/>
      <c r="K47" s="512"/>
      <c r="L47" s="512"/>
      <c r="M47" s="512"/>
      <c r="N47" s="512"/>
      <c r="O47" s="512"/>
      <c r="P47" s="512"/>
      <c r="Q47" s="512"/>
      <c r="R47" s="512"/>
      <c r="S47" s="512"/>
      <c r="T47" s="512"/>
      <c r="U47" s="512"/>
      <c r="V47" s="512"/>
      <c r="W47" s="512"/>
      <c r="X47" s="512"/>
      <c r="Y47" s="512"/>
      <c r="Z47" s="512"/>
      <c r="AA47" s="512"/>
      <c r="AB47" s="512"/>
      <c r="AC47" s="512"/>
      <c r="AD47" s="512"/>
    </row>
    <row r="48" spans="1:30">
      <c r="F48" s="512"/>
      <c r="G48" s="512"/>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row>
    <row r="49" spans="6:30">
      <c r="F49" s="512"/>
      <c r="G49" s="509"/>
      <c r="H49" s="509"/>
      <c r="I49" s="509"/>
      <c r="J49" s="512"/>
      <c r="K49" s="509"/>
      <c r="L49" s="509"/>
      <c r="M49" s="509"/>
      <c r="N49" s="512"/>
      <c r="O49" s="509"/>
      <c r="P49" s="509"/>
      <c r="Q49" s="509"/>
      <c r="R49" s="512"/>
      <c r="S49" s="509"/>
      <c r="T49" s="509"/>
      <c r="U49" s="509"/>
      <c r="V49" s="512"/>
      <c r="W49" s="509"/>
      <c r="X49" s="509"/>
      <c r="Y49" s="509"/>
      <c r="Z49" s="512"/>
      <c r="AA49" s="509"/>
      <c r="AB49" s="509"/>
      <c r="AC49" s="509"/>
      <c r="AD49" s="512"/>
    </row>
    <row r="51" spans="6:30">
      <c r="AB51" s="521"/>
      <c r="AC51" s="521"/>
    </row>
    <row r="52" spans="6:30">
      <c r="AB52" s="521"/>
      <c r="AC52" s="521"/>
    </row>
    <row r="53" spans="6:30">
      <c r="J53" s="521"/>
    </row>
  </sheetData>
  <mergeCells count="12">
    <mergeCell ref="K7:N7"/>
    <mergeCell ref="G7:J7"/>
    <mergeCell ref="C7:F7"/>
    <mergeCell ref="A44:B44"/>
    <mergeCell ref="A1:AD1"/>
    <mergeCell ref="A2:AD2"/>
    <mergeCell ref="A3:AD3"/>
    <mergeCell ref="A4:AD4"/>
    <mergeCell ref="AA7:AD7"/>
    <mergeCell ref="W7:Z7"/>
    <mergeCell ref="S7:V7"/>
    <mergeCell ref="O7:R7"/>
  </mergeCells>
  <phoneticPr fontId="19" type="noConversion"/>
  <pageMargins left="0.39370078740157483" right="0" top="0.98425196850393704" bottom="0.98425196850393704" header="0" footer="0"/>
  <pageSetup paperSize="5" scale="69" orientation="landscape"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0"/>
  <sheetViews>
    <sheetView topLeftCell="E43" workbookViewId="0">
      <selection activeCell="N26" sqref="N26"/>
    </sheetView>
  </sheetViews>
  <sheetFormatPr baseColWidth="10" defaultColWidth="11.42578125" defaultRowHeight="12"/>
  <cols>
    <col min="1" max="1" width="12.7109375" style="398" customWidth="1"/>
    <col min="2" max="2" width="19.5703125" style="398" customWidth="1"/>
    <col min="3" max="45" width="7.140625" style="398" customWidth="1"/>
    <col min="46" max="16384" width="11.42578125" style="398"/>
  </cols>
  <sheetData>
    <row r="1" spans="1:30">
      <c r="A1" s="1393" t="s">
        <v>954</v>
      </c>
      <c r="B1" s="1393"/>
      <c r="C1" s="1393"/>
      <c r="D1" s="1393"/>
      <c r="E1" s="1393"/>
      <c r="F1" s="1393"/>
      <c r="G1" s="1393"/>
      <c r="H1" s="1393"/>
      <c r="I1" s="1393"/>
      <c r="J1" s="1393"/>
      <c r="K1" s="1393"/>
      <c r="L1" s="1393"/>
      <c r="M1" s="1393"/>
      <c r="N1" s="1393"/>
      <c r="O1" s="1393"/>
      <c r="P1" s="1393"/>
      <c r="Q1" s="1393"/>
      <c r="R1" s="1393"/>
      <c r="S1" s="1393"/>
      <c r="T1" s="1393"/>
      <c r="U1" s="1393"/>
      <c r="V1" s="1393"/>
      <c r="W1" s="1393"/>
      <c r="X1" s="1393"/>
      <c r="Y1" s="1393"/>
      <c r="Z1" s="1393"/>
      <c r="AA1" s="1393"/>
      <c r="AB1" s="1393"/>
      <c r="AC1" s="1393"/>
      <c r="AD1" s="1393"/>
    </row>
    <row r="2" spans="1:30">
      <c r="A2" s="1393" t="s">
        <v>970</v>
      </c>
      <c r="B2" s="1393"/>
      <c r="C2" s="1393"/>
      <c r="D2" s="1393"/>
      <c r="E2" s="1393"/>
      <c r="F2" s="1393"/>
      <c r="G2" s="1393"/>
      <c r="H2" s="1393"/>
      <c r="I2" s="1393"/>
      <c r="J2" s="1393"/>
      <c r="K2" s="1393"/>
      <c r="L2" s="1393"/>
      <c r="M2" s="1393"/>
      <c r="N2" s="1393"/>
      <c r="O2" s="1393"/>
      <c r="P2" s="1393"/>
      <c r="Q2" s="1393"/>
      <c r="R2" s="1393"/>
      <c r="S2" s="1393"/>
      <c r="T2" s="1393"/>
      <c r="U2" s="1393"/>
      <c r="V2" s="1393"/>
      <c r="W2" s="1393"/>
      <c r="X2" s="1393"/>
      <c r="Y2" s="1393"/>
      <c r="Z2" s="1393"/>
      <c r="AA2" s="1393"/>
      <c r="AB2" s="1393"/>
      <c r="AC2" s="1393"/>
      <c r="AD2" s="1393"/>
    </row>
    <row r="3" spans="1:30">
      <c r="A3" s="1393" t="s">
        <v>910</v>
      </c>
      <c r="B3" s="1393"/>
      <c r="C3" s="1393"/>
      <c r="D3" s="1393"/>
      <c r="E3" s="1393"/>
      <c r="F3" s="1393"/>
      <c r="G3" s="1393"/>
      <c r="H3" s="1393"/>
      <c r="I3" s="1393"/>
      <c r="J3" s="1393"/>
      <c r="K3" s="1393"/>
      <c r="L3" s="1393"/>
      <c r="M3" s="1393"/>
      <c r="N3" s="1393"/>
      <c r="O3" s="1393"/>
      <c r="P3" s="1393"/>
      <c r="Q3" s="1393"/>
      <c r="R3" s="1393"/>
      <c r="S3" s="1393"/>
      <c r="T3" s="1393"/>
      <c r="U3" s="1393"/>
      <c r="V3" s="1393"/>
      <c r="W3" s="1393"/>
      <c r="X3" s="1393"/>
      <c r="Y3" s="1393"/>
      <c r="Z3" s="1393"/>
      <c r="AA3" s="1393"/>
      <c r="AB3" s="1393"/>
      <c r="AC3" s="1393"/>
      <c r="AD3" s="1393"/>
    </row>
    <row r="4" spans="1:30">
      <c r="A4" s="1393" t="str">
        <f>+'42'!A4:AD4</f>
        <v>2012 - 2015</v>
      </c>
      <c r="B4" s="1393"/>
      <c r="C4" s="1393"/>
      <c r="D4" s="1393"/>
      <c r="E4" s="1393"/>
      <c r="F4" s="1393"/>
      <c r="G4" s="1393"/>
      <c r="H4" s="1393"/>
      <c r="I4" s="1393"/>
      <c r="J4" s="1393"/>
      <c r="K4" s="1393"/>
      <c r="L4" s="1393"/>
      <c r="M4" s="1393"/>
      <c r="N4" s="1393"/>
      <c r="O4" s="1393"/>
      <c r="P4" s="1393"/>
      <c r="Q4" s="1393"/>
      <c r="R4" s="1393"/>
      <c r="S4" s="1393"/>
      <c r="T4" s="1393"/>
      <c r="U4" s="1393"/>
      <c r="V4" s="1393"/>
      <c r="W4" s="1393"/>
      <c r="X4" s="1393"/>
      <c r="Y4" s="1393"/>
      <c r="Z4" s="1393"/>
      <c r="AA4" s="1393"/>
      <c r="AB4" s="1393"/>
      <c r="AC4" s="1393"/>
      <c r="AD4" s="1393"/>
    </row>
    <row r="7" spans="1:30" s="507" customFormat="1" ht="22.5" customHeight="1">
      <c r="A7" s="505" t="s">
        <v>554</v>
      </c>
      <c r="B7" s="506" t="s">
        <v>866</v>
      </c>
      <c r="C7" s="1388" t="s">
        <v>956</v>
      </c>
      <c r="D7" s="1389"/>
      <c r="E7" s="1389"/>
      <c r="F7" s="1390"/>
      <c r="G7" s="1388" t="s">
        <v>957</v>
      </c>
      <c r="H7" s="1389"/>
      <c r="I7" s="1389"/>
      <c r="J7" s="1390"/>
      <c r="K7" s="1389" t="s">
        <v>958</v>
      </c>
      <c r="L7" s="1389"/>
      <c r="M7" s="1389"/>
      <c r="N7" s="1389"/>
      <c r="O7" s="1388" t="s">
        <v>959</v>
      </c>
      <c r="P7" s="1389"/>
      <c r="Q7" s="1389"/>
      <c r="R7" s="1390"/>
      <c r="S7" s="1389" t="s">
        <v>960</v>
      </c>
      <c r="T7" s="1389"/>
      <c r="U7" s="1389"/>
      <c r="V7" s="1389"/>
      <c r="W7" s="1388" t="s">
        <v>961</v>
      </c>
      <c r="X7" s="1389"/>
      <c r="Y7" s="1389"/>
      <c r="Z7" s="1390"/>
      <c r="AA7" s="1388" t="s">
        <v>656</v>
      </c>
      <c r="AB7" s="1389"/>
      <c r="AC7" s="1389"/>
      <c r="AD7" s="1390"/>
    </row>
    <row r="8" spans="1:30" s="507" customFormat="1" ht="22.5" customHeight="1">
      <c r="A8" s="487"/>
      <c r="B8" s="487"/>
      <c r="C8" s="488">
        <f>+'41'!C8</f>
        <v>2012</v>
      </c>
      <c r="D8" s="489">
        <f>+'41'!D8</f>
        <v>2013</v>
      </c>
      <c r="E8" s="489">
        <f>+'41'!E8</f>
        <v>2014</v>
      </c>
      <c r="F8" s="490">
        <f>+'41'!F8</f>
        <v>2015</v>
      </c>
      <c r="G8" s="489">
        <f>+'41'!G8</f>
        <v>2012</v>
      </c>
      <c r="H8" s="489">
        <f>+'41'!H8</f>
        <v>2013</v>
      </c>
      <c r="I8" s="489">
        <f>+'41'!I8</f>
        <v>2014</v>
      </c>
      <c r="J8" s="489">
        <f>+'41'!J8</f>
        <v>2015</v>
      </c>
      <c r="K8" s="488">
        <f>+'41'!K8</f>
        <v>2012</v>
      </c>
      <c r="L8" s="489">
        <f>+'41'!L8</f>
        <v>2013</v>
      </c>
      <c r="M8" s="489">
        <f>+'41'!M8</f>
        <v>2014</v>
      </c>
      <c r="N8" s="490">
        <f>+'41'!N8</f>
        <v>2015</v>
      </c>
      <c r="O8" s="489">
        <f>+'41'!O8</f>
        <v>2012</v>
      </c>
      <c r="P8" s="489">
        <f>+'41'!P8</f>
        <v>2013</v>
      </c>
      <c r="Q8" s="489">
        <f>+'41'!Q8</f>
        <v>2014</v>
      </c>
      <c r="R8" s="489">
        <f>+'41'!R8</f>
        <v>2015</v>
      </c>
      <c r="S8" s="488">
        <f>+'41'!S8</f>
        <v>2012</v>
      </c>
      <c r="T8" s="489">
        <f>+'41'!T8</f>
        <v>2013</v>
      </c>
      <c r="U8" s="489">
        <f>+'41'!U8</f>
        <v>2014</v>
      </c>
      <c r="V8" s="490">
        <f>+'41'!V8</f>
        <v>2015</v>
      </c>
      <c r="W8" s="489">
        <f>+'41'!W8</f>
        <v>2012</v>
      </c>
      <c r="X8" s="489">
        <f>+'41'!X8</f>
        <v>2013</v>
      </c>
      <c r="Y8" s="489">
        <f>+'41'!Y8</f>
        <v>2014</v>
      </c>
      <c r="Z8" s="490">
        <f>+'41'!Z8</f>
        <v>2015</v>
      </c>
      <c r="AA8" s="488">
        <f>+'41'!AA8</f>
        <v>2012</v>
      </c>
      <c r="AB8" s="489">
        <f>+'41'!AB8</f>
        <v>2013</v>
      </c>
      <c r="AC8" s="489">
        <f>+'41'!AC8</f>
        <v>2014</v>
      </c>
      <c r="AD8" s="490">
        <f>+'41'!AD8</f>
        <v>2015</v>
      </c>
    </row>
    <row r="9" spans="1:30" s="507" customFormat="1" ht="22.5" customHeight="1">
      <c r="A9" s="505" t="s">
        <v>962</v>
      </c>
      <c r="B9" s="299" t="s">
        <v>1480</v>
      </c>
      <c r="C9" s="370">
        <v>0</v>
      </c>
      <c r="D9" s="370"/>
      <c r="E9" s="370"/>
      <c r="F9" s="492"/>
      <c r="G9" s="370"/>
      <c r="H9" s="370"/>
      <c r="I9" s="370"/>
      <c r="J9" s="492"/>
      <c r="K9" s="370">
        <v>7899</v>
      </c>
      <c r="L9" s="370">
        <v>6409</v>
      </c>
      <c r="M9" s="370">
        <v>7036</v>
      </c>
      <c r="N9" s="492">
        <v>7224</v>
      </c>
      <c r="O9" s="370"/>
      <c r="P9" s="370"/>
      <c r="Q9" s="370"/>
      <c r="R9" s="492"/>
      <c r="S9" s="370"/>
      <c r="T9" s="370"/>
      <c r="U9" s="370"/>
      <c r="V9" s="492"/>
      <c r="W9" s="370"/>
      <c r="X9" s="370"/>
      <c r="Y9" s="370"/>
      <c r="Z9" s="492"/>
      <c r="AA9" s="370">
        <f t="shared" ref="AA9:AD12" si="0">+W9+S9+O9+K9+G9+C9</f>
        <v>7899</v>
      </c>
      <c r="AB9" s="370">
        <f t="shared" si="0"/>
        <v>6409</v>
      </c>
      <c r="AC9" s="370">
        <f t="shared" si="0"/>
        <v>7036</v>
      </c>
      <c r="AD9" s="492">
        <f t="shared" si="0"/>
        <v>7224</v>
      </c>
    </row>
    <row r="10" spans="1:30" s="507" customFormat="1" ht="22.5" customHeight="1">
      <c r="A10" s="491"/>
      <c r="B10" s="299" t="s">
        <v>1481</v>
      </c>
      <c r="C10" s="370">
        <v>50</v>
      </c>
      <c r="D10" s="370">
        <v>0</v>
      </c>
      <c r="E10" s="370"/>
      <c r="F10" s="492"/>
      <c r="G10" s="370"/>
      <c r="H10" s="370"/>
      <c r="I10" s="370"/>
      <c r="J10" s="492"/>
      <c r="K10" s="370">
        <v>7471</v>
      </c>
      <c r="L10" s="370">
        <v>7381</v>
      </c>
      <c r="M10" s="370">
        <v>7633</v>
      </c>
      <c r="N10" s="492">
        <v>7082</v>
      </c>
      <c r="O10" s="370"/>
      <c r="P10" s="370"/>
      <c r="Q10" s="370"/>
      <c r="R10" s="492"/>
      <c r="S10" s="370"/>
      <c r="T10" s="370"/>
      <c r="U10" s="370"/>
      <c r="V10" s="492"/>
      <c r="W10" s="370"/>
      <c r="X10" s="370"/>
      <c r="Y10" s="370"/>
      <c r="Z10" s="492"/>
      <c r="AA10" s="370">
        <f t="shared" si="0"/>
        <v>7521</v>
      </c>
      <c r="AB10" s="370">
        <f t="shared" si="0"/>
        <v>7381</v>
      </c>
      <c r="AC10" s="370">
        <f t="shared" si="0"/>
        <v>7633</v>
      </c>
      <c r="AD10" s="492">
        <f t="shared" si="0"/>
        <v>7082</v>
      </c>
    </row>
    <row r="11" spans="1:30" s="507" customFormat="1" ht="22.5" customHeight="1">
      <c r="A11" s="491"/>
      <c r="B11" s="343" t="s">
        <v>829</v>
      </c>
      <c r="C11" s="370">
        <v>0</v>
      </c>
      <c r="D11" s="370">
        <v>5</v>
      </c>
      <c r="E11" s="370"/>
      <c r="F11" s="492"/>
      <c r="G11" s="370"/>
      <c r="H11" s="370"/>
      <c r="I11" s="370"/>
      <c r="J11" s="492"/>
      <c r="K11" s="370">
        <v>1348</v>
      </c>
      <c r="L11" s="370">
        <v>1086</v>
      </c>
      <c r="M11" s="370">
        <v>1085</v>
      </c>
      <c r="N11" s="492">
        <v>993</v>
      </c>
      <c r="O11" s="370"/>
      <c r="P11" s="370"/>
      <c r="Q11" s="370"/>
      <c r="R11" s="492"/>
      <c r="S11" s="370"/>
      <c r="T11" s="370"/>
      <c r="U11" s="370"/>
      <c r="V11" s="492"/>
      <c r="W11" s="370"/>
      <c r="X11" s="370"/>
      <c r="Y11" s="370"/>
      <c r="Z11" s="492"/>
      <c r="AA11" s="370">
        <f t="shared" si="0"/>
        <v>1348</v>
      </c>
      <c r="AB11" s="370">
        <f t="shared" si="0"/>
        <v>1091</v>
      </c>
      <c r="AC11" s="370">
        <f t="shared" si="0"/>
        <v>1085</v>
      </c>
      <c r="AD11" s="492">
        <f t="shared" si="0"/>
        <v>993</v>
      </c>
    </row>
    <row r="12" spans="1:30" s="507" customFormat="1" ht="22.5" customHeight="1">
      <c r="A12" s="491"/>
      <c r="B12" s="299" t="s">
        <v>1282</v>
      </c>
      <c r="C12" s="370">
        <v>14</v>
      </c>
      <c r="D12" s="370">
        <v>4</v>
      </c>
      <c r="E12" s="370"/>
      <c r="F12" s="492"/>
      <c r="G12" s="370"/>
      <c r="H12" s="370"/>
      <c r="I12" s="370"/>
      <c r="J12" s="492"/>
      <c r="K12" s="370">
        <v>267</v>
      </c>
      <c r="L12" s="370">
        <v>311</v>
      </c>
      <c r="M12" s="370">
        <v>288</v>
      </c>
      <c r="N12" s="492">
        <v>253</v>
      </c>
      <c r="O12" s="370"/>
      <c r="P12" s="370"/>
      <c r="Q12" s="370"/>
      <c r="R12" s="492"/>
      <c r="S12" s="370"/>
      <c r="T12" s="370"/>
      <c r="U12" s="370"/>
      <c r="V12" s="492"/>
      <c r="W12" s="370"/>
      <c r="X12" s="370"/>
      <c r="Y12" s="370"/>
      <c r="Z12" s="492"/>
      <c r="AA12" s="370">
        <f t="shared" si="0"/>
        <v>281</v>
      </c>
      <c r="AB12" s="370">
        <f t="shared" si="0"/>
        <v>315</v>
      </c>
      <c r="AC12" s="370">
        <f t="shared" si="0"/>
        <v>288</v>
      </c>
      <c r="AD12" s="492">
        <f>+Z12+V12+R12+N12+J12+F12</f>
        <v>253</v>
      </c>
    </row>
    <row r="13" spans="1:30" s="507" customFormat="1" ht="22.5" customHeight="1">
      <c r="A13" s="491"/>
      <c r="B13" s="343" t="s">
        <v>644</v>
      </c>
      <c r="C13" s="370">
        <f t="shared" ref="C13" si="1">SUM(C9:C12)</f>
        <v>64</v>
      </c>
      <c r="D13" s="370">
        <f>SUM(D9:D12)</f>
        <v>9</v>
      </c>
      <c r="E13" s="370">
        <f>SUM(E9:E12)</f>
        <v>0</v>
      </c>
      <c r="F13" s="492">
        <f>SUM(F9:F12)</f>
        <v>0</v>
      </c>
      <c r="G13" s="369">
        <f t="shared" ref="G13" si="2">SUM(G9:G12)</f>
        <v>0</v>
      </c>
      <c r="H13" s="370">
        <f t="shared" ref="H13:M13" si="3">SUM(H9:H12)</f>
        <v>0</v>
      </c>
      <c r="I13" s="370">
        <f t="shared" si="3"/>
        <v>0</v>
      </c>
      <c r="J13" s="492">
        <f t="shared" si="3"/>
        <v>0</v>
      </c>
      <c r="K13" s="370">
        <f t="shared" si="3"/>
        <v>16985</v>
      </c>
      <c r="L13" s="370">
        <f t="shared" si="3"/>
        <v>15187</v>
      </c>
      <c r="M13" s="370">
        <f t="shared" si="3"/>
        <v>16042</v>
      </c>
      <c r="N13" s="492">
        <f t="shared" ref="N13" si="4">SUM(N9:N12)</f>
        <v>15552</v>
      </c>
      <c r="O13" s="369">
        <f t="shared" ref="O13" si="5">SUM(O9:O12)</f>
        <v>0</v>
      </c>
      <c r="P13" s="370">
        <f t="shared" ref="P13:R13" si="6">SUM(P9:P12)</f>
        <v>0</v>
      </c>
      <c r="Q13" s="370">
        <f t="shared" si="6"/>
        <v>0</v>
      </c>
      <c r="R13" s="492">
        <f t="shared" si="6"/>
        <v>0</v>
      </c>
      <c r="S13" s="369">
        <f t="shared" ref="S13" si="7">SUM(S9:S12)</f>
        <v>0</v>
      </c>
      <c r="T13" s="370">
        <f t="shared" ref="T13:V13" si="8">SUM(T9:T12)</f>
        <v>0</v>
      </c>
      <c r="U13" s="370">
        <f t="shared" si="8"/>
        <v>0</v>
      </c>
      <c r="V13" s="492">
        <f t="shared" si="8"/>
        <v>0</v>
      </c>
      <c r="W13" s="369">
        <f t="shared" ref="W13" si="9">SUM(W9:W12)</f>
        <v>0</v>
      </c>
      <c r="X13" s="370">
        <f t="shared" ref="X13:Z13" si="10">SUM(X9:X12)</f>
        <v>0</v>
      </c>
      <c r="Y13" s="370">
        <f t="shared" si="10"/>
        <v>0</v>
      </c>
      <c r="Z13" s="492">
        <f t="shared" si="10"/>
        <v>0</v>
      </c>
      <c r="AA13" s="369">
        <f t="shared" ref="AA13" si="11">SUM(AA9:AA12)</f>
        <v>17049</v>
      </c>
      <c r="AB13" s="370">
        <f t="shared" ref="AB13:AD13" si="12">SUM(AB9:AB12)</f>
        <v>15196</v>
      </c>
      <c r="AC13" s="370">
        <f t="shared" si="12"/>
        <v>16042</v>
      </c>
      <c r="AD13" s="492">
        <f t="shared" si="12"/>
        <v>15552</v>
      </c>
    </row>
    <row r="14" spans="1:30" s="507" customFormat="1" ht="22.5" customHeight="1">
      <c r="A14" s="491" t="s">
        <v>540</v>
      </c>
      <c r="B14" s="343" t="s">
        <v>830</v>
      </c>
      <c r="C14" s="370">
        <v>12</v>
      </c>
      <c r="D14" s="370"/>
      <c r="E14" s="370"/>
      <c r="F14" s="492"/>
      <c r="G14" s="370"/>
      <c r="H14" s="370"/>
      <c r="I14" s="370"/>
      <c r="J14" s="492"/>
      <c r="K14" s="370">
        <v>3635</v>
      </c>
      <c r="L14" s="370">
        <v>3643</v>
      </c>
      <c r="M14" s="370">
        <v>3867</v>
      </c>
      <c r="N14" s="492">
        <v>3387</v>
      </c>
      <c r="O14" s="370"/>
      <c r="P14" s="370"/>
      <c r="Q14" s="370"/>
      <c r="R14" s="492"/>
      <c r="S14" s="370"/>
      <c r="T14" s="370"/>
      <c r="U14" s="370"/>
      <c r="V14" s="492"/>
      <c r="W14" s="370"/>
      <c r="X14" s="370"/>
      <c r="Y14" s="370"/>
      <c r="Z14" s="492"/>
      <c r="AA14" s="370">
        <f>+W14+S14+O14+K14+G14+C14</f>
        <v>3647</v>
      </c>
      <c r="AB14" s="370">
        <f>+X14+T14+P14+L14+H14+D14</f>
        <v>3643</v>
      </c>
      <c r="AC14" s="370">
        <f>+Y14+U14+Q14+M14+I14+E14</f>
        <v>3867</v>
      </c>
      <c r="AD14" s="492">
        <f>+Z14+V14+R14+N14+J14+F14</f>
        <v>3387</v>
      </c>
    </row>
    <row r="15" spans="1:30" s="507" customFormat="1" ht="22.5" customHeight="1">
      <c r="A15" s="491"/>
      <c r="B15" s="299" t="s">
        <v>1287</v>
      </c>
      <c r="C15" s="370"/>
      <c r="D15" s="370"/>
      <c r="E15" s="370"/>
      <c r="F15" s="492"/>
      <c r="G15" s="370"/>
      <c r="H15" s="370"/>
      <c r="I15" s="370"/>
      <c r="J15" s="492"/>
      <c r="K15" s="370">
        <v>1348</v>
      </c>
      <c r="L15" s="370">
        <v>736</v>
      </c>
      <c r="M15" s="370">
        <v>606</v>
      </c>
      <c r="N15" s="492">
        <v>584</v>
      </c>
      <c r="O15" s="370"/>
      <c r="P15" s="370"/>
      <c r="Q15" s="370"/>
      <c r="R15" s="492"/>
      <c r="S15" s="370"/>
      <c r="T15" s="370"/>
      <c r="U15" s="370"/>
      <c r="V15" s="492"/>
      <c r="W15" s="370"/>
      <c r="X15" s="370"/>
      <c r="Y15" s="370"/>
      <c r="Z15" s="492"/>
      <c r="AA15" s="370">
        <f t="shared" ref="AA15:AD16" si="13">+W15+S15+O15+K15+G15+C15</f>
        <v>1348</v>
      </c>
      <c r="AB15" s="370">
        <f t="shared" si="13"/>
        <v>736</v>
      </c>
      <c r="AC15" s="370">
        <f t="shared" si="13"/>
        <v>606</v>
      </c>
      <c r="AD15" s="492">
        <f t="shared" si="13"/>
        <v>584</v>
      </c>
    </row>
    <row r="16" spans="1:30" s="507" customFormat="1" ht="22.5" customHeight="1">
      <c r="A16" s="491"/>
      <c r="B16" s="299" t="s">
        <v>1284</v>
      </c>
      <c r="C16" s="370">
        <v>5</v>
      </c>
      <c r="D16" s="370"/>
      <c r="E16" s="370"/>
      <c r="F16" s="492"/>
      <c r="G16" s="370"/>
      <c r="H16" s="370"/>
      <c r="I16" s="370"/>
      <c r="J16" s="492"/>
      <c r="K16" s="370">
        <v>589</v>
      </c>
      <c r="L16" s="370">
        <v>482</v>
      </c>
      <c r="M16" s="370">
        <v>419</v>
      </c>
      <c r="N16" s="492">
        <v>459</v>
      </c>
      <c r="O16" s="370"/>
      <c r="P16" s="370"/>
      <c r="Q16" s="370"/>
      <c r="R16" s="492"/>
      <c r="S16" s="370"/>
      <c r="T16" s="370"/>
      <c r="U16" s="370"/>
      <c r="V16" s="492"/>
      <c r="W16" s="370"/>
      <c r="X16" s="370"/>
      <c r="Y16" s="370"/>
      <c r="Z16" s="492"/>
      <c r="AA16" s="370">
        <f t="shared" si="13"/>
        <v>594</v>
      </c>
      <c r="AB16" s="370">
        <f t="shared" si="13"/>
        <v>482</v>
      </c>
      <c r="AC16" s="370">
        <f t="shared" si="13"/>
        <v>419</v>
      </c>
      <c r="AD16" s="492">
        <f t="shared" si="13"/>
        <v>459</v>
      </c>
    </row>
    <row r="17" spans="1:30" s="507" customFormat="1" ht="22.5" customHeight="1">
      <c r="A17" s="491"/>
      <c r="B17" s="343" t="s">
        <v>644</v>
      </c>
      <c r="C17" s="370">
        <f t="shared" ref="C17" si="14">SUM(C14:C16)</f>
        <v>17</v>
      </c>
      <c r="D17" s="370">
        <f>SUM(D14:D16)</f>
        <v>0</v>
      </c>
      <c r="E17" s="370">
        <f>SUM(E14:E16)</f>
        <v>0</v>
      </c>
      <c r="F17" s="492">
        <f>SUM(F14:F16)</f>
        <v>0</v>
      </c>
      <c r="G17" s="369">
        <f t="shared" ref="G17" si="15">SUM(G14:G16)</f>
        <v>0</v>
      </c>
      <c r="H17" s="370">
        <f t="shared" ref="H17:M17" si="16">SUM(H14:H16)</f>
        <v>0</v>
      </c>
      <c r="I17" s="370">
        <f t="shared" si="16"/>
        <v>0</v>
      </c>
      <c r="J17" s="492">
        <f t="shared" si="16"/>
        <v>0</v>
      </c>
      <c r="K17" s="370">
        <f t="shared" si="16"/>
        <v>5572</v>
      </c>
      <c r="L17" s="370">
        <f t="shared" si="16"/>
        <v>4861</v>
      </c>
      <c r="M17" s="370">
        <f t="shared" si="16"/>
        <v>4892</v>
      </c>
      <c r="N17" s="492">
        <f t="shared" ref="N17" si="17">SUM(N14:N16)</f>
        <v>4430</v>
      </c>
      <c r="O17" s="369">
        <f t="shared" ref="O17" si="18">SUM(O14:O16)</f>
        <v>0</v>
      </c>
      <c r="P17" s="370">
        <f t="shared" ref="P17:R17" si="19">SUM(P14:P16)</f>
        <v>0</v>
      </c>
      <c r="Q17" s="370">
        <f t="shared" si="19"/>
        <v>0</v>
      </c>
      <c r="R17" s="492">
        <f t="shared" si="19"/>
        <v>0</v>
      </c>
      <c r="S17" s="369">
        <f t="shared" ref="S17" si="20">SUM(S14:S16)</f>
        <v>0</v>
      </c>
      <c r="T17" s="370">
        <f t="shared" ref="T17:V17" si="21">SUM(T14:T16)</f>
        <v>0</v>
      </c>
      <c r="U17" s="370">
        <f t="shared" si="21"/>
        <v>0</v>
      </c>
      <c r="V17" s="492">
        <f t="shared" si="21"/>
        <v>0</v>
      </c>
      <c r="W17" s="369">
        <f t="shared" ref="W17" si="22">SUM(W14:W16)</f>
        <v>0</v>
      </c>
      <c r="X17" s="370">
        <f t="shared" ref="X17:Z17" si="23">SUM(X14:X16)</f>
        <v>0</v>
      </c>
      <c r="Y17" s="370">
        <f t="shared" si="23"/>
        <v>0</v>
      </c>
      <c r="Z17" s="492">
        <f t="shared" si="23"/>
        <v>0</v>
      </c>
      <c r="AA17" s="369">
        <f t="shared" ref="AA17" si="24">SUM(AA14:AA16)</f>
        <v>5589</v>
      </c>
      <c r="AB17" s="370">
        <f t="shared" ref="AB17:AD17" si="25">SUM(AB14:AB16)</f>
        <v>4861</v>
      </c>
      <c r="AC17" s="370">
        <f t="shared" si="25"/>
        <v>4892</v>
      </c>
      <c r="AD17" s="492">
        <f t="shared" si="25"/>
        <v>4430</v>
      </c>
    </row>
    <row r="18" spans="1:30" s="507" customFormat="1" ht="22.5" customHeight="1">
      <c r="A18" s="491" t="s">
        <v>963</v>
      </c>
      <c r="B18" s="343" t="s">
        <v>832</v>
      </c>
      <c r="C18" s="370">
        <v>0</v>
      </c>
      <c r="D18" s="370">
        <v>1</v>
      </c>
      <c r="E18" s="370">
        <v>30</v>
      </c>
      <c r="F18" s="492">
        <v>8</v>
      </c>
      <c r="G18" s="370"/>
      <c r="H18" s="370"/>
      <c r="I18" s="370"/>
      <c r="J18" s="492"/>
      <c r="K18" s="370">
        <v>3287</v>
      </c>
      <c r="L18" s="370">
        <v>2999</v>
      </c>
      <c r="M18" s="370">
        <v>3139</v>
      </c>
      <c r="N18" s="492">
        <v>3852</v>
      </c>
      <c r="O18" s="370"/>
      <c r="P18" s="370"/>
      <c r="Q18" s="370"/>
      <c r="R18" s="492"/>
      <c r="S18" s="370"/>
      <c r="T18" s="370"/>
      <c r="U18" s="370"/>
      <c r="V18" s="492"/>
      <c r="W18" s="370"/>
      <c r="X18" s="370"/>
      <c r="Y18" s="370"/>
      <c r="Z18" s="492"/>
      <c r="AA18" s="370">
        <f t="shared" ref="AA18:AD19" si="26">+W18+S18+O18+K18+G18+C18</f>
        <v>3287</v>
      </c>
      <c r="AB18" s="370">
        <f t="shared" si="26"/>
        <v>3000</v>
      </c>
      <c r="AC18" s="370">
        <f t="shared" si="26"/>
        <v>3169</v>
      </c>
      <c r="AD18" s="492">
        <f t="shared" si="26"/>
        <v>3860</v>
      </c>
    </row>
    <row r="19" spans="1:30" s="507" customFormat="1" ht="22.5" customHeight="1">
      <c r="A19" s="491"/>
      <c r="B19" s="299" t="s">
        <v>1286</v>
      </c>
      <c r="C19" s="370"/>
      <c r="D19" s="370"/>
      <c r="E19" s="370"/>
      <c r="F19" s="492"/>
      <c r="G19" s="370"/>
      <c r="H19" s="370"/>
      <c r="I19" s="370"/>
      <c r="J19" s="492"/>
      <c r="K19" s="370">
        <v>322</v>
      </c>
      <c r="L19" s="370">
        <v>310</v>
      </c>
      <c r="M19" s="370">
        <v>320</v>
      </c>
      <c r="N19" s="492">
        <v>321</v>
      </c>
      <c r="O19" s="370"/>
      <c r="P19" s="370"/>
      <c r="Q19" s="370"/>
      <c r="R19" s="492"/>
      <c r="S19" s="370"/>
      <c r="T19" s="370"/>
      <c r="U19" s="370"/>
      <c r="V19" s="492"/>
      <c r="W19" s="370"/>
      <c r="X19" s="370"/>
      <c r="Y19" s="370"/>
      <c r="Z19" s="492"/>
      <c r="AA19" s="370">
        <f t="shared" si="26"/>
        <v>322</v>
      </c>
      <c r="AB19" s="370">
        <f t="shared" si="26"/>
        <v>310</v>
      </c>
      <c r="AC19" s="370">
        <f t="shared" si="26"/>
        <v>320</v>
      </c>
      <c r="AD19" s="492">
        <f t="shared" si="26"/>
        <v>321</v>
      </c>
    </row>
    <row r="20" spans="1:30" s="507" customFormat="1" ht="22.5" customHeight="1">
      <c r="A20" s="491"/>
      <c r="B20" s="343" t="s">
        <v>644</v>
      </c>
      <c r="C20" s="370">
        <f t="shared" ref="C20" si="27">SUM(C18:C19)</f>
        <v>0</v>
      </c>
      <c r="D20" s="370">
        <f>SUM(D18:D19)</f>
        <v>1</v>
      </c>
      <c r="E20" s="370">
        <f>SUM(E18:E19)</f>
        <v>30</v>
      </c>
      <c r="F20" s="492">
        <f>SUM(F18:F19)</f>
        <v>8</v>
      </c>
      <c r="G20" s="369">
        <f t="shared" ref="G20" si="28">SUM(G18:G19)</f>
        <v>0</v>
      </c>
      <c r="H20" s="370">
        <f t="shared" ref="H20:M20" si="29">SUM(H18:H19)</f>
        <v>0</v>
      </c>
      <c r="I20" s="370">
        <f t="shared" si="29"/>
        <v>0</v>
      </c>
      <c r="J20" s="492">
        <f t="shared" si="29"/>
        <v>0</v>
      </c>
      <c r="K20" s="370">
        <f t="shared" si="29"/>
        <v>3609</v>
      </c>
      <c r="L20" s="370">
        <f t="shared" si="29"/>
        <v>3309</v>
      </c>
      <c r="M20" s="370">
        <f t="shared" si="29"/>
        <v>3459</v>
      </c>
      <c r="N20" s="492">
        <f t="shared" ref="N20" si="30">SUM(N18:N19)</f>
        <v>4173</v>
      </c>
      <c r="O20" s="369">
        <f t="shared" ref="O20" si="31">SUM(O18:O19)</f>
        <v>0</v>
      </c>
      <c r="P20" s="370">
        <f t="shared" ref="P20:R20" si="32">SUM(P18:P19)</f>
        <v>0</v>
      </c>
      <c r="Q20" s="370">
        <f t="shared" si="32"/>
        <v>0</v>
      </c>
      <c r="R20" s="492">
        <f t="shared" si="32"/>
        <v>0</v>
      </c>
      <c r="S20" s="369">
        <f t="shared" ref="S20" si="33">SUM(S18:S19)</f>
        <v>0</v>
      </c>
      <c r="T20" s="370">
        <f t="shared" ref="T20:V20" si="34">SUM(T18:T19)</f>
        <v>0</v>
      </c>
      <c r="U20" s="370">
        <f t="shared" si="34"/>
        <v>0</v>
      </c>
      <c r="V20" s="492">
        <f t="shared" si="34"/>
        <v>0</v>
      </c>
      <c r="W20" s="369">
        <f t="shared" ref="W20" si="35">SUM(W18:W19)</f>
        <v>0</v>
      </c>
      <c r="X20" s="370">
        <f t="shared" ref="X20:Z20" si="36">SUM(X18:X19)</f>
        <v>0</v>
      </c>
      <c r="Y20" s="370">
        <f t="shared" si="36"/>
        <v>0</v>
      </c>
      <c r="Z20" s="492">
        <f t="shared" si="36"/>
        <v>0</v>
      </c>
      <c r="AA20" s="369">
        <f t="shared" ref="AA20" si="37">SUM(AA18:AA19)</f>
        <v>3609</v>
      </c>
      <c r="AB20" s="370">
        <f t="shared" ref="AB20:AD20" si="38">SUM(AB18:AB19)</f>
        <v>3310</v>
      </c>
      <c r="AC20" s="370">
        <f t="shared" si="38"/>
        <v>3489</v>
      </c>
      <c r="AD20" s="492">
        <f t="shared" si="38"/>
        <v>4181</v>
      </c>
    </row>
    <row r="21" spans="1:30" s="507" customFormat="1" ht="22.5" customHeight="1">
      <c r="A21" s="491" t="s">
        <v>542</v>
      </c>
      <c r="B21" s="343" t="s">
        <v>833</v>
      </c>
      <c r="C21" s="370">
        <v>122</v>
      </c>
      <c r="D21" s="370">
        <v>378</v>
      </c>
      <c r="E21" s="370">
        <v>103</v>
      </c>
      <c r="F21" s="492">
        <v>117</v>
      </c>
      <c r="G21" s="370"/>
      <c r="H21" s="370"/>
      <c r="I21" s="370"/>
      <c r="J21" s="492"/>
      <c r="K21" s="370">
        <v>3714</v>
      </c>
      <c r="L21" s="370">
        <v>4174</v>
      </c>
      <c r="M21" s="370">
        <v>3765</v>
      </c>
      <c r="N21" s="492">
        <v>4151</v>
      </c>
      <c r="O21" s="370"/>
      <c r="P21" s="370"/>
      <c r="Q21" s="370"/>
      <c r="R21" s="492"/>
      <c r="S21" s="370"/>
      <c r="T21" s="370"/>
      <c r="U21" s="370"/>
      <c r="V21" s="492"/>
      <c r="W21" s="370"/>
      <c r="X21" s="370"/>
      <c r="Y21" s="370"/>
      <c r="Z21" s="492"/>
      <c r="AA21" s="370">
        <f>+W21+S21+O21+K21+G21+C21</f>
        <v>3836</v>
      </c>
      <c r="AB21" s="370">
        <f>+X21+T21+P21+L21+H21+D21</f>
        <v>4552</v>
      </c>
      <c r="AC21" s="370">
        <f>+Y21+U21+Q21+M21+I21+E21</f>
        <v>3868</v>
      </c>
      <c r="AD21" s="492">
        <f>+Z21+V21+R21+N21+J21+F21</f>
        <v>4268</v>
      </c>
    </row>
    <row r="22" spans="1:30" s="507" customFormat="1" ht="22.5" customHeight="1">
      <c r="A22" s="501" t="s">
        <v>964</v>
      </c>
      <c r="B22" s="1044"/>
      <c r="C22" s="499">
        <f t="shared" ref="C22" si="39">+C13+C17+C20+C21</f>
        <v>203</v>
      </c>
      <c r="D22" s="499">
        <f>+D13+D17+D20+D21</f>
        <v>388</v>
      </c>
      <c r="E22" s="499">
        <f>+E13+E17+E20+E21</f>
        <v>133</v>
      </c>
      <c r="F22" s="500">
        <f>+F13+F17+F20+F21</f>
        <v>125</v>
      </c>
      <c r="G22" s="499">
        <f t="shared" ref="G22" si="40">+G13+G17+G20+G21</f>
        <v>0</v>
      </c>
      <c r="H22" s="499">
        <f t="shared" ref="H22:M22" si="41">+H13+H17+H20+H21</f>
        <v>0</v>
      </c>
      <c r="I22" s="499">
        <f t="shared" si="41"/>
        <v>0</v>
      </c>
      <c r="J22" s="500">
        <f t="shared" si="41"/>
        <v>0</v>
      </c>
      <c r="K22" s="499">
        <f t="shared" si="41"/>
        <v>29880</v>
      </c>
      <c r="L22" s="499">
        <f t="shared" si="41"/>
        <v>27531</v>
      </c>
      <c r="M22" s="499">
        <f t="shared" si="41"/>
        <v>28158</v>
      </c>
      <c r="N22" s="500">
        <f t="shared" ref="N22" si="42">+N13+N17+N20+N21</f>
        <v>28306</v>
      </c>
      <c r="O22" s="499">
        <f t="shared" ref="O22" si="43">+O13+O17+O20+O21</f>
        <v>0</v>
      </c>
      <c r="P22" s="499">
        <f t="shared" ref="P22:R22" si="44">+P13+P17+P20+P21</f>
        <v>0</v>
      </c>
      <c r="Q22" s="499">
        <f t="shared" si="44"/>
        <v>0</v>
      </c>
      <c r="R22" s="500">
        <f t="shared" si="44"/>
        <v>0</v>
      </c>
      <c r="S22" s="499">
        <f t="shared" ref="S22" si="45">+S13+S17+S20+S21</f>
        <v>0</v>
      </c>
      <c r="T22" s="499">
        <f t="shared" ref="T22:V22" si="46">+T13+T17+T20+T21</f>
        <v>0</v>
      </c>
      <c r="U22" s="499">
        <f t="shared" si="46"/>
        <v>0</v>
      </c>
      <c r="V22" s="500">
        <f t="shared" si="46"/>
        <v>0</v>
      </c>
      <c r="W22" s="499">
        <f t="shared" ref="W22" si="47">+W13+W17+W20+W21</f>
        <v>0</v>
      </c>
      <c r="X22" s="499">
        <f t="shared" ref="X22:Z22" si="48">+X13+X17+X20+X21</f>
        <v>0</v>
      </c>
      <c r="Y22" s="499">
        <f t="shared" si="48"/>
        <v>0</v>
      </c>
      <c r="Z22" s="500">
        <f t="shared" si="48"/>
        <v>0</v>
      </c>
      <c r="AA22" s="499">
        <f t="shared" ref="AA22" si="49">+AA13+AA17+AA20+AA21</f>
        <v>30083</v>
      </c>
      <c r="AB22" s="499">
        <f t="shared" ref="AB22:AD22" si="50">+AB13+AB17+AB20+AB21</f>
        <v>27919</v>
      </c>
      <c r="AC22" s="499">
        <f t="shared" si="50"/>
        <v>28291</v>
      </c>
      <c r="AD22" s="500">
        <f t="shared" si="50"/>
        <v>28431</v>
      </c>
    </row>
    <row r="23" spans="1:30" s="507" customFormat="1" ht="22.5" customHeight="1">
      <c r="A23" s="491" t="s">
        <v>965</v>
      </c>
      <c r="B23" s="299" t="s">
        <v>1483</v>
      </c>
      <c r="C23" s="370"/>
      <c r="D23" s="370"/>
      <c r="E23" s="370"/>
      <c r="F23" s="492">
        <v>18</v>
      </c>
      <c r="G23" s="370"/>
      <c r="H23" s="370"/>
      <c r="I23" s="370"/>
      <c r="J23" s="492"/>
      <c r="K23" s="370">
        <v>7928</v>
      </c>
      <c r="L23" s="370">
        <v>6438</v>
      </c>
      <c r="M23" s="370">
        <v>6853</v>
      </c>
      <c r="N23" s="492">
        <v>7152</v>
      </c>
      <c r="O23" s="370"/>
      <c r="P23" s="370"/>
      <c r="Q23" s="370"/>
      <c r="R23" s="492"/>
      <c r="S23" s="370"/>
      <c r="T23" s="370"/>
      <c r="U23" s="370"/>
      <c r="V23" s="492"/>
      <c r="W23" s="370"/>
      <c r="X23" s="370"/>
      <c r="Y23" s="370"/>
      <c r="Z23" s="492"/>
      <c r="AA23" s="370">
        <f t="shared" ref="AA23:AD26" si="51">+W23+S23+O23+K23+G23+C23</f>
        <v>7928</v>
      </c>
      <c r="AB23" s="370">
        <f t="shared" si="51"/>
        <v>6438</v>
      </c>
      <c r="AC23" s="370">
        <f t="shared" si="51"/>
        <v>6853</v>
      </c>
      <c r="AD23" s="492">
        <f t="shared" si="51"/>
        <v>7170</v>
      </c>
    </row>
    <row r="24" spans="1:30" s="507" customFormat="1" ht="22.5" customHeight="1">
      <c r="A24" s="491"/>
      <c r="B24" s="299" t="s">
        <v>1482</v>
      </c>
      <c r="C24" s="370"/>
      <c r="D24" s="370"/>
      <c r="E24" s="370"/>
      <c r="F24" s="492"/>
      <c r="G24" s="370"/>
      <c r="H24" s="370"/>
      <c r="I24" s="370"/>
      <c r="J24" s="492"/>
      <c r="K24" s="370">
        <v>9313</v>
      </c>
      <c r="L24" s="370">
        <v>9981</v>
      </c>
      <c r="M24" s="370">
        <v>9961</v>
      </c>
      <c r="N24" s="492">
        <v>10331</v>
      </c>
      <c r="O24" s="370"/>
      <c r="P24" s="370"/>
      <c r="Q24" s="370"/>
      <c r="R24" s="492"/>
      <c r="S24" s="370"/>
      <c r="T24" s="370"/>
      <c r="U24" s="370"/>
      <c r="V24" s="492"/>
      <c r="W24" s="370"/>
      <c r="X24" s="370"/>
      <c r="Y24" s="370"/>
      <c r="Z24" s="492"/>
      <c r="AA24" s="370">
        <f t="shared" si="51"/>
        <v>9313</v>
      </c>
      <c r="AB24" s="370">
        <f t="shared" si="51"/>
        <v>9981</v>
      </c>
      <c r="AC24" s="370">
        <f t="shared" si="51"/>
        <v>9961</v>
      </c>
      <c r="AD24" s="492">
        <f t="shared" si="51"/>
        <v>10331</v>
      </c>
    </row>
    <row r="25" spans="1:30" s="507" customFormat="1" ht="22.5" customHeight="1">
      <c r="A25" s="491"/>
      <c r="B25" s="343" t="s">
        <v>550</v>
      </c>
      <c r="C25" s="370"/>
      <c r="D25" s="370"/>
      <c r="E25" s="370"/>
      <c r="F25" s="492"/>
      <c r="G25" s="370"/>
      <c r="H25" s="370"/>
      <c r="I25" s="370"/>
      <c r="J25" s="492"/>
      <c r="K25" s="370">
        <v>893</v>
      </c>
      <c r="L25" s="370">
        <v>797</v>
      </c>
      <c r="M25" s="370">
        <v>978</v>
      </c>
      <c r="N25" s="492">
        <v>938</v>
      </c>
      <c r="O25" s="370"/>
      <c r="P25" s="370"/>
      <c r="Q25" s="370"/>
      <c r="R25" s="492"/>
      <c r="S25" s="370"/>
      <c r="T25" s="370"/>
      <c r="U25" s="370"/>
      <c r="V25" s="492"/>
      <c r="W25" s="370"/>
      <c r="X25" s="370"/>
      <c r="Y25" s="370"/>
      <c r="Z25" s="492"/>
      <c r="AA25" s="370">
        <f t="shared" si="51"/>
        <v>893</v>
      </c>
      <c r="AB25" s="370">
        <f t="shared" si="51"/>
        <v>797</v>
      </c>
      <c r="AC25" s="370">
        <f t="shared" si="51"/>
        <v>978</v>
      </c>
      <c r="AD25" s="492">
        <f t="shared" si="51"/>
        <v>938</v>
      </c>
    </row>
    <row r="26" spans="1:30" s="507" customFormat="1" ht="22.5" customHeight="1">
      <c r="A26" s="491"/>
      <c r="B26" s="343" t="s">
        <v>837</v>
      </c>
      <c r="C26" s="370">
        <v>2</v>
      </c>
      <c r="D26" s="370">
        <v>4</v>
      </c>
      <c r="E26" s="370">
        <v>29</v>
      </c>
      <c r="F26" s="492">
        <v>11</v>
      </c>
      <c r="G26" s="370"/>
      <c r="H26" s="370"/>
      <c r="I26" s="370"/>
      <c r="J26" s="492"/>
      <c r="K26" s="370">
        <v>2014</v>
      </c>
      <c r="L26" s="370">
        <v>2069</v>
      </c>
      <c r="M26" s="370">
        <v>2355</v>
      </c>
      <c r="N26" s="492">
        <v>2221</v>
      </c>
      <c r="O26" s="370"/>
      <c r="P26" s="370"/>
      <c r="Q26" s="370"/>
      <c r="R26" s="492"/>
      <c r="S26" s="370"/>
      <c r="T26" s="370"/>
      <c r="U26" s="370"/>
      <c r="V26" s="492"/>
      <c r="W26" s="370"/>
      <c r="X26" s="370"/>
      <c r="Y26" s="370"/>
      <c r="Z26" s="492"/>
      <c r="AA26" s="370">
        <f t="shared" si="51"/>
        <v>2016</v>
      </c>
      <c r="AB26" s="370">
        <f t="shared" si="51"/>
        <v>2073</v>
      </c>
      <c r="AC26" s="370">
        <f t="shared" si="51"/>
        <v>2384</v>
      </c>
      <c r="AD26" s="492">
        <f t="shared" si="51"/>
        <v>2232</v>
      </c>
    </row>
    <row r="27" spans="1:30" s="507" customFormat="1" ht="22.5" customHeight="1">
      <c r="A27" s="491"/>
      <c r="B27" s="343" t="s">
        <v>644</v>
      </c>
      <c r="C27" s="370">
        <f t="shared" ref="C27" si="52">SUM(C23:C26)</f>
        <v>2</v>
      </c>
      <c r="D27" s="370">
        <f>SUM(D23:D26)</f>
        <v>4</v>
      </c>
      <c r="E27" s="370">
        <f>SUM(E23:E26)</f>
        <v>29</v>
      </c>
      <c r="F27" s="492">
        <f>SUM(F23:F26)</f>
        <v>29</v>
      </c>
      <c r="G27" s="369">
        <f t="shared" ref="G27:AD27" si="53">SUM(G23:G26)</f>
        <v>0</v>
      </c>
      <c r="H27" s="370">
        <f t="shared" si="53"/>
        <v>0</v>
      </c>
      <c r="I27" s="370">
        <f t="shared" si="53"/>
        <v>0</v>
      </c>
      <c r="J27" s="492">
        <f t="shared" si="53"/>
        <v>0</v>
      </c>
      <c r="K27" s="370">
        <f t="shared" ref="K27:M27" si="54">SUM(K23:K26)</f>
        <v>20148</v>
      </c>
      <c r="L27" s="370">
        <f t="shared" si="54"/>
        <v>19285</v>
      </c>
      <c r="M27" s="370">
        <f t="shared" si="54"/>
        <v>20147</v>
      </c>
      <c r="N27" s="492">
        <f t="shared" si="53"/>
        <v>20642</v>
      </c>
      <c r="O27" s="369">
        <f t="shared" si="53"/>
        <v>0</v>
      </c>
      <c r="P27" s="370">
        <f t="shared" si="53"/>
        <v>0</v>
      </c>
      <c r="Q27" s="370">
        <f t="shared" si="53"/>
        <v>0</v>
      </c>
      <c r="R27" s="492">
        <f t="shared" si="53"/>
        <v>0</v>
      </c>
      <c r="S27" s="369">
        <f t="shared" si="53"/>
        <v>0</v>
      </c>
      <c r="T27" s="370">
        <f t="shared" si="53"/>
        <v>0</v>
      </c>
      <c r="U27" s="370">
        <f t="shared" si="53"/>
        <v>0</v>
      </c>
      <c r="V27" s="492">
        <f t="shared" si="53"/>
        <v>0</v>
      </c>
      <c r="W27" s="369">
        <f t="shared" si="53"/>
        <v>0</v>
      </c>
      <c r="X27" s="370">
        <f t="shared" si="53"/>
        <v>0</v>
      </c>
      <c r="Y27" s="370">
        <f t="shared" si="53"/>
        <v>0</v>
      </c>
      <c r="Z27" s="492">
        <f t="shared" si="53"/>
        <v>0</v>
      </c>
      <c r="AA27" s="369">
        <f t="shared" si="53"/>
        <v>20150</v>
      </c>
      <c r="AB27" s="370">
        <f t="shared" si="53"/>
        <v>19289</v>
      </c>
      <c r="AC27" s="370">
        <f t="shared" si="53"/>
        <v>20176</v>
      </c>
      <c r="AD27" s="492">
        <f t="shared" si="53"/>
        <v>20671</v>
      </c>
    </row>
    <row r="28" spans="1:30" s="507" customFormat="1" ht="22.5" customHeight="1">
      <c r="A28" s="491" t="s">
        <v>545</v>
      </c>
      <c r="B28" s="343" t="s">
        <v>838</v>
      </c>
      <c r="C28" s="370">
        <v>28</v>
      </c>
      <c r="D28" s="370">
        <v>12</v>
      </c>
      <c r="E28" s="370">
        <v>17</v>
      </c>
      <c r="F28" s="492">
        <v>7</v>
      </c>
      <c r="G28" s="370"/>
      <c r="H28" s="370"/>
      <c r="I28" s="370"/>
      <c r="J28" s="492"/>
      <c r="K28" s="370">
        <v>3996</v>
      </c>
      <c r="L28" s="370">
        <v>4163</v>
      </c>
      <c r="M28" s="370">
        <v>4521</v>
      </c>
      <c r="N28" s="492">
        <v>5158</v>
      </c>
      <c r="O28" s="370"/>
      <c r="P28" s="370"/>
      <c r="Q28" s="370"/>
      <c r="R28" s="492"/>
      <c r="S28" s="370"/>
      <c r="T28" s="370"/>
      <c r="U28" s="370"/>
      <c r="V28" s="492"/>
      <c r="W28" s="370"/>
      <c r="X28" s="370"/>
      <c r="Y28" s="370"/>
      <c r="Z28" s="492"/>
      <c r="AA28" s="370">
        <f t="shared" ref="AA28:AD29" si="55">+W28+S28+O28+K28+G28+C28</f>
        <v>4024</v>
      </c>
      <c r="AB28" s="370">
        <f t="shared" si="55"/>
        <v>4175</v>
      </c>
      <c r="AC28" s="370">
        <f t="shared" si="55"/>
        <v>4538</v>
      </c>
      <c r="AD28" s="492">
        <f t="shared" si="55"/>
        <v>5165</v>
      </c>
    </row>
    <row r="29" spans="1:30" s="507" customFormat="1" ht="22.5" customHeight="1">
      <c r="A29" s="491"/>
      <c r="B29" s="299" t="s">
        <v>1276</v>
      </c>
      <c r="C29" s="370"/>
      <c r="D29" s="370">
        <v>1</v>
      </c>
      <c r="E29" s="370"/>
      <c r="F29" s="492"/>
      <c r="G29" s="370"/>
      <c r="H29" s="370"/>
      <c r="I29" s="370"/>
      <c r="J29" s="492"/>
      <c r="K29" s="370">
        <v>299</v>
      </c>
      <c r="L29" s="370">
        <v>436</v>
      </c>
      <c r="M29" s="370">
        <v>502</v>
      </c>
      <c r="N29" s="492">
        <v>492</v>
      </c>
      <c r="O29" s="370"/>
      <c r="P29" s="370"/>
      <c r="Q29" s="370"/>
      <c r="R29" s="492"/>
      <c r="S29" s="370"/>
      <c r="T29" s="370"/>
      <c r="U29" s="370"/>
      <c r="V29" s="492"/>
      <c r="W29" s="370"/>
      <c r="X29" s="370"/>
      <c r="Y29" s="370"/>
      <c r="Z29" s="492"/>
      <c r="AA29" s="370">
        <f t="shared" si="55"/>
        <v>299</v>
      </c>
      <c r="AB29" s="370">
        <f t="shared" si="55"/>
        <v>437</v>
      </c>
      <c r="AC29" s="370">
        <f t="shared" si="55"/>
        <v>502</v>
      </c>
      <c r="AD29" s="492">
        <f t="shared" si="55"/>
        <v>492</v>
      </c>
    </row>
    <row r="30" spans="1:30" s="507" customFormat="1" ht="22.5" customHeight="1">
      <c r="A30" s="491"/>
      <c r="B30" s="299" t="s">
        <v>1340</v>
      </c>
      <c r="C30" s="370"/>
      <c r="D30" s="370"/>
      <c r="E30" s="370"/>
      <c r="F30" s="492"/>
      <c r="G30" s="370"/>
      <c r="H30" s="370"/>
      <c r="I30" s="370"/>
      <c r="J30" s="492"/>
      <c r="K30" s="370"/>
      <c r="L30" s="370"/>
      <c r="M30" s="370"/>
      <c r="N30" s="492"/>
      <c r="O30" s="370"/>
      <c r="P30" s="370"/>
      <c r="Q30" s="370"/>
      <c r="R30" s="492"/>
      <c r="S30" s="370"/>
      <c r="T30" s="370"/>
      <c r="U30" s="370"/>
      <c r="V30" s="492"/>
      <c r="W30" s="370"/>
      <c r="X30" s="370"/>
      <c r="Y30" s="370"/>
      <c r="Z30" s="492"/>
      <c r="AA30" s="370"/>
      <c r="AB30" s="370"/>
      <c r="AC30" s="370"/>
      <c r="AD30" s="492"/>
    </row>
    <row r="31" spans="1:30" s="507" customFormat="1" ht="22.5" customHeight="1">
      <c r="A31" s="491"/>
      <c r="B31" s="343" t="s">
        <v>966</v>
      </c>
      <c r="C31" s="370"/>
      <c r="D31" s="370"/>
      <c r="E31" s="370"/>
      <c r="F31" s="492"/>
      <c r="G31" s="370"/>
      <c r="H31" s="370"/>
      <c r="I31" s="370"/>
      <c r="J31" s="492"/>
      <c r="K31" s="370"/>
      <c r="L31" s="370"/>
      <c r="M31" s="370"/>
      <c r="N31" s="492"/>
      <c r="O31" s="370"/>
      <c r="P31" s="370"/>
      <c r="Q31" s="370"/>
      <c r="R31" s="492"/>
      <c r="S31" s="370"/>
      <c r="T31" s="370"/>
      <c r="U31" s="370"/>
      <c r="V31" s="492"/>
      <c r="W31" s="370"/>
      <c r="X31" s="370"/>
      <c r="Y31" s="370"/>
      <c r="Z31" s="492"/>
      <c r="AA31" s="370">
        <f>+W31+S31+O31+K31+G31+C31</f>
        <v>0</v>
      </c>
      <c r="AB31" s="370">
        <f>+X31+T31+P31+L31+H31+D31</f>
        <v>0</v>
      </c>
      <c r="AC31" s="370">
        <f>+Y31+U31+Q31+M31+I31+E31</f>
        <v>0</v>
      </c>
      <c r="AD31" s="492">
        <f>+Z31+V31+R31+N31+J31+F31</f>
        <v>0</v>
      </c>
    </row>
    <row r="32" spans="1:30" s="507" customFormat="1" ht="22.5" customHeight="1">
      <c r="A32" s="491"/>
      <c r="B32" s="343" t="s">
        <v>644</v>
      </c>
      <c r="C32" s="370">
        <v>28</v>
      </c>
      <c r="D32" s="370">
        <v>13</v>
      </c>
      <c r="E32" s="370">
        <f>SUM(E28:E31)</f>
        <v>17</v>
      </c>
      <c r="F32" s="492">
        <f>SUM(F28:F31)</f>
        <v>7</v>
      </c>
      <c r="G32" s="370"/>
      <c r="H32" s="370"/>
      <c r="I32" s="370"/>
      <c r="J32" s="492">
        <f>SUM(J28:J31)</f>
        <v>0</v>
      </c>
      <c r="K32" s="370">
        <v>4295</v>
      </c>
      <c r="L32" s="370">
        <v>4599</v>
      </c>
      <c r="M32" s="370">
        <f>SUM(M28:M31)</f>
        <v>5023</v>
      </c>
      <c r="N32" s="492">
        <f>SUM(N28:N31)</f>
        <v>5650</v>
      </c>
      <c r="O32" s="370">
        <v>0</v>
      </c>
      <c r="P32" s="370">
        <v>0</v>
      </c>
      <c r="Q32" s="370">
        <v>0</v>
      </c>
      <c r="R32" s="492">
        <f>SUM(R28:R31)</f>
        <v>0</v>
      </c>
      <c r="S32" s="370">
        <v>0</v>
      </c>
      <c r="T32" s="370">
        <v>0</v>
      </c>
      <c r="U32" s="370">
        <v>0</v>
      </c>
      <c r="V32" s="492">
        <f>SUM(V28:V31)</f>
        <v>0</v>
      </c>
      <c r="W32" s="370"/>
      <c r="X32" s="370"/>
      <c r="Y32" s="370"/>
      <c r="Z32" s="492">
        <f>SUM(Z28:Z31)</f>
        <v>0</v>
      </c>
      <c r="AA32" s="370">
        <f>SUM(AA28:AA31)</f>
        <v>4323</v>
      </c>
      <c r="AB32" s="370">
        <f>SUM(AB28:AB31)</f>
        <v>4612</v>
      </c>
      <c r="AC32" s="370">
        <f>SUM(AC28:AC31)</f>
        <v>5040</v>
      </c>
      <c r="AD32" s="492">
        <f>SUM(AD28:AD31)</f>
        <v>5657</v>
      </c>
    </row>
    <row r="33" spans="1:30" s="507" customFormat="1" ht="22.5" customHeight="1">
      <c r="A33" s="491" t="s">
        <v>546</v>
      </c>
      <c r="B33" s="299" t="s">
        <v>648</v>
      </c>
      <c r="C33" s="370"/>
      <c r="D33" s="370"/>
      <c r="E33" s="370"/>
      <c r="F33" s="492"/>
      <c r="G33" s="370"/>
      <c r="H33" s="370"/>
      <c r="I33" s="370"/>
      <c r="J33" s="492"/>
      <c r="K33" s="370">
        <v>3762</v>
      </c>
      <c r="L33" s="370">
        <v>3953</v>
      </c>
      <c r="M33" s="370">
        <v>3908</v>
      </c>
      <c r="N33" s="492">
        <v>4359</v>
      </c>
      <c r="O33" s="370"/>
      <c r="P33" s="370"/>
      <c r="Q33" s="370"/>
      <c r="R33" s="492"/>
      <c r="S33" s="370"/>
      <c r="T33" s="370"/>
      <c r="U33" s="370"/>
      <c r="V33" s="492"/>
      <c r="W33" s="370"/>
      <c r="X33" s="370"/>
      <c r="Y33" s="370"/>
      <c r="Z33" s="492"/>
      <c r="AA33" s="370">
        <f t="shared" ref="AA33:AD35" si="56">+W33+S33+O33+K33+G33+C33</f>
        <v>3762</v>
      </c>
      <c r="AB33" s="370">
        <f t="shared" si="56"/>
        <v>3953</v>
      </c>
      <c r="AC33" s="370">
        <f t="shared" si="56"/>
        <v>3908</v>
      </c>
      <c r="AD33" s="492">
        <f t="shared" si="56"/>
        <v>4359</v>
      </c>
    </row>
    <row r="34" spans="1:30" s="507" customFormat="1" ht="22.5" customHeight="1">
      <c r="A34" s="491"/>
      <c r="B34" s="343" t="s">
        <v>840</v>
      </c>
      <c r="C34" s="370">
        <v>42</v>
      </c>
      <c r="D34" s="370"/>
      <c r="E34" s="370"/>
      <c r="F34" s="492"/>
      <c r="G34" s="370"/>
      <c r="H34" s="370"/>
      <c r="I34" s="370"/>
      <c r="J34" s="492"/>
      <c r="K34" s="370">
        <v>775</v>
      </c>
      <c r="L34" s="370">
        <v>742</v>
      </c>
      <c r="M34" s="370">
        <v>761</v>
      </c>
      <c r="N34" s="492">
        <v>738</v>
      </c>
      <c r="O34" s="370"/>
      <c r="P34" s="370"/>
      <c r="Q34" s="370"/>
      <c r="R34" s="492"/>
      <c r="S34" s="370"/>
      <c r="T34" s="370"/>
      <c r="U34" s="370"/>
      <c r="V34" s="492"/>
      <c r="W34" s="370"/>
      <c r="X34" s="370"/>
      <c r="Y34" s="370"/>
      <c r="Z34" s="492"/>
      <c r="AA34" s="370">
        <f t="shared" si="56"/>
        <v>817</v>
      </c>
      <c r="AB34" s="370">
        <f t="shared" si="56"/>
        <v>742</v>
      </c>
      <c r="AC34" s="370">
        <f t="shared" si="56"/>
        <v>761</v>
      </c>
      <c r="AD34" s="492">
        <f t="shared" si="56"/>
        <v>738</v>
      </c>
    </row>
    <row r="35" spans="1:30" s="507" customFormat="1" ht="22.5" customHeight="1">
      <c r="A35" s="491"/>
      <c r="B35" s="299" t="s">
        <v>1277</v>
      </c>
      <c r="C35" s="370"/>
      <c r="D35" s="370"/>
      <c r="E35" s="370"/>
      <c r="F35" s="492"/>
      <c r="G35" s="370"/>
      <c r="H35" s="370"/>
      <c r="I35" s="370"/>
      <c r="J35" s="492"/>
      <c r="K35" s="370">
        <v>423</v>
      </c>
      <c r="L35" s="370">
        <v>413</v>
      </c>
      <c r="M35" s="370">
        <v>407</v>
      </c>
      <c r="N35" s="492">
        <v>392</v>
      </c>
      <c r="O35" s="370"/>
      <c r="P35" s="370"/>
      <c r="Q35" s="370"/>
      <c r="R35" s="492"/>
      <c r="S35" s="370"/>
      <c r="T35" s="370"/>
      <c r="U35" s="370"/>
      <c r="V35" s="492"/>
      <c r="W35" s="370"/>
      <c r="X35" s="370"/>
      <c r="Y35" s="370"/>
      <c r="Z35" s="492"/>
      <c r="AA35" s="370">
        <f t="shared" si="56"/>
        <v>423</v>
      </c>
      <c r="AB35" s="370">
        <f t="shared" si="56"/>
        <v>413</v>
      </c>
      <c r="AC35" s="370">
        <f t="shared" si="56"/>
        <v>407</v>
      </c>
      <c r="AD35" s="492">
        <f>+Z35+V35+R35+N35+J35+F35</f>
        <v>392</v>
      </c>
    </row>
    <row r="36" spans="1:30" s="507" customFormat="1" ht="22.5" customHeight="1">
      <c r="A36" s="491"/>
      <c r="B36" s="343" t="s">
        <v>644</v>
      </c>
      <c r="C36" s="370">
        <f t="shared" ref="C36:E36" si="57">SUM(C33:C35)</f>
        <v>42</v>
      </c>
      <c r="D36" s="370">
        <f t="shared" si="57"/>
        <v>0</v>
      </c>
      <c r="E36" s="370">
        <f t="shared" si="57"/>
        <v>0</v>
      </c>
      <c r="F36" s="370">
        <f t="shared" ref="F36:AD36" si="58">SUM(F33:F35)</f>
        <v>0</v>
      </c>
      <c r="G36" s="369">
        <f t="shared" si="58"/>
        <v>0</v>
      </c>
      <c r="H36" s="370">
        <f t="shared" si="58"/>
        <v>0</v>
      </c>
      <c r="I36" s="370">
        <f t="shared" si="58"/>
        <v>0</v>
      </c>
      <c r="J36" s="492">
        <f t="shared" si="58"/>
        <v>0</v>
      </c>
      <c r="K36" s="370">
        <f t="shared" ref="K36:M36" si="59">SUM(K33:K35)</f>
        <v>4960</v>
      </c>
      <c r="L36" s="370">
        <f t="shared" si="59"/>
        <v>5108</v>
      </c>
      <c r="M36" s="370">
        <f t="shared" si="59"/>
        <v>5076</v>
      </c>
      <c r="N36" s="370">
        <f t="shared" si="58"/>
        <v>5489</v>
      </c>
      <c r="O36" s="369">
        <f t="shared" si="58"/>
        <v>0</v>
      </c>
      <c r="P36" s="370">
        <f t="shared" si="58"/>
        <v>0</v>
      </c>
      <c r="Q36" s="370">
        <f t="shared" si="58"/>
        <v>0</v>
      </c>
      <c r="R36" s="370">
        <f t="shared" si="58"/>
        <v>0</v>
      </c>
      <c r="S36" s="369">
        <f t="shared" si="58"/>
        <v>0</v>
      </c>
      <c r="T36" s="370">
        <f t="shared" si="58"/>
        <v>0</v>
      </c>
      <c r="U36" s="370">
        <f t="shared" si="58"/>
        <v>0</v>
      </c>
      <c r="V36" s="370">
        <f t="shared" si="58"/>
        <v>0</v>
      </c>
      <c r="W36" s="369">
        <f t="shared" si="58"/>
        <v>0</v>
      </c>
      <c r="X36" s="370">
        <f t="shared" si="58"/>
        <v>0</v>
      </c>
      <c r="Y36" s="370">
        <f t="shared" si="58"/>
        <v>0</v>
      </c>
      <c r="Z36" s="370">
        <f t="shared" si="58"/>
        <v>0</v>
      </c>
      <c r="AA36" s="369">
        <f t="shared" si="58"/>
        <v>5002</v>
      </c>
      <c r="AB36" s="370">
        <f t="shared" si="58"/>
        <v>5108</v>
      </c>
      <c r="AC36" s="370">
        <f t="shared" si="58"/>
        <v>5076</v>
      </c>
      <c r="AD36" s="492">
        <f t="shared" si="58"/>
        <v>5489</v>
      </c>
    </row>
    <row r="37" spans="1:30" s="507" customFormat="1" ht="22.5" customHeight="1">
      <c r="A37" s="491" t="s">
        <v>547</v>
      </c>
      <c r="B37" s="343" t="s">
        <v>841</v>
      </c>
      <c r="C37" s="370">
        <v>6</v>
      </c>
      <c r="D37" s="370">
        <v>3</v>
      </c>
      <c r="E37" s="370">
        <v>6</v>
      </c>
      <c r="F37" s="492"/>
      <c r="G37" s="370"/>
      <c r="H37" s="370"/>
      <c r="I37" s="370"/>
      <c r="J37" s="492"/>
      <c r="K37" s="370">
        <v>3061</v>
      </c>
      <c r="L37" s="370">
        <v>2945</v>
      </c>
      <c r="M37" s="370">
        <v>2618</v>
      </c>
      <c r="N37" s="492">
        <v>2882</v>
      </c>
      <c r="O37" s="370"/>
      <c r="P37" s="370"/>
      <c r="Q37" s="370"/>
      <c r="R37" s="492"/>
      <c r="S37" s="370"/>
      <c r="T37" s="370"/>
      <c r="U37" s="370"/>
      <c r="V37" s="492"/>
      <c r="W37" s="370"/>
      <c r="X37" s="370"/>
      <c r="Y37" s="370"/>
      <c r="Z37" s="492"/>
      <c r="AA37" s="370">
        <f t="shared" ref="AA37:AD41" si="60">+W37+S37+O37+K37+G37+C37</f>
        <v>3067</v>
      </c>
      <c r="AB37" s="370">
        <f t="shared" si="60"/>
        <v>2948</v>
      </c>
      <c r="AC37" s="370">
        <f t="shared" si="60"/>
        <v>2624</v>
      </c>
      <c r="AD37" s="492">
        <f t="shared" si="60"/>
        <v>2882</v>
      </c>
    </row>
    <row r="38" spans="1:30" s="507" customFormat="1" ht="22.5" customHeight="1">
      <c r="A38" s="491" t="s">
        <v>967</v>
      </c>
      <c r="B38" s="343" t="s">
        <v>842</v>
      </c>
      <c r="C38" s="370"/>
      <c r="D38" s="370"/>
      <c r="E38" s="370"/>
      <c r="F38" s="492"/>
      <c r="G38" s="370"/>
      <c r="H38" s="370"/>
      <c r="I38" s="370"/>
      <c r="J38" s="492"/>
      <c r="K38" s="370">
        <v>10929</v>
      </c>
      <c r="L38" s="370">
        <v>11207</v>
      </c>
      <c r="M38" s="370">
        <v>10978</v>
      </c>
      <c r="N38" s="492">
        <v>10433</v>
      </c>
      <c r="O38" s="370"/>
      <c r="P38" s="370"/>
      <c r="Q38" s="370"/>
      <c r="R38" s="492"/>
      <c r="S38" s="370"/>
      <c r="T38" s="370"/>
      <c r="U38" s="370"/>
      <c r="V38" s="492"/>
      <c r="W38" s="370"/>
      <c r="X38" s="370"/>
      <c r="Y38" s="370"/>
      <c r="Z38" s="492"/>
      <c r="AA38" s="370">
        <f t="shared" si="60"/>
        <v>10929</v>
      </c>
      <c r="AB38" s="370">
        <f t="shared" si="60"/>
        <v>11207</v>
      </c>
      <c r="AC38" s="370">
        <f t="shared" si="60"/>
        <v>10978</v>
      </c>
      <c r="AD38" s="492">
        <f t="shared" si="60"/>
        <v>10433</v>
      </c>
    </row>
    <row r="39" spans="1:30" s="507" customFormat="1" ht="22.5" customHeight="1">
      <c r="A39" s="491"/>
      <c r="B39" s="299" t="s">
        <v>1001</v>
      </c>
      <c r="C39" s="370"/>
      <c r="D39" s="370"/>
      <c r="E39" s="370"/>
      <c r="F39" s="492"/>
      <c r="G39" s="370"/>
      <c r="H39" s="370"/>
      <c r="I39" s="370"/>
      <c r="J39" s="492"/>
      <c r="K39" s="370"/>
      <c r="L39" s="370"/>
      <c r="M39" s="370"/>
      <c r="N39" s="492"/>
      <c r="O39" s="370"/>
      <c r="P39" s="370"/>
      <c r="Q39" s="370"/>
      <c r="R39" s="492"/>
      <c r="S39" s="370"/>
      <c r="T39" s="370"/>
      <c r="U39" s="370"/>
      <c r="V39" s="492"/>
      <c r="W39" s="370"/>
      <c r="X39" s="370"/>
      <c r="Y39" s="370"/>
      <c r="Z39" s="492"/>
      <c r="AA39" s="370"/>
      <c r="AB39" s="370"/>
      <c r="AC39" s="370"/>
      <c r="AD39" s="492"/>
    </row>
    <row r="40" spans="1:30" s="507" customFormat="1" ht="22.5" customHeight="1">
      <c r="A40" s="491" t="s">
        <v>549</v>
      </c>
      <c r="B40" s="343" t="s">
        <v>843</v>
      </c>
      <c r="C40" s="370">
        <v>134</v>
      </c>
      <c r="D40" s="370">
        <v>4</v>
      </c>
      <c r="E40" s="370">
        <v>3</v>
      </c>
      <c r="F40" s="492">
        <v>105</v>
      </c>
      <c r="G40" s="370"/>
      <c r="H40" s="370"/>
      <c r="I40" s="370"/>
      <c r="J40" s="492"/>
      <c r="K40" s="370">
        <v>3985</v>
      </c>
      <c r="L40" s="370">
        <v>3747</v>
      </c>
      <c r="M40" s="370">
        <v>4397</v>
      </c>
      <c r="N40" s="492">
        <v>4661</v>
      </c>
      <c r="O40" s="370"/>
      <c r="P40" s="370"/>
      <c r="Q40" s="370"/>
      <c r="R40" s="492"/>
      <c r="S40" s="370"/>
      <c r="T40" s="370"/>
      <c r="U40" s="370"/>
      <c r="V40" s="492"/>
      <c r="W40" s="370"/>
      <c r="X40" s="370"/>
      <c r="Y40" s="370"/>
      <c r="Z40" s="492"/>
      <c r="AA40" s="370">
        <f t="shared" si="60"/>
        <v>4119</v>
      </c>
      <c r="AB40" s="370">
        <f t="shared" si="60"/>
        <v>3751</v>
      </c>
      <c r="AC40" s="370">
        <f t="shared" si="60"/>
        <v>4400</v>
      </c>
      <c r="AD40" s="492">
        <f t="shared" si="60"/>
        <v>4766</v>
      </c>
    </row>
    <row r="41" spans="1:30" s="507" customFormat="1" ht="22.5" customHeight="1">
      <c r="A41" s="491"/>
      <c r="B41" s="299" t="s">
        <v>1270</v>
      </c>
      <c r="C41" s="370"/>
      <c r="D41" s="370">
        <v>51</v>
      </c>
      <c r="E41" s="370">
        <v>8</v>
      </c>
      <c r="F41" s="492"/>
      <c r="G41" s="370"/>
      <c r="H41" s="370"/>
      <c r="I41" s="370"/>
      <c r="J41" s="492"/>
      <c r="K41" s="370">
        <v>706</v>
      </c>
      <c r="L41" s="370">
        <v>607</v>
      </c>
      <c r="M41" s="370">
        <v>532</v>
      </c>
      <c r="N41" s="492">
        <v>674</v>
      </c>
      <c r="O41" s="370"/>
      <c r="P41" s="370"/>
      <c r="Q41" s="370"/>
      <c r="R41" s="492"/>
      <c r="S41" s="370"/>
      <c r="T41" s="370"/>
      <c r="U41" s="370"/>
      <c r="V41" s="492"/>
      <c r="W41" s="370"/>
      <c r="X41" s="370"/>
      <c r="Y41" s="370"/>
      <c r="Z41" s="492"/>
      <c r="AA41" s="370">
        <f t="shared" si="60"/>
        <v>706</v>
      </c>
      <c r="AB41" s="370">
        <f t="shared" si="60"/>
        <v>658</v>
      </c>
      <c r="AC41" s="370">
        <f t="shared" si="60"/>
        <v>540</v>
      </c>
      <c r="AD41" s="492">
        <f>+Z41+V41+R41+N41+J41+F41</f>
        <v>674</v>
      </c>
    </row>
    <row r="42" spans="1:30" s="507" customFormat="1" ht="22.5" customHeight="1">
      <c r="A42" s="491"/>
      <c r="B42" s="343" t="s">
        <v>644</v>
      </c>
      <c r="C42" s="370">
        <v>134</v>
      </c>
      <c r="D42" s="370">
        <v>55</v>
      </c>
      <c r="E42" s="370">
        <f>SUM(E40:E41)</f>
        <v>11</v>
      </c>
      <c r="F42" s="492">
        <f>SUM(F40:F41)</f>
        <v>105</v>
      </c>
      <c r="G42" s="370"/>
      <c r="H42" s="370"/>
      <c r="I42" s="370"/>
      <c r="J42" s="492">
        <f>SUM(J40:J41)</f>
        <v>0</v>
      </c>
      <c r="K42" s="370">
        <v>4691</v>
      </c>
      <c r="L42" s="370">
        <v>4354</v>
      </c>
      <c r="M42" s="370">
        <f>SUM(M40:M41)</f>
        <v>4929</v>
      </c>
      <c r="N42" s="492">
        <f>SUM(N40:N41)</f>
        <v>5335</v>
      </c>
      <c r="O42" s="370"/>
      <c r="P42" s="370"/>
      <c r="Q42" s="370"/>
      <c r="R42" s="492">
        <f>SUM(R40:R41)</f>
        <v>0</v>
      </c>
      <c r="S42" s="370"/>
      <c r="T42" s="370"/>
      <c r="U42" s="370"/>
      <c r="V42" s="492">
        <f>SUM(V40:V41)</f>
        <v>0</v>
      </c>
      <c r="W42" s="370"/>
      <c r="X42" s="370"/>
      <c r="Y42" s="370"/>
      <c r="Z42" s="492">
        <f>SUM(Z40:Z41)</f>
        <v>0</v>
      </c>
      <c r="AA42" s="370">
        <f>SUM(AA40:AA41)</f>
        <v>4825</v>
      </c>
      <c r="AB42" s="370">
        <f>SUM(AB40:AB41)</f>
        <v>4409</v>
      </c>
      <c r="AC42" s="370">
        <f>SUM(AC40:AC41)</f>
        <v>4940</v>
      </c>
      <c r="AD42" s="492">
        <f>SUM(AD40:AD41)</f>
        <v>5440</v>
      </c>
    </row>
    <row r="43" spans="1:30" s="6" customFormat="1" ht="22.5" customHeight="1">
      <c r="A43" s="501" t="s">
        <v>968</v>
      </c>
      <c r="B43" s="1044"/>
      <c r="C43" s="499">
        <f t="shared" ref="C43:AA43" si="61">SUM(C36:C41)+C27+C32</f>
        <v>212</v>
      </c>
      <c r="D43" s="499">
        <f>+D27+D32+D36+D37+D38+D42+D39</f>
        <v>75</v>
      </c>
      <c r="E43" s="499">
        <f>+E27+E32+E36+E37+E38+E42+E39</f>
        <v>63</v>
      </c>
      <c r="F43" s="500">
        <f>+F27+F32+F36+F37+F38+F42+F39</f>
        <v>141</v>
      </c>
      <c r="G43" s="498">
        <f t="shared" si="61"/>
        <v>0</v>
      </c>
      <c r="H43" s="499">
        <f t="shared" ref="H43:J43" si="62">+H27+H32+H36+H37+H38+H42+H39</f>
        <v>0</v>
      </c>
      <c r="I43" s="499">
        <f t="shared" si="62"/>
        <v>0</v>
      </c>
      <c r="J43" s="500">
        <f t="shared" si="62"/>
        <v>0</v>
      </c>
      <c r="K43" s="498">
        <f t="shared" si="61"/>
        <v>48084</v>
      </c>
      <c r="L43" s="499">
        <f t="shared" ref="L43:N43" si="63">+L27+L32+L36+L37+L38+L42+L39</f>
        <v>47498</v>
      </c>
      <c r="M43" s="499">
        <f t="shared" si="63"/>
        <v>48771</v>
      </c>
      <c r="N43" s="500">
        <f t="shared" si="63"/>
        <v>50431</v>
      </c>
      <c r="O43" s="498">
        <f t="shared" si="61"/>
        <v>0</v>
      </c>
      <c r="P43" s="499">
        <f t="shared" ref="P43:R43" si="64">+P27+P32+P36+P37+P38+P42+P39</f>
        <v>0</v>
      </c>
      <c r="Q43" s="499">
        <f t="shared" si="64"/>
        <v>0</v>
      </c>
      <c r="R43" s="500">
        <f t="shared" si="64"/>
        <v>0</v>
      </c>
      <c r="S43" s="498">
        <f t="shared" si="61"/>
        <v>0</v>
      </c>
      <c r="T43" s="499">
        <f t="shared" ref="T43:V43" si="65">+T27+T32+T36+T37+T38+T42+T39</f>
        <v>0</v>
      </c>
      <c r="U43" s="499">
        <f t="shared" si="65"/>
        <v>0</v>
      </c>
      <c r="V43" s="500">
        <f t="shared" si="65"/>
        <v>0</v>
      </c>
      <c r="W43" s="498">
        <f t="shared" si="61"/>
        <v>0</v>
      </c>
      <c r="X43" s="499">
        <f t="shared" ref="X43:Z43" si="66">+X27+X32+X36+X37+X38+X42+X39</f>
        <v>0</v>
      </c>
      <c r="Y43" s="499">
        <f t="shared" si="66"/>
        <v>0</v>
      </c>
      <c r="Z43" s="500">
        <f t="shared" si="66"/>
        <v>0</v>
      </c>
      <c r="AA43" s="498">
        <f t="shared" si="61"/>
        <v>48296</v>
      </c>
      <c r="AB43" s="499">
        <f t="shared" ref="AB43:AD43" si="67">+AB27+AB32+AB36+AB37+AB38+AB42+AB39</f>
        <v>47573</v>
      </c>
      <c r="AC43" s="499">
        <f t="shared" si="67"/>
        <v>48834</v>
      </c>
      <c r="AD43" s="500">
        <f t="shared" si="67"/>
        <v>50572</v>
      </c>
    </row>
    <row r="44" spans="1:30" s="507" customFormat="1" ht="22.5" customHeight="1">
      <c r="A44" s="1407" t="s">
        <v>656</v>
      </c>
      <c r="B44" s="1409"/>
      <c r="C44" s="503">
        <f t="shared" ref="C44:AD44" si="68">+C22+C43</f>
        <v>415</v>
      </c>
      <c r="D44" s="503">
        <f t="shared" si="68"/>
        <v>463</v>
      </c>
      <c r="E44" s="503">
        <f t="shared" si="68"/>
        <v>196</v>
      </c>
      <c r="F44" s="504">
        <f t="shared" si="68"/>
        <v>266</v>
      </c>
      <c r="G44" s="503">
        <f t="shared" si="68"/>
        <v>0</v>
      </c>
      <c r="H44" s="503">
        <f t="shared" si="68"/>
        <v>0</v>
      </c>
      <c r="I44" s="503">
        <f t="shared" si="68"/>
        <v>0</v>
      </c>
      <c r="J44" s="504">
        <f t="shared" si="68"/>
        <v>0</v>
      </c>
      <c r="K44" s="502">
        <f t="shared" si="68"/>
        <v>77964</v>
      </c>
      <c r="L44" s="503">
        <f t="shared" si="68"/>
        <v>75029</v>
      </c>
      <c r="M44" s="503">
        <f t="shared" si="68"/>
        <v>76929</v>
      </c>
      <c r="N44" s="504">
        <f t="shared" si="68"/>
        <v>78737</v>
      </c>
      <c r="O44" s="503">
        <f t="shared" si="68"/>
        <v>0</v>
      </c>
      <c r="P44" s="503">
        <f t="shared" si="68"/>
        <v>0</v>
      </c>
      <c r="Q44" s="503">
        <f t="shared" si="68"/>
        <v>0</v>
      </c>
      <c r="R44" s="504">
        <f t="shared" si="68"/>
        <v>0</v>
      </c>
      <c r="S44" s="502">
        <f t="shared" si="68"/>
        <v>0</v>
      </c>
      <c r="T44" s="503">
        <f t="shared" si="68"/>
        <v>0</v>
      </c>
      <c r="U44" s="503">
        <f t="shared" si="68"/>
        <v>0</v>
      </c>
      <c r="V44" s="504">
        <f t="shared" si="68"/>
        <v>0</v>
      </c>
      <c r="W44" s="503">
        <f t="shared" si="68"/>
        <v>0</v>
      </c>
      <c r="X44" s="503">
        <f t="shared" si="68"/>
        <v>0</v>
      </c>
      <c r="Y44" s="503">
        <f t="shared" si="68"/>
        <v>0</v>
      </c>
      <c r="Z44" s="504">
        <f t="shared" si="68"/>
        <v>0</v>
      </c>
      <c r="AA44" s="503">
        <f t="shared" si="68"/>
        <v>78379</v>
      </c>
      <c r="AB44" s="503">
        <f t="shared" si="68"/>
        <v>75492</v>
      </c>
      <c r="AC44" s="503">
        <f t="shared" si="68"/>
        <v>77125</v>
      </c>
      <c r="AD44" s="504">
        <f t="shared" si="68"/>
        <v>79003</v>
      </c>
    </row>
    <row r="45" spans="1:30">
      <c r="C45" s="509"/>
      <c r="D45" s="509"/>
      <c r="E45" s="509"/>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499"/>
    </row>
    <row r="46" spans="1:30">
      <c r="C46" s="509"/>
      <c r="D46" s="509"/>
      <c r="E46" s="509"/>
      <c r="F46" s="512"/>
      <c r="G46" s="512"/>
      <c r="H46" s="512"/>
      <c r="I46" s="512"/>
      <c r="J46" s="512"/>
      <c r="K46" s="512"/>
      <c r="L46" s="512"/>
      <c r="M46" s="512"/>
      <c r="N46" s="512"/>
      <c r="O46" s="512"/>
      <c r="P46" s="512"/>
      <c r="Q46" s="512"/>
      <c r="R46" s="512"/>
      <c r="S46" s="512"/>
      <c r="T46" s="512"/>
      <c r="U46" s="512"/>
      <c r="V46" s="512"/>
      <c r="W46" s="512"/>
      <c r="X46" s="512"/>
      <c r="Y46" s="512"/>
      <c r="Z46" s="512"/>
      <c r="AA46" s="512"/>
      <c r="AB46" s="512"/>
      <c r="AC46" s="512"/>
      <c r="AD46" s="512"/>
    </row>
    <row r="47" spans="1:30">
      <c r="C47" s="509"/>
      <c r="D47" s="509"/>
      <c r="E47" s="509"/>
      <c r="F47" s="512"/>
      <c r="G47" s="512"/>
      <c r="H47" s="512"/>
      <c r="I47" s="512"/>
      <c r="J47" s="512"/>
      <c r="K47" s="512"/>
      <c r="L47" s="512"/>
      <c r="M47" s="512"/>
      <c r="N47" s="512"/>
      <c r="O47" s="512"/>
      <c r="P47" s="512"/>
      <c r="Q47" s="512"/>
      <c r="R47" s="512"/>
      <c r="S47" s="512"/>
      <c r="T47" s="512"/>
      <c r="U47" s="512"/>
      <c r="V47" s="512"/>
      <c r="W47" s="512"/>
      <c r="X47" s="512"/>
      <c r="Y47" s="512"/>
      <c r="Z47" s="512"/>
      <c r="AA47" s="512"/>
      <c r="AB47" s="512"/>
      <c r="AC47" s="512"/>
      <c r="AD47" s="512"/>
    </row>
    <row r="48" spans="1:30">
      <c r="C48" s="509"/>
      <c r="D48" s="509"/>
      <c r="E48" s="509"/>
      <c r="F48" s="512"/>
      <c r="G48" s="512"/>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row>
    <row r="49" spans="3:30">
      <c r="C49" s="509"/>
      <c r="D49" s="509"/>
      <c r="E49" s="509"/>
      <c r="F49" s="512"/>
      <c r="G49" s="509"/>
      <c r="H49" s="509"/>
      <c r="I49" s="509"/>
      <c r="J49" s="512"/>
      <c r="K49" s="509"/>
      <c r="L49" s="509"/>
      <c r="M49" s="509"/>
      <c r="N49" s="512"/>
      <c r="O49" s="509"/>
      <c r="P49" s="509"/>
      <c r="Q49" s="509"/>
      <c r="R49" s="512"/>
      <c r="S49" s="509"/>
      <c r="T49" s="509"/>
      <c r="U49" s="509"/>
      <c r="V49" s="512"/>
      <c r="W49" s="509"/>
      <c r="X49" s="509"/>
      <c r="Y49" s="509"/>
      <c r="Z49" s="512"/>
      <c r="AA49" s="509"/>
      <c r="AB49" s="509"/>
      <c r="AC49" s="509"/>
      <c r="AD49" s="512"/>
    </row>
    <row r="50" spans="3:30">
      <c r="C50" s="509"/>
      <c r="D50" s="509"/>
      <c r="E50" s="509"/>
      <c r="F50" s="509"/>
      <c r="G50" s="509"/>
      <c r="H50" s="509"/>
      <c r="I50" s="509"/>
      <c r="J50" s="509"/>
      <c r="K50" s="509"/>
      <c r="L50" s="509"/>
      <c r="M50" s="509"/>
      <c r="N50" s="509"/>
      <c r="O50" s="509"/>
      <c r="P50" s="509"/>
      <c r="Q50" s="509"/>
      <c r="R50" s="509"/>
      <c r="S50" s="509"/>
      <c r="T50" s="509"/>
      <c r="U50" s="509"/>
      <c r="V50" s="509"/>
      <c r="W50" s="509"/>
      <c r="X50" s="509"/>
      <c r="Y50" s="509"/>
      <c r="Z50" s="509"/>
      <c r="AA50" s="509"/>
      <c r="AB50" s="509"/>
      <c r="AC50" s="509"/>
      <c r="AD50" s="509"/>
    </row>
    <row r="51" spans="3:30">
      <c r="C51" s="509"/>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509"/>
      <c r="AC51" s="509"/>
      <c r="AD51" s="509"/>
    </row>
    <row r="52" spans="3:30">
      <c r="C52" s="509"/>
      <c r="D52" s="509"/>
      <c r="E52" s="509"/>
      <c r="F52" s="509"/>
      <c r="G52" s="509"/>
      <c r="H52" s="509"/>
      <c r="I52" s="509"/>
      <c r="J52" s="509"/>
      <c r="K52" s="509"/>
      <c r="L52" s="509"/>
      <c r="M52" s="509"/>
      <c r="N52" s="509"/>
      <c r="O52" s="509"/>
      <c r="P52" s="509"/>
      <c r="Q52" s="509"/>
      <c r="R52" s="509"/>
      <c r="S52" s="509"/>
      <c r="T52" s="509"/>
      <c r="U52" s="509"/>
      <c r="V52" s="509"/>
      <c r="W52" s="509"/>
      <c r="X52" s="509"/>
      <c r="Y52" s="509"/>
      <c r="Z52" s="509"/>
      <c r="AA52" s="509"/>
      <c r="AB52" s="509"/>
      <c r="AC52" s="509"/>
      <c r="AD52" s="509"/>
    </row>
    <row r="53" spans="3:30">
      <c r="C53" s="509"/>
      <c r="D53" s="509"/>
      <c r="E53" s="509"/>
      <c r="F53" s="509"/>
      <c r="G53" s="509"/>
      <c r="H53" s="509"/>
      <c r="I53" s="509"/>
      <c r="J53" s="509"/>
      <c r="K53" s="509"/>
      <c r="L53" s="509"/>
      <c r="M53" s="509"/>
      <c r="N53" s="509"/>
      <c r="O53" s="509"/>
      <c r="P53" s="509"/>
      <c r="Q53" s="509"/>
      <c r="R53" s="509"/>
      <c r="S53" s="509"/>
      <c r="T53" s="509"/>
      <c r="U53" s="509"/>
      <c r="V53" s="509"/>
      <c r="W53" s="509"/>
      <c r="X53" s="509"/>
      <c r="Y53" s="509"/>
      <c r="Z53" s="509"/>
      <c r="AA53" s="509"/>
      <c r="AB53" s="509"/>
      <c r="AC53" s="509"/>
      <c r="AD53" s="509"/>
    </row>
    <row r="54" spans="3:30">
      <c r="C54" s="509"/>
      <c r="D54" s="509"/>
      <c r="E54" s="509"/>
      <c r="F54" s="509"/>
      <c r="G54" s="509"/>
      <c r="H54" s="509"/>
      <c r="I54" s="509"/>
      <c r="J54" s="509"/>
      <c r="K54" s="509"/>
      <c r="L54" s="509"/>
      <c r="M54" s="509"/>
      <c r="N54" s="509"/>
      <c r="O54" s="509"/>
      <c r="P54" s="509"/>
      <c r="Q54" s="509"/>
      <c r="R54" s="509"/>
      <c r="S54" s="509"/>
      <c r="T54" s="509"/>
      <c r="U54" s="509"/>
      <c r="V54" s="509"/>
      <c r="W54" s="509"/>
      <c r="X54" s="509"/>
      <c r="Y54" s="509"/>
      <c r="Z54" s="509"/>
      <c r="AA54" s="509"/>
      <c r="AB54" s="509"/>
      <c r="AC54" s="509"/>
      <c r="AD54" s="509"/>
    </row>
    <row r="55" spans="3:30">
      <c r="C55" s="509"/>
      <c r="D55" s="509"/>
      <c r="E55" s="509"/>
      <c r="F55" s="509"/>
      <c r="G55" s="509"/>
      <c r="H55" s="509"/>
      <c r="I55" s="509"/>
      <c r="J55" s="509"/>
      <c r="K55" s="509"/>
      <c r="L55" s="509"/>
      <c r="M55" s="509"/>
      <c r="N55" s="509"/>
      <c r="O55" s="509"/>
      <c r="P55" s="509"/>
      <c r="Q55" s="509"/>
      <c r="R55" s="509"/>
      <c r="S55" s="509"/>
      <c r="T55" s="509"/>
      <c r="U55" s="509"/>
      <c r="V55" s="509"/>
      <c r="W55" s="509"/>
      <c r="X55" s="509"/>
      <c r="Y55" s="509"/>
      <c r="Z55" s="509"/>
      <c r="AA55" s="509"/>
      <c r="AB55" s="509"/>
      <c r="AC55" s="509"/>
      <c r="AD55" s="509"/>
    </row>
    <row r="56" spans="3:30">
      <c r="C56" s="509"/>
      <c r="D56" s="509"/>
      <c r="E56" s="509"/>
      <c r="F56" s="509"/>
      <c r="G56" s="509"/>
      <c r="H56" s="509"/>
      <c r="I56" s="509"/>
      <c r="J56" s="509"/>
      <c r="K56" s="509"/>
      <c r="L56" s="509"/>
      <c r="M56" s="509"/>
      <c r="N56" s="509"/>
      <c r="O56" s="509"/>
      <c r="P56" s="509"/>
      <c r="Q56" s="509"/>
      <c r="R56" s="509"/>
      <c r="S56" s="509"/>
      <c r="T56" s="509"/>
      <c r="U56" s="509"/>
      <c r="V56" s="509"/>
      <c r="W56" s="509"/>
      <c r="X56" s="509"/>
      <c r="Y56" s="509"/>
      <c r="Z56" s="509"/>
      <c r="AA56" s="509"/>
      <c r="AB56" s="509"/>
      <c r="AC56" s="509"/>
      <c r="AD56" s="509"/>
    </row>
    <row r="57" spans="3:30">
      <c r="C57" s="509"/>
      <c r="D57" s="509"/>
      <c r="E57" s="509"/>
      <c r="F57" s="509"/>
      <c r="G57" s="509"/>
      <c r="H57" s="509"/>
      <c r="I57" s="509"/>
      <c r="J57" s="509"/>
      <c r="K57" s="509"/>
      <c r="L57" s="509"/>
      <c r="M57" s="509"/>
      <c r="N57" s="509"/>
      <c r="O57" s="509"/>
      <c r="P57" s="509"/>
      <c r="Q57" s="509"/>
      <c r="R57" s="509"/>
      <c r="S57" s="509"/>
      <c r="T57" s="509"/>
      <c r="U57" s="509"/>
      <c r="V57" s="509"/>
      <c r="W57" s="509"/>
      <c r="X57" s="509"/>
      <c r="Y57" s="509"/>
      <c r="Z57" s="509"/>
      <c r="AA57" s="509"/>
      <c r="AB57" s="509"/>
      <c r="AC57" s="509"/>
      <c r="AD57" s="509"/>
    </row>
    <row r="58" spans="3:30">
      <c r="C58" s="509"/>
      <c r="D58" s="509"/>
      <c r="E58" s="509"/>
      <c r="F58" s="509"/>
      <c r="G58" s="509"/>
      <c r="H58" s="509"/>
      <c r="I58" s="509"/>
      <c r="J58" s="509"/>
      <c r="K58" s="509"/>
      <c r="L58" s="509"/>
      <c r="M58" s="509"/>
      <c r="N58" s="509"/>
      <c r="O58" s="509"/>
      <c r="P58" s="509"/>
      <c r="Q58" s="509"/>
      <c r="R58" s="509"/>
      <c r="S58" s="509"/>
      <c r="T58" s="509"/>
      <c r="U58" s="509"/>
      <c r="V58" s="509"/>
      <c r="W58" s="509"/>
      <c r="X58" s="509"/>
      <c r="Y58" s="509"/>
      <c r="Z58" s="509"/>
      <c r="AA58" s="509"/>
      <c r="AB58" s="509"/>
      <c r="AC58" s="509"/>
      <c r="AD58" s="509"/>
    </row>
    <row r="59" spans="3:30">
      <c r="C59" s="509"/>
      <c r="D59" s="509"/>
      <c r="E59" s="509"/>
      <c r="F59" s="509"/>
      <c r="G59" s="509"/>
      <c r="H59" s="509"/>
      <c r="I59" s="509"/>
      <c r="J59" s="509"/>
      <c r="K59" s="509"/>
      <c r="L59" s="509"/>
      <c r="M59" s="509"/>
      <c r="N59" s="509"/>
      <c r="O59" s="509"/>
      <c r="P59" s="509"/>
      <c r="Q59" s="509"/>
      <c r="R59" s="509"/>
      <c r="S59" s="509"/>
      <c r="T59" s="509"/>
      <c r="U59" s="509"/>
      <c r="V59" s="509"/>
      <c r="W59" s="509"/>
      <c r="X59" s="509"/>
      <c r="Y59" s="509"/>
      <c r="Z59" s="509"/>
      <c r="AA59" s="509"/>
      <c r="AB59" s="509"/>
      <c r="AC59" s="509"/>
      <c r="AD59" s="509"/>
    </row>
    <row r="60" spans="3:30">
      <c r="C60" s="509"/>
      <c r="D60" s="509"/>
      <c r="E60" s="509"/>
      <c r="F60" s="509"/>
      <c r="G60" s="509"/>
      <c r="H60" s="509"/>
      <c r="I60" s="509"/>
      <c r="J60" s="509"/>
      <c r="K60" s="509"/>
      <c r="L60" s="509"/>
      <c r="M60" s="509"/>
      <c r="N60" s="509"/>
      <c r="O60" s="509"/>
      <c r="P60" s="509"/>
      <c r="Q60" s="509"/>
      <c r="R60" s="509"/>
      <c r="S60" s="509"/>
      <c r="T60" s="509"/>
      <c r="U60" s="509"/>
      <c r="V60" s="509"/>
      <c r="W60" s="509"/>
      <c r="X60" s="509"/>
      <c r="Y60" s="509"/>
      <c r="Z60" s="509"/>
      <c r="AA60" s="509"/>
      <c r="AB60" s="509"/>
      <c r="AC60" s="509"/>
      <c r="AD60" s="509"/>
    </row>
    <row r="61" spans="3:30">
      <c r="C61" s="509"/>
      <c r="D61" s="509"/>
      <c r="E61" s="509"/>
      <c r="F61" s="509"/>
      <c r="G61" s="509"/>
      <c r="H61" s="509"/>
      <c r="I61" s="509"/>
      <c r="J61" s="509"/>
      <c r="K61" s="509"/>
      <c r="L61" s="509"/>
      <c r="M61" s="509"/>
      <c r="N61" s="509"/>
      <c r="O61" s="509"/>
      <c r="P61" s="509"/>
      <c r="Q61" s="509"/>
      <c r="R61" s="509"/>
      <c r="S61" s="509"/>
      <c r="T61" s="509"/>
      <c r="U61" s="509"/>
      <c r="V61" s="509"/>
      <c r="W61" s="509"/>
      <c r="X61" s="509"/>
      <c r="Y61" s="509"/>
      <c r="Z61" s="509"/>
      <c r="AA61" s="509"/>
      <c r="AB61" s="509"/>
      <c r="AC61" s="509"/>
      <c r="AD61" s="509"/>
    </row>
    <row r="62" spans="3:30">
      <c r="C62" s="509"/>
      <c r="D62" s="509"/>
      <c r="E62" s="509"/>
      <c r="F62" s="509"/>
      <c r="G62" s="509"/>
      <c r="H62" s="509"/>
      <c r="I62" s="509"/>
      <c r="J62" s="509"/>
      <c r="K62" s="509"/>
      <c r="L62" s="509"/>
      <c r="M62" s="509"/>
      <c r="N62" s="509"/>
      <c r="O62" s="509"/>
      <c r="P62" s="509"/>
      <c r="Q62" s="509"/>
      <c r="R62" s="509"/>
      <c r="S62" s="509"/>
      <c r="T62" s="509"/>
      <c r="U62" s="509"/>
      <c r="V62" s="509"/>
      <c r="W62" s="509"/>
      <c r="X62" s="509"/>
      <c r="Y62" s="509"/>
      <c r="Z62" s="509"/>
      <c r="AA62" s="509"/>
      <c r="AB62" s="509"/>
      <c r="AC62" s="509"/>
      <c r="AD62" s="509"/>
    </row>
    <row r="63" spans="3:30">
      <c r="C63" s="509"/>
      <c r="D63" s="509"/>
      <c r="E63" s="509"/>
      <c r="F63" s="509"/>
      <c r="G63" s="509"/>
      <c r="H63" s="509"/>
      <c r="I63" s="509"/>
      <c r="J63" s="509"/>
      <c r="K63" s="509"/>
      <c r="L63" s="509"/>
      <c r="M63" s="509"/>
      <c r="N63" s="509"/>
      <c r="O63" s="509"/>
      <c r="P63" s="509"/>
      <c r="Q63" s="509"/>
      <c r="R63" s="509"/>
      <c r="S63" s="509"/>
      <c r="T63" s="509"/>
      <c r="U63" s="509"/>
      <c r="V63" s="509"/>
      <c r="W63" s="509"/>
      <c r="X63" s="509"/>
      <c r="Y63" s="509"/>
      <c r="Z63" s="509"/>
      <c r="AA63" s="509"/>
      <c r="AB63" s="509"/>
      <c r="AC63" s="509"/>
      <c r="AD63" s="509"/>
    </row>
    <row r="64" spans="3:30">
      <c r="C64" s="509"/>
      <c r="D64" s="509"/>
      <c r="E64" s="509"/>
      <c r="F64" s="509"/>
      <c r="G64" s="509"/>
      <c r="H64" s="509"/>
      <c r="I64" s="509"/>
      <c r="J64" s="509"/>
      <c r="K64" s="509"/>
      <c r="L64" s="509"/>
      <c r="M64" s="509"/>
      <c r="N64" s="509"/>
      <c r="O64" s="509"/>
      <c r="P64" s="509"/>
      <c r="Q64" s="509"/>
      <c r="R64" s="509"/>
      <c r="S64" s="509"/>
      <c r="T64" s="509"/>
      <c r="U64" s="509"/>
      <c r="V64" s="509"/>
      <c r="W64" s="509"/>
      <c r="X64" s="509"/>
      <c r="Y64" s="509"/>
      <c r="Z64" s="509"/>
      <c r="AA64" s="509"/>
      <c r="AB64" s="509"/>
      <c r="AC64" s="509"/>
      <c r="AD64" s="509"/>
    </row>
    <row r="65" spans="3:30">
      <c r="C65" s="509"/>
      <c r="D65" s="509"/>
      <c r="E65" s="509"/>
      <c r="F65" s="509"/>
      <c r="G65" s="509"/>
      <c r="H65" s="509"/>
      <c r="I65" s="509"/>
      <c r="J65" s="509"/>
      <c r="K65" s="509"/>
      <c r="L65" s="509"/>
      <c r="M65" s="509"/>
      <c r="N65" s="509"/>
      <c r="O65" s="509"/>
      <c r="P65" s="509"/>
      <c r="Q65" s="509"/>
      <c r="R65" s="509"/>
      <c r="S65" s="509"/>
      <c r="T65" s="509"/>
      <c r="U65" s="509"/>
      <c r="V65" s="509"/>
      <c r="W65" s="509"/>
      <c r="X65" s="509"/>
      <c r="Y65" s="509"/>
      <c r="Z65" s="509"/>
      <c r="AA65" s="509"/>
      <c r="AB65" s="509"/>
      <c r="AC65" s="509"/>
      <c r="AD65" s="509"/>
    </row>
    <row r="66" spans="3:30">
      <c r="C66" s="509"/>
      <c r="D66" s="509"/>
      <c r="E66" s="509"/>
      <c r="F66" s="509"/>
      <c r="G66" s="509"/>
      <c r="H66" s="509"/>
      <c r="I66" s="509"/>
      <c r="J66" s="509"/>
      <c r="K66" s="509"/>
      <c r="L66" s="509"/>
      <c r="M66" s="509"/>
      <c r="N66" s="509"/>
      <c r="O66" s="509"/>
      <c r="P66" s="509"/>
      <c r="Q66" s="509"/>
      <c r="R66" s="509"/>
      <c r="S66" s="509"/>
      <c r="T66" s="509"/>
      <c r="U66" s="509"/>
      <c r="V66" s="509"/>
      <c r="W66" s="509"/>
      <c r="X66" s="509"/>
      <c r="Y66" s="509"/>
      <c r="Z66" s="509"/>
      <c r="AA66" s="509"/>
      <c r="AB66" s="509"/>
      <c r="AC66" s="509"/>
      <c r="AD66" s="509"/>
    </row>
    <row r="67" spans="3:30">
      <c r="C67" s="509"/>
      <c r="D67" s="509"/>
      <c r="E67" s="509"/>
      <c r="F67" s="509"/>
      <c r="G67" s="509"/>
      <c r="H67" s="509"/>
      <c r="I67" s="509"/>
      <c r="J67" s="509"/>
      <c r="K67" s="509"/>
      <c r="L67" s="509"/>
      <c r="M67" s="509"/>
      <c r="N67" s="509"/>
      <c r="O67" s="509"/>
      <c r="P67" s="509"/>
      <c r="Q67" s="509"/>
      <c r="R67" s="509"/>
      <c r="S67" s="509"/>
      <c r="T67" s="509"/>
      <c r="U67" s="509"/>
      <c r="V67" s="509"/>
      <c r="W67" s="509"/>
      <c r="X67" s="509"/>
      <c r="Y67" s="509"/>
      <c r="Z67" s="509"/>
      <c r="AA67" s="509"/>
      <c r="AB67" s="509"/>
      <c r="AC67" s="509"/>
      <c r="AD67" s="509"/>
    </row>
    <row r="68" spans="3:30">
      <c r="C68" s="509"/>
      <c r="D68" s="509"/>
      <c r="E68" s="509"/>
      <c r="F68" s="509"/>
      <c r="G68" s="509"/>
      <c r="H68" s="509"/>
      <c r="I68" s="509"/>
      <c r="J68" s="509"/>
      <c r="K68" s="509"/>
      <c r="L68" s="509"/>
      <c r="M68" s="509"/>
      <c r="N68" s="509"/>
      <c r="O68" s="509"/>
      <c r="P68" s="509"/>
      <c r="Q68" s="509"/>
      <c r="R68" s="509"/>
      <c r="S68" s="509"/>
      <c r="T68" s="509"/>
      <c r="U68" s="509"/>
      <c r="V68" s="509"/>
      <c r="W68" s="509"/>
      <c r="X68" s="509"/>
      <c r="Y68" s="509"/>
      <c r="Z68" s="509"/>
      <c r="AA68" s="509"/>
      <c r="AB68" s="509"/>
      <c r="AC68" s="509"/>
      <c r="AD68" s="509"/>
    </row>
    <row r="69" spans="3:30">
      <c r="C69" s="509"/>
      <c r="D69" s="509"/>
      <c r="E69" s="509"/>
      <c r="F69" s="509"/>
      <c r="G69" s="509"/>
      <c r="H69" s="509"/>
      <c r="I69" s="509"/>
      <c r="J69" s="509"/>
      <c r="K69" s="509"/>
      <c r="L69" s="509"/>
      <c r="M69" s="509"/>
      <c r="N69" s="509"/>
      <c r="O69" s="509"/>
      <c r="P69" s="509"/>
      <c r="Q69" s="509"/>
      <c r="R69" s="509"/>
      <c r="S69" s="509"/>
      <c r="T69" s="509"/>
      <c r="U69" s="509"/>
      <c r="V69" s="509"/>
      <c r="W69" s="509"/>
      <c r="X69" s="509"/>
      <c r="Y69" s="509"/>
      <c r="Z69" s="509"/>
      <c r="AA69" s="509"/>
      <c r="AB69" s="509"/>
      <c r="AC69" s="509"/>
      <c r="AD69" s="509"/>
    </row>
    <row r="70" spans="3:30">
      <c r="C70" s="509"/>
      <c r="D70" s="509"/>
      <c r="E70" s="509"/>
      <c r="F70" s="509"/>
      <c r="G70" s="509"/>
      <c r="H70" s="509"/>
      <c r="I70" s="509"/>
      <c r="J70" s="509"/>
      <c r="K70" s="509"/>
      <c r="L70" s="509"/>
      <c r="M70" s="509"/>
      <c r="N70" s="509"/>
      <c r="O70" s="509"/>
      <c r="P70" s="509"/>
      <c r="Q70" s="509"/>
      <c r="R70" s="509"/>
      <c r="S70" s="509"/>
      <c r="T70" s="509"/>
      <c r="U70" s="509"/>
      <c r="V70" s="509"/>
      <c r="W70" s="509"/>
      <c r="X70" s="509"/>
      <c r="Y70" s="509"/>
      <c r="Z70" s="509"/>
      <c r="AA70" s="509"/>
      <c r="AB70" s="509"/>
      <c r="AC70" s="509"/>
      <c r="AD70" s="509"/>
    </row>
    <row r="71" spans="3:30">
      <c r="C71" s="509"/>
      <c r="D71" s="509"/>
      <c r="E71" s="509"/>
      <c r="F71" s="509"/>
      <c r="G71" s="509"/>
      <c r="H71" s="509"/>
      <c r="I71" s="509"/>
      <c r="J71" s="509"/>
      <c r="K71" s="509"/>
      <c r="L71" s="509"/>
      <c r="M71" s="509"/>
      <c r="N71" s="509"/>
      <c r="O71" s="509"/>
      <c r="P71" s="509"/>
      <c r="Q71" s="509"/>
      <c r="R71" s="509"/>
      <c r="S71" s="509"/>
      <c r="T71" s="509"/>
      <c r="U71" s="509"/>
      <c r="V71" s="509"/>
      <c r="W71" s="509"/>
      <c r="X71" s="509"/>
      <c r="Y71" s="509"/>
      <c r="Z71" s="509"/>
      <c r="AA71" s="509"/>
      <c r="AB71" s="509"/>
      <c r="AC71" s="509"/>
      <c r="AD71" s="509"/>
    </row>
    <row r="72" spans="3:30">
      <c r="C72" s="509"/>
      <c r="D72" s="509"/>
      <c r="E72" s="509"/>
      <c r="F72" s="509"/>
      <c r="G72" s="509"/>
      <c r="H72" s="509"/>
      <c r="I72" s="509"/>
      <c r="J72" s="509"/>
      <c r="K72" s="509"/>
      <c r="L72" s="509"/>
      <c r="M72" s="509"/>
      <c r="N72" s="509"/>
      <c r="O72" s="509"/>
      <c r="P72" s="509"/>
      <c r="Q72" s="509"/>
      <c r="R72" s="509"/>
      <c r="S72" s="509"/>
      <c r="T72" s="509"/>
      <c r="U72" s="509"/>
      <c r="V72" s="509"/>
      <c r="W72" s="509"/>
      <c r="X72" s="509"/>
      <c r="Y72" s="509"/>
      <c r="Z72" s="509"/>
      <c r="AA72" s="509"/>
      <c r="AB72" s="509"/>
      <c r="AC72" s="509"/>
      <c r="AD72" s="509"/>
    </row>
    <row r="73" spans="3:30">
      <c r="C73" s="509"/>
      <c r="D73" s="509"/>
      <c r="E73" s="509"/>
      <c r="F73" s="509"/>
      <c r="G73" s="509"/>
      <c r="H73" s="509"/>
      <c r="I73" s="509"/>
      <c r="J73" s="509"/>
      <c r="K73" s="509"/>
      <c r="L73" s="509"/>
      <c r="M73" s="509"/>
      <c r="N73" s="509"/>
      <c r="O73" s="509"/>
      <c r="P73" s="509"/>
      <c r="Q73" s="509"/>
      <c r="R73" s="509"/>
      <c r="S73" s="509"/>
      <c r="T73" s="509"/>
      <c r="U73" s="509"/>
      <c r="V73" s="509"/>
      <c r="W73" s="509"/>
      <c r="X73" s="509"/>
      <c r="Y73" s="509"/>
      <c r="Z73" s="509"/>
      <c r="AA73" s="509"/>
      <c r="AB73" s="509"/>
      <c r="AC73" s="509"/>
      <c r="AD73" s="509"/>
    </row>
    <row r="74" spans="3:30">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row>
    <row r="75" spans="3:30">
      <c r="C75" s="509"/>
      <c r="D75" s="509"/>
      <c r="E75" s="509"/>
      <c r="F75" s="509"/>
      <c r="G75" s="509"/>
      <c r="H75" s="509"/>
      <c r="I75" s="509"/>
      <c r="J75" s="509"/>
      <c r="K75" s="509"/>
      <c r="L75" s="509"/>
      <c r="M75" s="509"/>
      <c r="N75" s="509"/>
      <c r="O75" s="509"/>
      <c r="P75" s="509"/>
      <c r="Q75" s="509"/>
      <c r="R75" s="509"/>
      <c r="S75" s="509"/>
      <c r="T75" s="509"/>
      <c r="U75" s="509"/>
      <c r="V75" s="509"/>
      <c r="W75" s="509"/>
      <c r="X75" s="509"/>
      <c r="Y75" s="509"/>
      <c r="Z75" s="509"/>
      <c r="AA75" s="509"/>
      <c r="AB75" s="509"/>
      <c r="AC75" s="509"/>
      <c r="AD75" s="509"/>
    </row>
    <row r="76" spans="3:30">
      <c r="C76" s="509"/>
      <c r="D76" s="509"/>
      <c r="E76" s="509"/>
      <c r="F76" s="509"/>
      <c r="G76" s="509"/>
      <c r="H76" s="509"/>
      <c r="I76" s="509"/>
      <c r="J76" s="509"/>
      <c r="K76" s="509"/>
      <c r="L76" s="509"/>
      <c r="M76" s="509"/>
      <c r="N76" s="509"/>
      <c r="O76" s="509"/>
      <c r="P76" s="509"/>
      <c r="Q76" s="509"/>
      <c r="R76" s="509"/>
      <c r="S76" s="509"/>
      <c r="T76" s="509"/>
      <c r="U76" s="509"/>
      <c r="V76" s="509"/>
      <c r="W76" s="509"/>
      <c r="X76" s="509"/>
      <c r="Y76" s="509"/>
      <c r="Z76" s="509"/>
      <c r="AA76" s="509"/>
      <c r="AB76" s="509"/>
      <c r="AC76" s="509"/>
      <c r="AD76" s="509"/>
    </row>
    <row r="77" spans="3:30">
      <c r="C77" s="509"/>
      <c r="D77" s="509"/>
      <c r="E77" s="509"/>
      <c r="F77" s="509"/>
      <c r="G77" s="509"/>
      <c r="H77" s="509"/>
      <c r="I77" s="509"/>
      <c r="J77" s="509"/>
      <c r="K77" s="509"/>
      <c r="L77" s="509"/>
      <c r="M77" s="509"/>
      <c r="N77" s="509"/>
      <c r="O77" s="509"/>
      <c r="P77" s="509"/>
      <c r="Q77" s="509"/>
      <c r="R77" s="509"/>
      <c r="S77" s="509"/>
      <c r="T77" s="509"/>
      <c r="U77" s="509"/>
      <c r="V77" s="509"/>
      <c r="W77" s="509"/>
      <c r="X77" s="509"/>
      <c r="Y77" s="509"/>
      <c r="Z77" s="509"/>
      <c r="AA77" s="509"/>
      <c r="AB77" s="509"/>
      <c r="AC77" s="509"/>
      <c r="AD77" s="509"/>
    </row>
    <row r="78" spans="3:30">
      <c r="C78" s="509"/>
      <c r="D78" s="509"/>
      <c r="E78" s="509"/>
      <c r="F78" s="509"/>
      <c r="G78" s="509"/>
      <c r="H78" s="509"/>
      <c r="I78" s="509"/>
      <c r="J78" s="509"/>
      <c r="K78" s="509"/>
      <c r="L78" s="509"/>
      <c r="M78" s="509"/>
      <c r="N78" s="509"/>
      <c r="O78" s="509"/>
      <c r="P78" s="509"/>
      <c r="Q78" s="509"/>
      <c r="R78" s="509"/>
      <c r="S78" s="509"/>
      <c r="T78" s="509"/>
      <c r="U78" s="509"/>
      <c r="V78" s="509"/>
      <c r="W78" s="509"/>
      <c r="X78" s="509"/>
      <c r="Y78" s="509"/>
      <c r="Z78" s="509"/>
      <c r="AA78" s="509"/>
      <c r="AB78" s="509"/>
      <c r="AC78" s="509"/>
      <c r="AD78" s="509"/>
    </row>
    <row r="79" spans="3:30">
      <c r="C79" s="509"/>
      <c r="D79" s="509"/>
      <c r="E79" s="509"/>
      <c r="F79" s="509"/>
      <c r="G79" s="509"/>
      <c r="H79" s="509"/>
      <c r="I79" s="509"/>
      <c r="J79" s="509"/>
      <c r="K79" s="509"/>
      <c r="L79" s="509"/>
      <c r="M79" s="509"/>
      <c r="N79" s="509"/>
      <c r="O79" s="509"/>
      <c r="P79" s="509"/>
      <c r="Q79" s="509"/>
      <c r="R79" s="509"/>
      <c r="S79" s="509"/>
      <c r="T79" s="509"/>
      <c r="U79" s="509"/>
      <c r="V79" s="509"/>
      <c r="W79" s="509"/>
      <c r="X79" s="509"/>
      <c r="Y79" s="509"/>
      <c r="Z79" s="509"/>
      <c r="AA79" s="509"/>
      <c r="AB79" s="509"/>
      <c r="AC79" s="509"/>
      <c r="AD79" s="509"/>
    </row>
    <row r="80" spans="3:30">
      <c r="C80" s="509"/>
      <c r="D80" s="509"/>
      <c r="E80" s="509"/>
      <c r="F80" s="509"/>
      <c r="G80" s="509"/>
      <c r="H80" s="509"/>
      <c r="I80" s="509"/>
      <c r="J80" s="509"/>
      <c r="K80" s="509"/>
      <c r="L80" s="509"/>
      <c r="M80" s="509"/>
      <c r="N80" s="509"/>
      <c r="O80" s="509"/>
      <c r="P80" s="509"/>
      <c r="Q80" s="509"/>
      <c r="R80" s="509"/>
      <c r="S80" s="509"/>
      <c r="T80" s="509"/>
      <c r="U80" s="509"/>
      <c r="V80" s="509"/>
      <c r="W80" s="509"/>
      <c r="X80" s="509"/>
      <c r="Y80" s="509"/>
      <c r="Z80" s="509"/>
      <c r="AA80" s="509"/>
      <c r="AB80" s="509"/>
      <c r="AC80" s="509"/>
      <c r="AD80" s="509"/>
    </row>
    <row r="81" spans="3:30">
      <c r="C81" s="509"/>
      <c r="D81" s="509"/>
      <c r="E81" s="509"/>
      <c r="F81" s="509"/>
      <c r="G81" s="509"/>
      <c r="H81" s="509"/>
      <c r="I81" s="509"/>
      <c r="J81" s="509"/>
      <c r="K81" s="509"/>
      <c r="L81" s="509"/>
      <c r="M81" s="509"/>
      <c r="N81" s="509"/>
      <c r="O81" s="509"/>
      <c r="P81" s="509"/>
      <c r="Q81" s="509"/>
      <c r="R81" s="509"/>
      <c r="S81" s="509"/>
      <c r="T81" s="509"/>
      <c r="U81" s="509"/>
      <c r="V81" s="509"/>
      <c r="W81" s="509"/>
      <c r="X81" s="509"/>
      <c r="Y81" s="509"/>
      <c r="Z81" s="509"/>
      <c r="AA81" s="509"/>
      <c r="AB81" s="509"/>
      <c r="AC81" s="509"/>
      <c r="AD81" s="509"/>
    </row>
    <row r="82" spans="3:30">
      <c r="C82" s="509"/>
      <c r="D82" s="509"/>
      <c r="E82" s="509"/>
      <c r="F82" s="509"/>
      <c r="G82" s="509"/>
      <c r="H82" s="509"/>
      <c r="I82" s="509"/>
      <c r="J82" s="509"/>
      <c r="K82" s="509"/>
      <c r="L82" s="509"/>
      <c r="M82" s="509"/>
      <c r="N82" s="509"/>
      <c r="O82" s="509"/>
      <c r="P82" s="509"/>
      <c r="Q82" s="509"/>
      <c r="R82" s="509"/>
      <c r="S82" s="509"/>
      <c r="T82" s="509"/>
      <c r="U82" s="509"/>
      <c r="V82" s="509"/>
      <c r="W82" s="509"/>
      <c r="X82" s="509"/>
      <c r="Y82" s="509"/>
      <c r="Z82" s="509"/>
      <c r="AA82" s="509"/>
      <c r="AB82" s="509"/>
      <c r="AC82" s="509"/>
      <c r="AD82" s="509"/>
    </row>
    <row r="83" spans="3:30">
      <c r="C83" s="509"/>
      <c r="D83" s="509"/>
      <c r="E83" s="509"/>
      <c r="F83" s="509"/>
      <c r="G83" s="509"/>
      <c r="H83" s="509"/>
      <c r="I83" s="509"/>
      <c r="J83" s="509"/>
      <c r="K83" s="509"/>
      <c r="L83" s="509"/>
      <c r="M83" s="509"/>
      <c r="N83" s="509"/>
      <c r="O83" s="509"/>
      <c r="P83" s="509"/>
      <c r="Q83" s="509"/>
      <c r="R83" s="509"/>
      <c r="S83" s="509"/>
      <c r="T83" s="509"/>
      <c r="U83" s="509"/>
      <c r="V83" s="509"/>
      <c r="W83" s="509"/>
      <c r="X83" s="509"/>
      <c r="Y83" s="509"/>
      <c r="Z83" s="509"/>
      <c r="AA83" s="509"/>
      <c r="AB83" s="509"/>
      <c r="AC83" s="509"/>
      <c r="AD83" s="509"/>
    </row>
    <row r="84" spans="3:30">
      <c r="C84" s="509"/>
      <c r="D84" s="509"/>
      <c r="E84" s="509"/>
      <c r="F84" s="509"/>
      <c r="G84" s="509"/>
      <c r="H84" s="509"/>
      <c r="I84" s="509"/>
      <c r="J84" s="509"/>
      <c r="K84" s="509"/>
      <c r="L84" s="509"/>
      <c r="M84" s="509"/>
      <c r="N84" s="509"/>
      <c r="O84" s="509"/>
      <c r="P84" s="509"/>
      <c r="Q84" s="509"/>
      <c r="R84" s="509"/>
      <c r="S84" s="509"/>
      <c r="T84" s="509"/>
      <c r="U84" s="509"/>
      <c r="V84" s="509"/>
      <c r="W84" s="509"/>
      <c r="X84" s="509"/>
      <c r="Y84" s="509"/>
      <c r="Z84" s="509"/>
      <c r="AA84" s="509"/>
      <c r="AB84" s="509"/>
      <c r="AC84" s="509"/>
      <c r="AD84" s="509"/>
    </row>
    <row r="85" spans="3:30">
      <c r="C85" s="509"/>
      <c r="D85" s="509"/>
      <c r="E85" s="509"/>
      <c r="F85" s="509"/>
      <c r="G85" s="509"/>
      <c r="H85" s="509"/>
      <c r="I85" s="509"/>
      <c r="J85" s="509"/>
      <c r="K85" s="509"/>
      <c r="L85" s="509"/>
      <c r="M85" s="509"/>
      <c r="N85" s="509"/>
      <c r="O85" s="509"/>
      <c r="P85" s="509"/>
      <c r="Q85" s="509"/>
      <c r="R85" s="509"/>
      <c r="S85" s="509"/>
      <c r="T85" s="509"/>
      <c r="U85" s="509"/>
      <c r="V85" s="509"/>
      <c r="W85" s="509"/>
      <c r="X85" s="509"/>
      <c r="Y85" s="509"/>
      <c r="Z85" s="509"/>
      <c r="AA85" s="509"/>
      <c r="AB85" s="509"/>
      <c r="AC85" s="509"/>
      <c r="AD85" s="509"/>
    </row>
    <row r="86" spans="3:30">
      <c r="C86" s="509"/>
      <c r="D86" s="509"/>
      <c r="E86" s="509"/>
      <c r="F86" s="509"/>
      <c r="G86" s="509"/>
      <c r="H86" s="509"/>
      <c r="I86" s="509"/>
      <c r="J86" s="509"/>
      <c r="K86" s="509"/>
      <c r="L86" s="509"/>
      <c r="M86" s="509"/>
      <c r="N86" s="509"/>
      <c r="O86" s="509"/>
      <c r="P86" s="509"/>
      <c r="Q86" s="509"/>
      <c r="R86" s="509"/>
      <c r="S86" s="509"/>
      <c r="T86" s="509"/>
      <c r="U86" s="509"/>
      <c r="V86" s="509"/>
      <c r="W86" s="509"/>
      <c r="X86" s="509"/>
      <c r="Y86" s="509"/>
      <c r="Z86" s="509"/>
      <c r="AA86" s="509"/>
      <c r="AB86" s="509"/>
      <c r="AC86" s="509"/>
      <c r="AD86" s="509"/>
    </row>
    <row r="87" spans="3:30">
      <c r="C87" s="509"/>
      <c r="D87" s="509"/>
      <c r="E87" s="509"/>
      <c r="F87" s="509"/>
      <c r="G87" s="509"/>
      <c r="H87" s="509"/>
      <c r="I87" s="509"/>
      <c r="J87" s="509"/>
      <c r="K87" s="509"/>
      <c r="L87" s="509"/>
      <c r="M87" s="509"/>
      <c r="N87" s="509"/>
      <c r="O87" s="509"/>
      <c r="P87" s="509"/>
      <c r="Q87" s="509"/>
      <c r="R87" s="509"/>
      <c r="S87" s="509"/>
      <c r="T87" s="509"/>
      <c r="U87" s="509"/>
      <c r="V87" s="509"/>
      <c r="W87" s="509"/>
      <c r="X87" s="509"/>
      <c r="Y87" s="509"/>
      <c r="Z87" s="509"/>
      <c r="AA87" s="509"/>
      <c r="AB87" s="509"/>
      <c r="AC87" s="509"/>
      <c r="AD87" s="509"/>
    </row>
    <row r="88" spans="3:30">
      <c r="C88" s="509"/>
      <c r="D88" s="509"/>
      <c r="E88" s="509"/>
      <c r="F88" s="509"/>
      <c r="G88" s="509"/>
      <c r="H88" s="509"/>
      <c r="I88" s="509"/>
      <c r="J88" s="509"/>
      <c r="K88" s="509"/>
      <c r="L88" s="509"/>
      <c r="M88" s="509"/>
      <c r="N88" s="509"/>
      <c r="O88" s="509"/>
      <c r="P88" s="509"/>
      <c r="Q88" s="509"/>
      <c r="R88" s="509"/>
      <c r="S88" s="509"/>
      <c r="T88" s="509"/>
      <c r="U88" s="509"/>
      <c r="V88" s="509"/>
      <c r="W88" s="509"/>
      <c r="X88" s="509"/>
      <c r="Y88" s="509"/>
      <c r="Z88" s="509"/>
      <c r="AA88" s="509"/>
      <c r="AB88" s="509"/>
      <c r="AC88" s="509"/>
      <c r="AD88" s="509"/>
    </row>
    <row r="89" spans="3:30">
      <c r="C89" s="509"/>
      <c r="D89" s="509"/>
      <c r="E89" s="509"/>
      <c r="F89" s="509"/>
      <c r="G89" s="509"/>
      <c r="H89" s="509"/>
      <c r="I89" s="509"/>
      <c r="J89" s="509"/>
      <c r="K89" s="509"/>
      <c r="L89" s="509"/>
      <c r="M89" s="509"/>
      <c r="N89" s="509"/>
      <c r="O89" s="509"/>
      <c r="P89" s="509"/>
      <c r="Q89" s="509"/>
      <c r="R89" s="509"/>
      <c r="S89" s="509"/>
      <c r="T89" s="509"/>
      <c r="U89" s="509"/>
      <c r="V89" s="509"/>
      <c r="W89" s="509"/>
      <c r="X89" s="509"/>
      <c r="Y89" s="509"/>
      <c r="Z89" s="509"/>
      <c r="AA89" s="509"/>
      <c r="AB89" s="509"/>
      <c r="AC89" s="509"/>
      <c r="AD89" s="509"/>
    </row>
    <row r="90" spans="3:30">
      <c r="C90" s="509"/>
      <c r="D90" s="509"/>
      <c r="E90" s="509"/>
      <c r="F90" s="509"/>
      <c r="G90" s="509"/>
      <c r="H90" s="509"/>
      <c r="I90" s="509"/>
      <c r="J90" s="509"/>
      <c r="K90" s="509"/>
      <c r="L90" s="509"/>
      <c r="M90" s="509"/>
      <c r="N90" s="509"/>
      <c r="O90" s="509"/>
      <c r="P90" s="509"/>
      <c r="Q90" s="509"/>
      <c r="R90" s="509"/>
      <c r="S90" s="509"/>
      <c r="T90" s="509"/>
      <c r="U90" s="509"/>
      <c r="V90" s="509"/>
      <c r="W90" s="509"/>
      <c r="X90" s="509"/>
      <c r="Y90" s="509"/>
      <c r="Z90" s="509"/>
      <c r="AA90" s="509"/>
      <c r="AB90" s="509"/>
      <c r="AC90" s="509"/>
      <c r="AD90" s="509"/>
    </row>
    <row r="91" spans="3:30">
      <c r="C91" s="509"/>
      <c r="D91" s="509"/>
      <c r="E91" s="509"/>
      <c r="F91" s="509"/>
      <c r="G91" s="509"/>
      <c r="H91" s="509"/>
      <c r="I91" s="509"/>
      <c r="J91" s="509"/>
      <c r="K91" s="509"/>
      <c r="L91" s="509"/>
      <c r="M91" s="509"/>
      <c r="N91" s="509"/>
      <c r="O91" s="509"/>
      <c r="P91" s="509"/>
      <c r="Q91" s="509"/>
      <c r="R91" s="509"/>
      <c r="S91" s="509"/>
      <c r="T91" s="509"/>
      <c r="U91" s="509"/>
      <c r="V91" s="509"/>
      <c r="W91" s="509"/>
      <c r="X91" s="509"/>
      <c r="Y91" s="509"/>
      <c r="Z91" s="509"/>
      <c r="AA91" s="509"/>
      <c r="AB91" s="509"/>
      <c r="AC91" s="509"/>
      <c r="AD91" s="509"/>
    </row>
    <row r="92" spans="3:30">
      <c r="C92" s="509"/>
      <c r="D92" s="509"/>
      <c r="E92" s="509"/>
      <c r="F92" s="509"/>
      <c r="G92" s="509"/>
      <c r="H92" s="509"/>
      <c r="I92" s="509"/>
      <c r="J92" s="509"/>
      <c r="K92" s="509"/>
      <c r="L92" s="509"/>
      <c r="M92" s="509"/>
      <c r="N92" s="509"/>
      <c r="O92" s="509"/>
      <c r="P92" s="509"/>
      <c r="Q92" s="509"/>
      <c r="R92" s="509"/>
      <c r="S92" s="509"/>
      <c r="T92" s="509"/>
      <c r="U92" s="509"/>
      <c r="V92" s="509"/>
      <c r="W92" s="509"/>
      <c r="X92" s="509"/>
      <c r="Y92" s="509"/>
      <c r="Z92" s="509"/>
      <c r="AA92" s="509"/>
      <c r="AB92" s="509"/>
      <c r="AC92" s="509"/>
      <c r="AD92" s="509"/>
    </row>
    <row r="93" spans="3:30">
      <c r="C93" s="509"/>
      <c r="D93" s="509"/>
      <c r="E93" s="509"/>
      <c r="F93" s="509"/>
      <c r="G93" s="509"/>
      <c r="H93" s="509"/>
      <c r="I93" s="509"/>
      <c r="J93" s="509"/>
      <c r="K93" s="509"/>
      <c r="L93" s="509"/>
      <c r="M93" s="509"/>
      <c r="N93" s="509"/>
      <c r="O93" s="509"/>
      <c r="P93" s="509"/>
      <c r="Q93" s="509"/>
      <c r="R93" s="509"/>
      <c r="S93" s="509"/>
      <c r="T93" s="509"/>
      <c r="U93" s="509"/>
      <c r="V93" s="509"/>
      <c r="W93" s="509"/>
      <c r="X93" s="509"/>
      <c r="Y93" s="509"/>
      <c r="Z93" s="509"/>
      <c r="AA93" s="509"/>
      <c r="AB93" s="509"/>
      <c r="AC93" s="509"/>
      <c r="AD93" s="509"/>
    </row>
    <row r="94" spans="3:30">
      <c r="C94" s="509"/>
      <c r="D94" s="509"/>
      <c r="E94" s="509"/>
      <c r="F94" s="509"/>
      <c r="G94" s="509"/>
      <c r="H94" s="509"/>
      <c r="I94" s="509"/>
      <c r="J94" s="509"/>
      <c r="K94" s="509"/>
      <c r="L94" s="509"/>
      <c r="M94" s="509"/>
      <c r="N94" s="509"/>
      <c r="O94" s="509"/>
      <c r="P94" s="509"/>
      <c r="Q94" s="509"/>
      <c r="R94" s="509"/>
      <c r="S94" s="509"/>
      <c r="T94" s="509"/>
      <c r="U94" s="509"/>
      <c r="V94" s="509"/>
      <c r="W94" s="509"/>
      <c r="X94" s="509"/>
      <c r="Y94" s="509"/>
      <c r="Z94" s="509"/>
      <c r="AA94" s="509"/>
      <c r="AB94" s="509"/>
      <c r="AC94" s="509"/>
      <c r="AD94" s="509"/>
    </row>
    <row r="95" spans="3:30">
      <c r="C95" s="509"/>
      <c r="D95" s="509"/>
      <c r="E95" s="509"/>
      <c r="F95" s="509"/>
      <c r="G95" s="509"/>
      <c r="H95" s="509"/>
      <c r="I95" s="509"/>
      <c r="J95" s="509"/>
      <c r="K95" s="509"/>
      <c r="L95" s="509"/>
      <c r="M95" s="509"/>
      <c r="N95" s="509"/>
      <c r="O95" s="509"/>
      <c r="P95" s="509"/>
      <c r="Q95" s="509"/>
      <c r="R95" s="509"/>
      <c r="S95" s="509"/>
      <c r="T95" s="509"/>
      <c r="U95" s="509"/>
      <c r="V95" s="509"/>
      <c r="W95" s="509"/>
      <c r="X95" s="509"/>
      <c r="Y95" s="509"/>
      <c r="Z95" s="509"/>
      <c r="AA95" s="509"/>
      <c r="AB95" s="509"/>
      <c r="AC95" s="509"/>
      <c r="AD95" s="509"/>
    </row>
    <row r="96" spans="3:30">
      <c r="C96" s="509"/>
      <c r="D96" s="509"/>
      <c r="E96" s="509"/>
      <c r="F96" s="509"/>
      <c r="G96" s="509"/>
      <c r="H96" s="509"/>
      <c r="I96" s="509"/>
      <c r="J96" s="509"/>
      <c r="K96" s="509"/>
      <c r="L96" s="509"/>
      <c r="M96" s="509"/>
      <c r="N96" s="509"/>
      <c r="O96" s="509"/>
      <c r="P96" s="509"/>
      <c r="Q96" s="509"/>
      <c r="R96" s="509"/>
      <c r="S96" s="509"/>
      <c r="T96" s="509"/>
      <c r="U96" s="509"/>
      <c r="V96" s="509"/>
      <c r="W96" s="509"/>
      <c r="X96" s="509"/>
      <c r="Y96" s="509"/>
      <c r="Z96" s="509"/>
      <c r="AA96" s="509"/>
      <c r="AB96" s="509"/>
      <c r="AC96" s="509"/>
      <c r="AD96" s="509"/>
    </row>
    <row r="97" spans="3:30">
      <c r="C97" s="509"/>
      <c r="D97" s="509"/>
      <c r="E97" s="509"/>
      <c r="F97" s="509"/>
      <c r="G97" s="509"/>
      <c r="H97" s="509"/>
      <c r="I97" s="509"/>
      <c r="J97" s="509"/>
      <c r="K97" s="509"/>
      <c r="L97" s="509"/>
      <c r="M97" s="509"/>
      <c r="N97" s="509"/>
      <c r="O97" s="509"/>
      <c r="P97" s="509"/>
      <c r="Q97" s="509"/>
      <c r="R97" s="509"/>
      <c r="S97" s="509"/>
      <c r="T97" s="509"/>
      <c r="U97" s="509"/>
      <c r="V97" s="509"/>
      <c r="W97" s="509"/>
      <c r="X97" s="509"/>
      <c r="Y97" s="509"/>
      <c r="Z97" s="509"/>
      <c r="AA97" s="509"/>
      <c r="AB97" s="509"/>
      <c r="AC97" s="509"/>
      <c r="AD97" s="509"/>
    </row>
    <row r="98" spans="3:30">
      <c r="C98" s="509"/>
      <c r="D98" s="509"/>
      <c r="E98" s="509"/>
      <c r="F98" s="509"/>
      <c r="G98" s="509"/>
      <c r="H98" s="509"/>
      <c r="I98" s="509"/>
      <c r="J98" s="509"/>
      <c r="K98" s="509"/>
      <c r="L98" s="509"/>
      <c r="M98" s="509"/>
      <c r="N98" s="509"/>
      <c r="O98" s="509"/>
      <c r="P98" s="509"/>
      <c r="Q98" s="509"/>
      <c r="R98" s="509"/>
      <c r="S98" s="509"/>
      <c r="T98" s="509"/>
      <c r="U98" s="509"/>
      <c r="V98" s="509"/>
      <c r="W98" s="509"/>
      <c r="X98" s="509"/>
      <c r="Y98" s="509"/>
      <c r="Z98" s="509"/>
      <c r="AA98" s="509"/>
      <c r="AB98" s="509"/>
      <c r="AC98" s="509"/>
      <c r="AD98" s="509"/>
    </row>
    <row r="99" spans="3:30">
      <c r="C99" s="509"/>
      <c r="D99" s="509"/>
      <c r="E99" s="509"/>
      <c r="F99" s="509"/>
      <c r="G99" s="509"/>
      <c r="H99" s="509"/>
      <c r="I99" s="509"/>
      <c r="J99" s="509"/>
      <c r="K99" s="509"/>
      <c r="L99" s="509"/>
      <c r="M99" s="509"/>
      <c r="N99" s="509"/>
      <c r="O99" s="509"/>
      <c r="P99" s="509"/>
      <c r="Q99" s="509"/>
      <c r="R99" s="509"/>
      <c r="S99" s="509"/>
      <c r="T99" s="509"/>
      <c r="U99" s="509"/>
      <c r="V99" s="509"/>
      <c r="W99" s="509"/>
      <c r="X99" s="509"/>
      <c r="Y99" s="509"/>
      <c r="Z99" s="509"/>
      <c r="AA99" s="509"/>
      <c r="AB99" s="509"/>
      <c r="AC99" s="509"/>
      <c r="AD99" s="509"/>
    </row>
    <row r="100" spans="3:30">
      <c r="C100" s="509"/>
      <c r="D100" s="509"/>
      <c r="E100" s="509"/>
      <c r="F100" s="509"/>
      <c r="G100" s="509"/>
      <c r="H100" s="509"/>
      <c r="I100" s="509"/>
      <c r="J100" s="509"/>
      <c r="K100" s="509"/>
      <c r="L100" s="509"/>
      <c r="M100" s="509"/>
      <c r="N100" s="509"/>
      <c r="O100" s="509"/>
      <c r="P100" s="509"/>
      <c r="Q100" s="509"/>
      <c r="R100" s="509"/>
      <c r="S100" s="509"/>
      <c r="T100" s="509"/>
      <c r="U100" s="509"/>
      <c r="V100" s="509"/>
      <c r="W100" s="509"/>
      <c r="X100" s="509"/>
      <c r="Y100" s="509"/>
      <c r="Z100" s="509"/>
      <c r="AA100" s="509"/>
      <c r="AB100" s="509"/>
      <c r="AC100" s="509"/>
      <c r="AD100" s="509"/>
    </row>
    <row r="101" spans="3:30">
      <c r="C101" s="509"/>
      <c r="D101" s="509"/>
      <c r="E101" s="509"/>
      <c r="F101" s="509"/>
      <c r="G101" s="509"/>
      <c r="H101" s="509"/>
      <c r="I101" s="509"/>
      <c r="J101" s="509"/>
      <c r="K101" s="509"/>
      <c r="L101" s="509"/>
      <c r="M101" s="509"/>
      <c r="N101" s="509"/>
      <c r="O101" s="509"/>
      <c r="P101" s="509"/>
      <c r="Q101" s="509"/>
      <c r="R101" s="509"/>
      <c r="S101" s="509"/>
      <c r="T101" s="509"/>
      <c r="U101" s="509"/>
      <c r="V101" s="509"/>
      <c r="W101" s="509"/>
      <c r="X101" s="509"/>
      <c r="Y101" s="509"/>
      <c r="Z101" s="509"/>
      <c r="AA101" s="509"/>
      <c r="AB101" s="509"/>
      <c r="AC101" s="509"/>
      <c r="AD101" s="509"/>
    </row>
    <row r="102" spans="3:30">
      <c r="C102" s="509"/>
      <c r="D102" s="509"/>
      <c r="E102" s="509"/>
      <c r="F102" s="509"/>
      <c r="G102" s="509"/>
      <c r="H102" s="509"/>
      <c r="I102" s="509"/>
      <c r="J102" s="509"/>
      <c r="K102" s="509"/>
      <c r="L102" s="509"/>
      <c r="M102" s="509"/>
      <c r="N102" s="509"/>
      <c r="O102" s="509"/>
      <c r="P102" s="509"/>
      <c r="Q102" s="509"/>
      <c r="R102" s="509"/>
      <c r="S102" s="509"/>
      <c r="T102" s="509"/>
      <c r="U102" s="509"/>
      <c r="V102" s="509"/>
      <c r="W102" s="509"/>
      <c r="X102" s="509"/>
      <c r="Y102" s="509"/>
      <c r="Z102" s="509"/>
      <c r="AA102" s="509"/>
      <c r="AB102" s="509"/>
      <c r="AC102" s="509"/>
      <c r="AD102" s="509"/>
    </row>
    <row r="103" spans="3:30">
      <c r="C103" s="509"/>
      <c r="D103" s="509"/>
      <c r="E103" s="509"/>
      <c r="F103" s="509"/>
      <c r="G103" s="509"/>
      <c r="H103" s="509"/>
      <c r="I103" s="509"/>
      <c r="J103" s="509"/>
      <c r="K103" s="509"/>
      <c r="L103" s="509"/>
      <c r="M103" s="509"/>
      <c r="N103" s="509"/>
      <c r="O103" s="509"/>
      <c r="P103" s="509"/>
      <c r="Q103" s="509"/>
      <c r="R103" s="509"/>
      <c r="S103" s="509"/>
      <c r="T103" s="509"/>
      <c r="U103" s="509"/>
      <c r="V103" s="509"/>
      <c r="W103" s="509"/>
      <c r="X103" s="509"/>
      <c r="Y103" s="509"/>
      <c r="Z103" s="509"/>
      <c r="AA103" s="509"/>
      <c r="AB103" s="509"/>
      <c r="AC103" s="509"/>
      <c r="AD103" s="509"/>
    </row>
    <row r="104" spans="3:30">
      <c r="C104" s="509"/>
      <c r="D104" s="509"/>
      <c r="E104" s="509"/>
      <c r="F104" s="509"/>
      <c r="G104" s="509"/>
      <c r="H104" s="509"/>
      <c r="I104" s="509"/>
      <c r="J104" s="509"/>
      <c r="K104" s="509"/>
      <c r="L104" s="509"/>
      <c r="M104" s="509"/>
      <c r="N104" s="509"/>
      <c r="O104" s="509"/>
      <c r="P104" s="509"/>
      <c r="Q104" s="509"/>
      <c r="R104" s="509"/>
      <c r="S104" s="509"/>
      <c r="T104" s="509"/>
      <c r="U104" s="509"/>
      <c r="V104" s="509"/>
      <c r="W104" s="509"/>
      <c r="X104" s="509"/>
      <c r="Y104" s="509"/>
      <c r="Z104" s="509"/>
      <c r="AA104" s="509"/>
      <c r="AB104" s="509"/>
      <c r="AC104" s="509"/>
      <c r="AD104" s="509"/>
    </row>
    <row r="105" spans="3:30">
      <c r="C105" s="509"/>
      <c r="D105" s="509"/>
      <c r="E105" s="509"/>
      <c r="F105" s="509"/>
      <c r="G105" s="509"/>
      <c r="H105" s="509"/>
      <c r="I105" s="509"/>
      <c r="J105" s="509"/>
      <c r="K105" s="509"/>
      <c r="L105" s="509"/>
      <c r="M105" s="509"/>
      <c r="N105" s="509"/>
      <c r="O105" s="509"/>
      <c r="P105" s="509"/>
      <c r="Q105" s="509"/>
      <c r="R105" s="509"/>
      <c r="S105" s="509"/>
      <c r="T105" s="509"/>
      <c r="U105" s="509"/>
      <c r="V105" s="509"/>
      <c r="W105" s="509"/>
      <c r="X105" s="509"/>
      <c r="Y105" s="509"/>
      <c r="Z105" s="509"/>
      <c r="AA105" s="509"/>
      <c r="AB105" s="509"/>
      <c r="AC105" s="509"/>
      <c r="AD105" s="509"/>
    </row>
    <row r="106" spans="3:30">
      <c r="C106" s="509"/>
      <c r="D106" s="509"/>
      <c r="E106" s="509"/>
      <c r="F106" s="509"/>
      <c r="G106" s="509"/>
      <c r="H106" s="509"/>
      <c r="I106" s="509"/>
      <c r="J106" s="509"/>
      <c r="K106" s="509"/>
      <c r="L106" s="509"/>
      <c r="M106" s="509"/>
      <c r="N106" s="509"/>
      <c r="O106" s="509"/>
      <c r="P106" s="509"/>
      <c r="Q106" s="509"/>
      <c r="R106" s="509"/>
      <c r="S106" s="509"/>
      <c r="T106" s="509"/>
      <c r="U106" s="509"/>
      <c r="V106" s="509"/>
      <c r="W106" s="509"/>
      <c r="X106" s="509"/>
      <c r="Y106" s="509"/>
      <c r="Z106" s="509"/>
      <c r="AA106" s="509"/>
      <c r="AB106" s="509"/>
      <c r="AC106" s="509"/>
      <c r="AD106" s="509"/>
    </row>
    <row r="107" spans="3:30">
      <c r="C107" s="509"/>
      <c r="D107" s="509"/>
      <c r="E107" s="509"/>
      <c r="F107" s="509"/>
      <c r="G107" s="509"/>
      <c r="H107" s="509"/>
      <c r="I107" s="509"/>
      <c r="J107" s="509"/>
      <c r="K107" s="509"/>
      <c r="L107" s="509"/>
      <c r="M107" s="509"/>
      <c r="N107" s="509"/>
      <c r="O107" s="509"/>
      <c r="P107" s="509"/>
      <c r="Q107" s="509"/>
      <c r="R107" s="509"/>
      <c r="S107" s="509"/>
      <c r="T107" s="509"/>
      <c r="U107" s="509"/>
      <c r="V107" s="509"/>
      <c r="W107" s="509"/>
      <c r="X107" s="509"/>
      <c r="Y107" s="509"/>
      <c r="Z107" s="509"/>
      <c r="AA107" s="509"/>
      <c r="AB107" s="509"/>
      <c r="AC107" s="509"/>
      <c r="AD107" s="509"/>
    </row>
    <row r="108" spans="3:30">
      <c r="C108" s="509"/>
      <c r="D108" s="509"/>
      <c r="E108" s="509"/>
      <c r="F108" s="509"/>
      <c r="G108" s="509"/>
      <c r="H108" s="509"/>
      <c r="I108" s="509"/>
      <c r="J108" s="509"/>
      <c r="K108" s="509"/>
      <c r="L108" s="509"/>
      <c r="M108" s="509"/>
      <c r="N108" s="509"/>
      <c r="O108" s="509"/>
      <c r="P108" s="509"/>
      <c r="Q108" s="509"/>
      <c r="R108" s="509"/>
      <c r="S108" s="509"/>
      <c r="T108" s="509"/>
      <c r="U108" s="509"/>
      <c r="V108" s="509"/>
      <c r="W108" s="509"/>
      <c r="X108" s="509"/>
      <c r="Y108" s="509"/>
      <c r="Z108" s="509"/>
      <c r="AA108" s="509"/>
      <c r="AB108" s="509"/>
      <c r="AC108" s="509"/>
      <c r="AD108" s="509"/>
    </row>
    <row r="109" spans="3:30">
      <c r="C109" s="509"/>
      <c r="D109" s="509"/>
      <c r="E109" s="509"/>
      <c r="F109" s="509"/>
      <c r="G109" s="509"/>
      <c r="H109" s="509"/>
      <c r="I109" s="509"/>
      <c r="J109" s="509"/>
      <c r="K109" s="509"/>
      <c r="L109" s="509"/>
      <c r="M109" s="509"/>
      <c r="N109" s="509"/>
      <c r="O109" s="509"/>
      <c r="P109" s="509"/>
      <c r="Q109" s="509"/>
      <c r="R109" s="509"/>
      <c r="S109" s="509"/>
      <c r="T109" s="509"/>
      <c r="U109" s="509"/>
      <c r="V109" s="509"/>
      <c r="W109" s="509"/>
      <c r="X109" s="509"/>
      <c r="Y109" s="509"/>
      <c r="Z109" s="509"/>
      <c r="AA109" s="509"/>
      <c r="AB109" s="509"/>
      <c r="AC109" s="509"/>
      <c r="AD109" s="509"/>
    </row>
    <row r="110" spans="3:30">
      <c r="C110" s="509"/>
      <c r="D110" s="509"/>
      <c r="E110" s="509"/>
      <c r="F110" s="509"/>
      <c r="G110" s="509"/>
      <c r="H110" s="509"/>
      <c r="I110" s="509"/>
      <c r="J110" s="509"/>
      <c r="K110" s="509"/>
      <c r="L110" s="509"/>
      <c r="M110" s="509"/>
      <c r="N110" s="509"/>
      <c r="O110" s="509"/>
      <c r="P110" s="509"/>
      <c r="Q110" s="509"/>
      <c r="R110" s="509"/>
      <c r="S110" s="509"/>
      <c r="T110" s="509"/>
      <c r="U110" s="509"/>
      <c r="V110" s="509"/>
      <c r="W110" s="509"/>
      <c r="X110" s="509"/>
      <c r="Y110" s="509"/>
      <c r="Z110" s="509"/>
      <c r="AA110" s="509"/>
      <c r="AB110" s="509"/>
      <c r="AC110" s="509"/>
      <c r="AD110" s="509"/>
    </row>
    <row r="111" spans="3:30">
      <c r="C111" s="509"/>
      <c r="D111" s="509"/>
      <c r="E111" s="509"/>
      <c r="F111" s="509"/>
      <c r="G111" s="509"/>
      <c r="H111" s="509"/>
      <c r="I111" s="509"/>
      <c r="J111" s="509"/>
      <c r="K111" s="509"/>
      <c r="L111" s="509"/>
      <c r="M111" s="509"/>
      <c r="N111" s="509"/>
      <c r="O111" s="509"/>
      <c r="P111" s="509"/>
      <c r="Q111" s="509"/>
      <c r="R111" s="509"/>
      <c r="S111" s="509"/>
      <c r="T111" s="509"/>
      <c r="U111" s="509"/>
      <c r="V111" s="509"/>
      <c r="W111" s="509"/>
      <c r="X111" s="509"/>
      <c r="Y111" s="509"/>
      <c r="Z111" s="509"/>
      <c r="AA111" s="509"/>
      <c r="AB111" s="509"/>
      <c r="AC111" s="509"/>
      <c r="AD111" s="509"/>
    </row>
    <row r="112" spans="3:30">
      <c r="C112" s="509"/>
      <c r="D112" s="509"/>
      <c r="E112" s="509"/>
      <c r="F112" s="509"/>
      <c r="G112" s="509"/>
      <c r="H112" s="509"/>
      <c r="I112" s="509"/>
      <c r="J112" s="509"/>
      <c r="K112" s="509"/>
      <c r="L112" s="509"/>
      <c r="M112" s="509"/>
      <c r="N112" s="509"/>
      <c r="O112" s="509"/>
      <c r="P112" s="509"/>
      <c r="Q112" s="509"/>
      <c r="R112" s="509"/>
      <c r="S112" s="509"/>
      <c r="T112" s="509"/>
      <c r="U112" s="509"/>
      <c r="V112" s="509"/>
      <c r="W112" s="509"/>
      <c r="X112" s="509"/>
      <c r="Y112" s="509"/>
      <c r="Z112" s="509"/>
      <c r="AA112" s="509"/>
      <c r="AB112" s="509"/>
      <c r="AC112" s="509"/>
      <c r="AD112" s="509"/>
    </row>
    <row r="113" spans="3:30">
      <c r="C113" s="509"/>
      <c r="D113" s="509"/>
      <c r="E113" s="509"/>
      <c r="F113" s="509"/>
      <c r="G113" s="509"/>
      <c r="H113" s="509"/>
      <c r="I113" s="509"/>
      <c r="J113" s="509"/>
      <c r="K113" s="509"/>
      <c r="L113" s="509"/>
      <c r="M113" s="509"/>
      <c r="N113" s="509"/>
      <c r="O113" s="509"/>
      <c r="P113" s="509"/>
      <c r="Q113" s="509"/>
      <c r="R113" s="509"/>
      <c r="S113" s="509"/>
      <c r="T113" s="509"/>
      <c r="U113" s="509"/>
      <c r="V113" s="509"/>
      <c r="W113" s="509"/>
      <c r="X113" s="509"/>
      <c r="Y113" s="509"/>
      <c r="Z113" s="509"/>
      <c r="AA113" s="509"/>
      <c r="AB113" s="509"/>
      <c r="AC113" s="509"/>
      <c r="AD113" s="509"/>
    </row>
    <row r="114" spans="3:30">
      <c r="C114" s="509"/>
      <c r="D114" s="509"/>
      <c r="E114" s="509"/>
      <c r="F114" s="509"/>
      <c r="G114" s="509"/>
      <c r="H114" s="509"/>
      <c r="I114" s="509"/>
      <c r="J114" s="509"/>
      <c r="K114" s="509"/>
      <c r="L114" s="509"/>
      <c r="M114" s="509"/>
      <c r="N114" s="509"/>
      <c r="O114" s="509"/>
      <c r="P114" s="509"/>
      <c r="Q114" s="509"/>
      <c r="R114" s="509"/>
      <c r="S114" s="509"/>
      <c r="T114" s="509"/>
      <c r="U114" s="509"/>
      <c r="V114" s="509"/>
      <c r="W114" s="509"/>
      <c r="X114" s="509"/>
      <c r="Y114" s="509"/>
      <c r="Z114" s="509"/>
      <c r="AA114" s="509"/>
      <c r="AB114" s="509"/>
      <c r="AC114" s="509"/>
      <c r="AD114" s="509"/>
    </row>
    <row r="115" spans="3:30">
      <c r="C115" s="509"/>
      <c r="D115" s="509"/>
      <c r="E115" s="509"/>
      <c r="F115" s="509"/>
      <c r="G115" s="509"/>
      <c r="H115" s="509"/>
      <c r="I115" s="509"/>
      <c r="J115" s="509"/>
      <c r="K115" s="509"/>
      <c r="L115" s="509"/>
      <c r="M115" s="509"/>
      <c r="N115" s="509"/>
      <c r="O115" s="509"/>
      <c r="P115" s="509"/>
      <c r="Q115" s="509"/>
      <c r="R115" s="509"/>
      <c r="S115" s="509"/>
      <c r="T115" s="509"/>
      <c r="U115" s="509"/>
      <c r="V115" s="509"/>
      <c r="W115" s="509"/>
      <c r="X115" s="509"/>
      <c r="Y115" s="509"/>
      <c r="Z115" s="509"/>
      <c r="AA115" s="509"/>
      <c r="AB115" s="509"/>
      <c r="AC115" s="509"/>
      <c r="AD115" s="509"/>
    </row>
    <row r="116" spans="3:30">
      <c r="C116" s="509"/>
      <c r="D116" s="509"/>
      <c r="E116" s="509"/>
      <c r="F116" s="509"/>
      <c r="G116" s="509"/>
      <c r="H116" s="509"/>
      <c r="I116" s="509"/>
      <c r="J116" s="509"/>
      <c r="K116" s="509"/>
      <c r="L116" s="509"/>
      <c r="M116" s="509"/>
      <c r="N116" s="509"/>
      <c r="O116" s="509"/>
      <c r="P116" s="509"/>
      <c r="Q116" s="509"/>
      <c r="R116" s="509"/>
      <c r="S116" s="509"/>
      <c r="T116" s="509"/>
      <c r="U116" s="509"/>
      <c r="V116" s="509"/>
      <c r="W116" s="509"/>
      <c r="X116" s="509"/>
      <c r="Y116" s="509"/>
      <c r="Z116" s="509"/>
      <c r="AA116" s="509"/>
      <c r="AB116" s="509"/>
      <c r="AC116" s="509"/>
      <c r="AD116" s="509"/>
    </row>
    <row r="117" spans="3:30">
      <c r="C117" s="509"/>
      <c r="D117" s="509"/>
      <c r="E117" s="509"/>
      <c r="F117" s="509"/>
      <c r="G117" s="509"/>
      <c r="H117" s="509"/>
      <c r="I117" s="509"/>
      <c r="J117" s="509"/>
      <c r="K117" s="509"/>
      <c r="L117" s="509"/>
      <c r="M117" s="509"/>
      <c r="N117" s="509"/>
      <c r="O117" s="509"/>
      <c r="P117" s="509"/>
      <c r="Q117" s="509"/>
      <c r="R117" s="509"/>
      <c r="S117" s="509"/>
      <c r="T117" s="509"/>
      <c r="U117" s="509"/>
      <c r="V117" s="509"/>
      <c r="W117" s="509"/>
      <c r="X117" s="509"/>
      <c r="Y117" s="509"/>
      <c r="Z117" s="509"/>
      <c r="AA117" s="509"/>
      <c r="AB117" s="509"/>
      <c r="AC117" s="509"/>
      <c r="AD117" s="509"/>
    </row>
    <row r="118" spans="3:30">
      <c r="C118" s="509"/>
      <c r="D118" s="509"/>
      <c r="E118" s="509"/>
      <c r="F118" s="509"/>
      <c r="G118" s="509"/>
      <c r="H118" s="509"/>
      <c r="I118" s="509"/>
      <c r="J118" s="509"/>
      <c r="K118" s="509"/>
      <c r="L118" s="509"/>
      <c r="M118" s="509"/>
      <c r="N118" s="509"/>
      <c r="O118" s="509"/>
      <c r="P118" s="509"/>
      <c r="Q118" s="509"/>
      <c r="R118" s="509"/>
      <c r="S118" s="509"/>
      <c r="T118" s="509"/>
      <c r="U118" s="509"/>
      <c r="V118" s="509"/>
      <c r="W118" s="509"/>
      <c r="X118" s="509"/>
      <c r="Y118" s="509"/>
      <c r="Z118" s="509"/>
      <c r="AA118" s="509"/>
      <c r="AB118" s="509"/>
      <c r="AC118" s="509"/>
      <c r="AD118" s="509"/>
    </row>
    <row r="119" spans="3:30">
      <c r="C119" s="509"/>
      <c r="D119" s="509"/>
      <c r="E119" s="509"/>
      <c r="F119" s="509"/>
      <c r="G119" s="509"/>
      <c r="H119" s="509"/>
      <c r="I119" s="509"/>
      <c r="J119" s="509"/>
      <c r="K119" s="509"/>
      <c r="L119" s="509"/>
      <c r="M119" s="509"/>
      <c r="N119" s="509"/>
      <c r="O119" s="509"/>
      <c r="P119" s="509"/>
      <c r="Q119" s="509"/>
      <c r="R119" s="509"/>
      <c r="S119" s="509"/>
      <c r="T119" s="509"/>
      <c r="U119" s="509"/>
      <c r="V119" s="509"/>
      <c r="W119" s="509"/>
      <c r="X119" s="509"/>
      <c r="Y119" s="509"/>
      <c r="Z119" s="509"/>
      <c r="AA119" s="509"/>
      <c r="AB119" s="509"/>
      <c r="AC119" s="509"/>
      <c r="AD119" s="509"/>
    </row>
    <row r="120" spans="3:30">
      <c r="C120" s="509"/>
      <c r="D120" s="509"/>
      <c r="E120" s="509"/>
      <c r="F120" s="509"/>
      <c r="G120" s="509"/>
      <c r="H120" s="509"/>
      <c r="I120" s="509"/>
      <c r="J120" s="509"/>
      <c r="K120" s="509"/>
      <c r="L120" s="509"/>
      <c r="M120" s="509"/>
      <c r="N120" s="509"/>
      <c r="O120" s="509"/>
      <c r="P120" s="509"/>
      <c r="Q120" s="509"/>
      <c r="R120" s="509"/>
      <c r="S120" s="509"/>
      <c r="T120" s="509"/>
      <c r="U120" s="509"/>
      <c r="V120" s="509"/>
      <c r="W120" s="509"/>
      <c r="X120" s="509"/>
      <c r="Y120" s="509"/>
      <c r="Z120" s="509"/>
      <c r="AA120" s="509"/>
      <c r="AB120" s="509"/>
      <c r="AC120" s="509"/>
      <c r="AD120" s="509"/>
    </row>
    <row r="121" spans="3:30">
      <c r="C121" s="509"/>
      <c r="D121" s="509"/>
      <c r="E121" s="509"/>
      <c r="F121" s="509"/>
      <c r="G121" s="509"/>
      <c r="H121" s="509"/>
      <c r="I121" s="509"/>
      <c r="J121" s="509"/>
      <c r="K121" s="509"/>
      <c r="L121" s="509"/>
      <c r="M121" s="509"/>
      <c r="N121" s="509"/>
      <c r="O121" s="509"/>
      <c r="P121" s="509"/>
      <c r="Q121" s="509"/>
      <c r="R121" s="509"/>
      <c r="S121" s="509"/>
      <c r="T121" s="509"/>
      <c r="U121" s="509"/>
      <c r="V121" s="509"/>
      <c r="W121" s="509"/>
      <c r="X121" s="509"/>
      <c r="Y121" s="509"/>
      <c r="Z121" s="509"/>
      <c r="AA121" s="509"/>
      <c r="AB121" s="509"/>
      <c r="AC121" s="509"/>
      <c r="AD121" s="509"/>
    </row>
    <row r="122" spans="3:30">
      <c r="C122" s="509"/>
      <c r="D122" s="509"/>
      <c r="E122" s="509"/>
      <c r="F122" s="509"/>
      <c r="G122" s="509"/>
      <c r="H122" s="509"/>
      <c r="I122" s="509"/>
      <c r="J122" s="509"/>
      <c r="K122" s="509"/>
      <c r="L122" s="509"/>
      <c r="M122" s="509"/>
      <c r="N122" s="509"/>
      <c r="O122" s="509"/>
      <c r="P122" s="509"/>
      <c r="Q122" s="509"/>
      <c r="R122" s="509"/>
      <c r="S122" s="509"/>
      <c r="T122" s="509"/>
      <c r="U122" s="509"/>
      <c r="V122" s="509"/>
      <c r="W122" s="509"/>
      <c r="X122" s="509"/>
      <c r="Y122" s="509"/>
      <c r="Z122" s="509"/>
      <c r="AA122" s="509"/>
      <c r="AB122" s="509"/>
      <c r="AC122" s="509"/>
      <c r="AD122" s="509"/>
    </row>
    <row r="123" spans="3:30">
      <c r="C123" s="509"/>
      <c r="D123" s="509"/>
      <c r="E123" s="509"/>
      <c r="F123" s="509"/>
      <c r="G123" s="509"/>
      <c r="H123" s="509"/>
      <c r="I123" s="509"/>
      <c r="J123" s="509"/>
      <c r="K123" s="509"/>
      <c r="L123" s="509"/>
      <c r="M123" s="509"/>
      <c r="N123" s="509"/>
      <c r="O123" s="509"/>
      <c r="P123" s="509"/>
      <c r="Q123" s="509"/>
      <c r="R123" s="509"/>
      <c r="S123" s="509"/>
      <c r="T123" s="509"/>
      <c r="U123" s="509"/>
      <c r="V123" s="509"/>
      <c r="W123" s="509"/>
      <c r="X123" s="509"/>
      <c r="Y123" s="509"/>
      <c r="Z123" s="509"/>
      <c r="AA123" s="509"/>
      <c r="AB123" s="509"/>
      <c r="AC123" s="509"/>
      <c r="AD123" s="509"/>
    </row>
    <row r="124" spans="3:30">
      <c r="C124" s="509"/>
      <c r="D124" s="509"/>
      <c r="E124" s="509"/>
      <c r="F124" s="509"/>
      <c r="G124" s="509"/>
      <c r="H124" s="509"/>
      <c r="I124" s="509"/>
      <c r="J124" s="509"/>
      <c r="K124" s="509"/>
      <c r="L124" s="509"/>
      <c r="M124" s="509"/>
      <c r="N124" s="509"/>
      <c r="O124" s="509"/>
      <c r="P124" s="509"/>
      <c r="Q124" s="509"/>
      <c r="R124" s="509"/>
      <c r="S124" s="509"/>
      <c r="T124" s="509"/>
      <c r="U124" s="509"/>
      <c r="V124" s="509"/>
      <c r="W124" s="509"/>
      <c r="X124" s="509"/>
      <c r="Y124" s="509"/>
      <c r="Z124" s="509"/>
      <c r="AA124" s="509"/>
      <c r="AB124" s="509"/>
      <c r="AC124" s="509"/>
      <c r="AD124" s="509"/>
    </row>
    <row r="125" spans="3:30">
      <c r="C125" s="509"/>
      <c r="D125" s="509"/>
      <c r="E125" s="509"/>
      <c r="F125" s="509"/>
      <c r="G125" s="509"/>
      <c r="H125" s="509"/>
      <c r="I125" s="509"/>
      <c r="J125" s="509"/>
      <c r="K125" s="509"/>
      <c r="L125" s="509"/>
      <c r="M125" s="509"/>
      <c r="N125" s="509"/>
      <c r="O125" s="509"/>
      <c r="P125" s="509"/>
      <c r="Q125" s="509"/>
      <c r="R125" s="509"/>
      <c r="S125" s="509"/>
      <c r="T125" s="509"/>
      <c r="U125" s="509"/>
      <c r="V125" s="509"/>
      <c r="W125" s="509"/>
      <c r="X125" s="509"/>
      <c r="Y125" s="509"/>
      <c r="Z125" s="509"/>
      <c r="AA125" s="509"/>
      <c r="AB125" s="509"/>
      <c r="AC125" s="509"/>
      <c r="AD125" s="509"/>
    </row>
    <row r="126" spans="3:30">
      <c r="C126" s="509"/>
      <c r="D126" s="509"/>
      <c r="E126" s="509"/>
      <c r="F126" s="509"/>
      <c r="G126" s="509"/>
      <c r="H126" s="509"/>
      <c r="I126" s="509"/>
      <c r="J126" s="509"/>
      <c r="K126" s="509"/>
      <c r="L126" s="509"/>
      <c r="M126" s="509"/>
      <c r="N126" s="509"/>
      <c r="O126" s="509"/>
      <c r="P126" s="509"/>
      <c r="Q126" s="509"/>
      <c r="R126" s="509"/>
      <c r="S126" s="509"/>
      <c r="T126" s="509"/>
      <c r="U126" s="509"/>
      <c r="V126" s="509"/>
      <c r="W126" s="509"/>
      <c r="X126" s="509"/>
      <c r="Y126" s="509"/>
      <c r="Z126" s="509"/>
      <c r="AA126" s="509"/>
      <c r="AB126" s="509"/>
      <c r="AC126" s="509"/>
      <c r="AD126" s="509"/>
    </row>
    <row r="127" spans="3:30">
      <c r="C127" s="509"/>
      <c r="D127" s="509"/>
      <c r="E127" s="509"/>
      <c r="F127" s="509"/>
      <c r="G127" s="509"/>
      <c r="H127" s="509"/>
      <c r="I127" s="509"/>
      <c r="J127" s="509"/>
      <c r="K127" s="509"/>
      <c r="L127" s="509"/>
      <c r="M127" s="509"/>
      <c r="N127" s="509"/>
      <c r="O127" s="509"/>
      <c r="P127" s="509"/>
      <c r="Q127" s="509"/>
      <c r="R127" s="509"/>
      <c r="S127" s="509"/>
      <c r="T127" s="509"/>
      <c r="U127" s="509"/>
      <c r="V127" s="509"/>
      <c r="W127" s="509"/>
      <c r="X127" s="509"/>
      <c r="Y127" s="509"/>
      <c r="Z127" s="509"/>
      <c r="AA127" s="509"/>
      <c r="AB127" s="509"/>
      <c r="AC127" s="509"/>
      <c r="AD127" s="509"/>
    </row>
    <row r="128" spans="3:30">
      <c r="C128" s="509"/>
      <c r="D128" s="509"/>
      <c r="E128" s="509"/>
      <c r="F128" s="509"/>
      <c r="G128" s="509"/>
      <c r="H128" s="509"/>
      <c r="I128" s="509"/>
      <c r="J128" s="509"/>
      <c r="K128" s="509"/>
      <c r="L128" s="509"/>
      <c r="M128" s="509"/>
      <c r="N128" s="509"/>
      <c r="O128" s="509"/>
      <c r="P128" s="509"/>
      <c r="Q128" s="509"/>
      <c r="R128" s="509"/>
      <c r="S128" s="509"/>
      <c r="T128" s="509"/>
      <c r="U128" s="509"/>
      <c r="V128" s="509"/>
      <c r="W128" s="509"/>
      <c r="X128" s="509"/>
      <c r="Y128" s="509"/>
      <c r="Z128" s="509"/>
      <c r="AA128" s="509"/>
      <c r="AB128" s="509"/>
      <c r="AC128" s="509"/>
      <c r="AD128" s="509"/>
    </row>
    <row r="129" spans="3:30">
      <c r="C129" s="509"/>
      <c r="D129" s="509"/>
      <c r="E129" s="509"/>
      <c r="F129" s="509"/>
      <c r="G129" s="509"/>
      <c r="H129" s="509"/>
      <c r="I129" s="509"/>
      <c r="J129" s="509"/>
      <c r="K129" s="509"/>
      <c r="L129" s="509"/>
      <c r="M129" s="509"/>
      <c r="N129" s="509"/>
      <c r="O129" s="509"/>
      <c r="P129" s="509"/>
      <c r="Q129" s="509"/>
      <c r="R129" s="509"/>
      <c r="S129" s="509"/>
      <c r="T129" s="509"/>
      <c r="U129" s="509"/>
      <c r="V129" s="509"/>
      <c r="W129" s="509"/>
      <c r="X129" s="509"/>
      <c r="Y129" s="509"/>
      <c r="Z129" s="509"/>
      <c r="AA129" s="509"/>
      <c r="AB129" s="509"/>
      <c r="AC129" s="509"/>
      <c r="AD129" s="509"/>
    </row>
    <row r="130" spans="3:30">
      <c r="C130" s="509"/>
      <c r="D130" s="509"/>
      <c r="E130" s="509"/>
      <c r="F130" s="509"/>
      <c r="G130" s="509"/>
      <c r="H130" s="509"/>
      <c r="I130" s="509"/>
      <c r="J130" s="509"/>
      <c r="K130" s="509"/>
      <c r="L130" s="509"/>
      <c r="M130" s="509"/>
      <c r="N130" s="509"/>
      <c r="O130" s="509"/>
      <c r="P130" s="509"/>
      <c r="Q130" s="509"/>
      <c r="R130" s="509"/>
      <c r="S130" s="509"/>
      <c r="T130" s="509"/>
      <c r="U130" s="509"/>
      <c r="V130" s="509"/>
      <c r="W130" s="509"/>
      <c r="X130" s="509"/>
      <c r="Y130" s="509"/>
      <c r="Z130" s="509"/>
      <c r="AA130" s="509"/>
      <c r="AB130" s="509"/>
      <c r="AC130" s="509"/>
      <c r="AD130" s="509"/>
    </row>
    <row r="131" spans="3:30">
      <c r="C131" s="509"/>
      <c r="D131" s="509"/>
      <c r="E131" s="509"/>
      <c r="F131" s="509"/>
      <c r="G131" s="509"/>
      <c r="H131" s="509"/>
      <c r="I131" s="509"/>
      <c r="J131" s="509"/>
      <c r="K131" s="509"/>
      <c r="L131" s="509"/>
      <c r="M131" s="509"/>
      <c r="N131" s="509"/>
      <c r="O131" s="509"/>
      <c r="P131" s="509"/>
      <c r="Q131" s="509"/>
      <c r="R131" s="509"/>
      <c r="S131" s="509"/>
      <c r="T131" s="509"/>
      <c r="U131" s="509"/>
      <c r="V131" s="509"/>
      <c r="W131" s="509"/>
      <c r="X131" s="509"/>
      <c r="Y131" s="509"/>
      <c r="Z131" s="509"/>
      <c r="AA131" s="509"/>
      <c r="AB131" s="509"/>
      <c r="AC131" s="509"/>
      <c r="AD131" s="509"/>
    </row>
    <row r="132" spans="3:30">
      <c r="C132" s="509"/>
      <c r="D132" s="509"/>
      <c r="E132" s="509"/>
      <c r="F132" s="509"/>
      <c r="G132" s="509"/>
      <c r="H132" s="509"/>
      <c r="I132" s="509"/>
      <c r="J132" s="509"/>
      <c r="K132" s="509"/>
      <c r="L132" s="509"/>
      <c r="M132" s="509"/>
      <c r="N132" s="509"/>
      <c r="O132" s="509"/>
      <c r="P132" s="509"/>
      <c r="Q132" s="509"/>
      <c r="R132" s="509"/>
      <c r="S132" s="509"/>
      <c r="T132" s="509"/>
      <c r="U132" s="509"/>
      <c r="V132" s="509"/>
      <c r="W132" s="509"/>
      <c r="X132" s="509"/>
      <c r="Y132" s="509"/>
      <c r="Z132" s="509"/>
      <c r="AA132" s="509"/>
      <c r="AB132" s="509"/>
      <c r="AC132" s="509"/>
      <c r="AD132" s="509"/>
    </row>
    <row r="133" spans="3:30">
      <c r="C133" s="509"/>
      <c r="D133" s="509"/>
      <c r="E133" s="509"/>
      <c r="F133" s="509"/>
      <c r="G133" s="509"/>
      <c r="H133" s="509"/>
      <c r="I133" s="509"/>
      <c r="J133" s="509"/>
      <c r="K133" s="509"/>
      <c r="L133" s="509"/>
      <c r="M133" s="509"/>
      <c r="N133" s="509"/>
      <c r="O133" s="509"/>
      <c r="P133" s="509"/>
      <c r="Q133" s="509"/>
      <c r="R133" s="509"/>
      <c r="S133" s="509"/>
      <c r="T133" s="509"/>
      <c r="U133" s="509"/>
      <c r="V133" s="509"/>
      <c r="W133" s="509"/>
      <c r="X133" s="509"/>
      <c r="Y133" s="509"/>
      <c r="Z133" s="509"/>
      <c r="AA133" s="509"/>
      <c r="AB133" s="509"/>
      <c r="AC133" s="509"/>
      <c r="AD133" s="509"/>
    </row>
    <row r="134" spans="3:30">
      <c r="C134" s="509"/>
      <c r="D134" s="509"/>
      <c r="E134" s="509"/>
      <c r="F134" s="509"/>
      <c r="G134" s="509"/>
      <c r="H134" s="509"/>
      <c r="I134" s="509"/>
      <c r="J134" s="509"/>
      <c r="K134" s="509"/>
      <c r="L134" s="509"/>
      <c r="M134" s="509"/>
      <c r="N134" s="509"/>
      <c r="O134" s="509"/>
      <c r="P134" s="509"/>
      <c r="Q134" s="509"/>
      <c r="R134" s="509"/>
      <c r="S134" s="509"/>
      <c r="T134" s="509"/>
      <c r="U134" s="509"/>
      <c r="V134" s="509"/>
      <c r="W134" s="509"/>
      <c r="X134" s="509"/>
      <c r="Y134" s="509"/>
      <c r="Z134" s="509"/>
      <c r="AA134" s="509"/>
      <c r="AB134" s="509"/>
      <c r="AC134" s="509"/>
      <c r="AD134" s="509"/>
    </row>
    <row r="135" spans="3:30">
      <c r="C135" s="509"/>
      <c r="D135" s="509"/>
      <c r="E135" s="509"/>
      <c r="F135" s="509"/>
      <c r="G135" s="509"/>
      <c r="H135" s="509"/>
      <c r="I135" s="509"/>
      <c r="J135" s="509"/>
      <c r="K135" s="509"/>
      <c r="L135" s="509"/>
      <c r="M135" s="509"/>
      <c r="N135" s="509"/>
      <c r="O135" s="509"/>
      <c r="P135" s="509"/>
      <c r="Q135" s="509"/>
      <c r="R135" s="509"/>
      <c r="S135" s="509"/>
      <c r="T135" s="509"/>
      <c r="U135" s="509"/>
      <c r="V135" s="509"/>
      <c r="W135" s="509"/>
      <c r="X135" s="509"/>
      <c r="Y135" s="509"/>
      <c r="Z135" s="509"/>
      <c r="AA135" s="509"/>
      <c r="AB135" s="509"/>
      <c r="AC135" s="509"/>
      <c r="AD135" s="509"/>
    </row>
    <row r="136" spans="3:30">
      <c r="C136" s="509"/>
      <c r="D136" s="509"/>
      <c r="E136" s="509"/>
      <c r="F136" s="509"/>
      <c r="G136" s="509"/>
      <c r="H136" s="509"/>
      <c r="I136" s="509"/>
      <c r="J136" s="509"/>
      <c r="K136" s="509"/>
      <c r="L136" s="509"/>
      <c r="M136" s="509"/>
      <c r="N136" s="509"/>
      <c r="O136" s="509"/>
      <c r="P136" s="509"/>
      <c r="Q136" s="509"/>
      <c r="R136" s="509"/>
      <c r="S136" s="509"/>
      <c r="T136" s="509"/>
      <c r="U136" s="509"/>
      <c r="V136" s="509"/>
      <c r="W136" s="509"/>
      <c r="X136" s="509"/>
      <c r="Y136" s="509"/>
      <c r="Z136" s="509"/>
      <c r="AA136" s="509"/>
      <c r="AB136" s="509"/>
      <c r="AC136" s="509"/>
      <c r="AD136" s="509"/>
    </row>
    <row r="137" spans="3:30">
      <c r="C137" s="509"/>
      <c r="D137" s="509"/>
      <c r="E137" s="509"/>
      <c r="F137" s="509"/>
      <c r="G137" s="509"/>
      <c r="H137" s="509"/>
      <c r="I137" s="509"/>
      <c r="J137" s="509"/>
      <c r="K137" s="509"/>
      <c r="L137" s="509"/>
      <c r="M137" s="509"/>
      <c r="N137" s="509"/>
      <c r="O137" s="509"/>
      <c r="P137" s="509"/>
      <c r="Q137" s="509"/>
      <c r="R137" s="509"/>
      <c r="S137" s="509"/>
      <c r="T137" s="509"/>
      <c r="U137" s="509"/>
      <c r="V137" s="509"/>
      <c r="W137" s="509"/>
      <c r="X137" s="509"/>
      <c r="Y137" s="509"/>
      <c r="Z137" s="509"/>
      <c r="AA137" s="509"/>
      <c r="AB137" s="509"/>
      <c r="AC137" s="509"/>
      <c r="AD137" s="509"/>
    </row>
    <row r="138" spans="3:30">
      <c r="C138" s="509"/>
      <c r="D138" s="509"/>
      <c r="E138" s="509"/>
      <c r="F138" s="509"/>
      <c r="G138" s="509"/>
      <c r="H138" s="509"/>
      <c r="I138" s="509"/>
      <c r="J138" s="509"/>
      <c r="K138" s="509"/>
      <c r="L138" s="509"/>
      <c r="M138" s="509"/>
      <c r="N138" s="509"/>
      <c r="O138" s="509"/>
      <c r="P138" s="509"/>
      <c r="Q138" s="509"/>
      <c r="R138" s="509"/>
      <c r="S138" s="509"/>
      <c r="T138" s="509"/>
      <c r="U138" s="509"/>
      <c r="V138" s="509"/>
      <c r="W138" s="509"/>
      <c r="X138" s="509"/>
      <c r="Y138" s="509"/>
      <c r="Z138" s="509"/>
      <c r="AA138" s="509"/>
      <c r="AB138" s="509"/>
      <c r="AC138" s="509"/>
      <c r="AD138" s="509"/>
    </row>
    <row r="139" spans="3:30">
      <c r="C139" s="509"/>
      <c r="D139" s="509"/>
      <c r="E139" s="509"/>
      <c r="F139" s="509"/>
      <c r="G139" s="509"/>
      <c r="H139" s="509"/>
      <c r="I139" s="509"/>
      <c r="J139" s="509"/>
      <c r="K139" s="509"/>
      <c r="L139" s="509"/>
      <c r="M139" s="509"/>
      <c r="N139" s="509"/>
      <c r="O139" s="509"/>
      <c r="P139" s="509"/>
      <c r="Q139" s="509"/>
      <c r="R139" s="509"/>
      <c r="S139" s="509"/>
      <c r="T139" s="509"/>
      <c r="U139" s="509"/>
      <c r="V139" s="509"/>
      <c r="W139" s="509"/>
      <c r="X139" s="509"/>
      <c r="Y139" s="509"/>
      <c r="Z139" s="509"/>
      <c r="AA139" s="509"/>
      <c r="AB139" s="509"/>
      <c r="AC139" s="509"/>
      <c r="AD139" s="509"/>
    </row>
    <row r="140" spans="3:30">
      <c r="C140" s="509"/>
      <c r="D140" s="509"/>
      <c r="E140" s="509"/>
      <c r="F140" s="509"/>
      <c r="G140" s="509"/>
      <c r="H140" s="509"/>
      <c r="I140" s="509"/>
      <c r="J140" s="509"/>
      <c r="K140" s="509"/>
      <c r="L140" s="509"/>
      <c r="M140" s="509"/>
      <c r="N140" s="509"/>
      <c r="O140" s="509"/>
      <c r="P140" s="509"/>
      <c r="Q140" s="509"/>
      <c r="R140" s="509"/>
      <c r="S140" s="509"/>
      <c r="T140" s="509"/>
      <c r="U140" s="509"/>
      <c r="V140" s="509"/>
      <c r="W140" s="509"/>
      <c r="X140" s="509"/>
      <c r="Y140" s="509"/>
      <c r="Z140" s="509"/>
      <c r="AA140" s="509"/>
      <c r="AB140" s="509"/>
      <c r="AC140" s="509"/>
      <c r="AD140" s="509"/>
    </row>
    <row r="141" spans="3:30">
      <c r="C141" s="509"/>
      <c r="D141" s="509"/>
      <c r="E141" s="509"/>
      <c r="F141" s="509"/>
      <c r="G141" s="509"/>
      <c r="H141" s="509"/>
      <c r="I141" s="509"/>
      <c r="J141" s="509"/>
      <c r="K141" s="509"/>
      <c r="L141" s="509"/>
      <c r="M141" s="509"/>
      <c r="N141" s="509"/>
      <c r="O141" s="509"/>
      <c r="P141" s="509"/>
      <c r="Q141" s="509"/>
      <c r="R141" s="509"/>
      <c r="S141" s="509"/>
      <c r="T141" s="509"/>
      <c r="U141" s="509"/>
      <c r="V141" s="509"/>
      <c r="W141" s="509"/>
      <c r="X141" s="509"/>
      <c r="Y141" s="509"/>
      <c r="Z141" s="509"/>
      <c r="AA141" s="509"/>
      <c r="AB141" s="509"/>
      <c r="AC141" s="509"/>
      <c r="AD141" s="509"/>
    </row>
    <row r="142" spans="3:30">
      <c r="C142" s="509"/>
      <c r="D142" s="509"/>
      <c r="E142" s="509"/>
      <c r="F142" s="509"/>
      <c r="G142" s="509"/>
      <c r="H142" s="509"/>
      <c r="I142" s="509"/>
      <c r="J142" s="509"/>
      <c r="K142" s="509"/>
      <c r="L142" s="509"/>
      <c r="M142" s="509"/>
      <c r="N142" s="509"/>
      <c r="O142" s="509"/>
      <c r="P142" s="509"/>
      <c r="Q142" s="509"/>
      <c r="R142" s="509"/>
      <c r="S142" s="509"/>
      <c r="T142" s="509"/>
      <c r="U142" s="509"/>
      <c r="V142" s="509"/>
      <c r="W142" s="509"/>
      <c r="X142" s="509"/>
      <c r="Y142" s="509"/>
      <c r="Z142" s="509"/>
      <c r="AA142" s="509"/>
      <c r="AB142" s="509"/>
      <c r="AC142" s="509"/>
      <c r="AD142" s="509"/>
    </row>
    <row r="143" spans="3:30">
      <c r="C143" s="509"/>
      <c r="D143" s="509"/>
      <c r="E143" s="509"/>
      <c r="F143" s="509"/>
      <c r="G143" s="509"/>
      <c r="H143" s="509"/>
      <c r="I143" s="509"/>
      <c r="J143" s="509"/>
      <c r="K143" s="509"/>
      <c r="L143" s="509"/>
      <c r="M143" s="509"/>
      <c r="N143" s="509"/>
      <c r="O143" s="509"/>
      <c r="P143" s="509"/>
      <c r="Q143" s="509"/>
      <c r="R143" s="509"/>
      <c r="S143" s="509"/>
      <c r="T143" s="509"/>
      <c r="U143" s="509"/>
      <c r="V143" s="509"/>
      <c r="W143" s="509"/>
      <c r="X143" s="509"/>
      <c r="Y143" s="509"/>
      <c r="Z143" s="509"/>
      <c r="AA143" s="509"/>
      <c r="AB143" s="509"/>
      <c r="AC143" s="509"/>
      <c r="AD143" s="509"/>
    </row>
    <row r="144" spans="3:30">
      <c r="C144" s="509"/>
      <c r="D144" s="509"/>
      <c r="E144" s="509"/>
      <c r="F144" s="509"/>
      <c r="G144" s="509"/>
      <c r="H144" s="509"/>
      <c r="I144" s="509"/>
      <c r="J144" s="509"/>
      <c r="K144" s="509"/>
      <c r="L144" s="509"/>
      <c r="M144" s="509"/>
      <c r="N144" s="509"/>
      <c r="O144" s="509"/>
      <c r="P144" s="509"/>
      <c r="Q144" s="509"/>
      <c r="R144" s="509"/>
      <c r="S144" s="509"/>
      <c r="T144" s="509"/>
      <c r="U144" s="509"/>
      <c r="V144" s="509"/>
      <c r="W144" s="509"/>
      <c r="X144" s="509"/>
      <c r="Y144" s="509"/>
      <c r="Z144" s="509"/>
      <c r="AA144" s="509"/>
      <c r="AB144" s="509"/>
      <c r="AC144" s="509"/>
      <c r="AD144" s="509"/>
    </row>
    <row r="145" spans="3:30">
      <c r="C145" s="509"/>
      <c r="D145" s="509"/>
      <c r="E145" s="509"/>
      <c r="F145" s="509"/>
      <c r="G145" s="509"/>
      <c r="H145" s="509"/>
      <c r="I145" s="509"/>
      <c r="J145" s="509"/>
      <c r="K145" s="509"/>
      <c r="L145" s="509"/>
      <c r="M145" s="509"/>
      <c r="N145" s="509"/>
      <c r="O145" s="509"/>
      <c r="P145" s="509"/>
      <c r="Q145" s="509"/>
      <c r="R145" s="509"/>
      <c r="S145" s="509"/>
      <c r="T145" s="509"/>
      <c r="U145" s="509"/>
      <c r="V145" s="509"/>
      <c r="W145" s="509"/>
      <c r="X145" s="509"/>
      <c r="Y145" s="509"/>
      <c r="Z145" s="509"/>
      <c r="AA145" s="509"/>
      <c r="AB145" s="509"/>
      <c r="AC145" s="509"/>
      <c r="AD145" s="509"/>
    </row>
    <row r="146" spans="3:30">
      <c r="C146" s="509"/>
      <c r="D146" s="509"/>
      <c r="E146" s="509"/>
      <c r="F146" s="509"/>
      <c r="G146" s="509"/>
      <c r="H146" s="509"/>
      <c r="I146" s="509"/>
      <c r="J146" s="509"/>
      <c r="K146" s="509"/>
      <c r="L146" s="509"/>
      <c r="M146" s="509"/>
      <c r="N146" s="509"/>
      <c r="O146" s="509"/>
      <c r="P146" s="509"/>
      <c r="Q146" s="509"/>
      <c r="R146" s="509"/>
      <c r="S146" s="509"/>
      <c r="T146" s="509"/>
      <c r="U146" s="509"/>
      <c r="V146" s="509"/>
      <c r="W146" s="509"/>
      <c r="X146" s="509"/>
      <c r="Y146" s="509"/>
      <c r="Z146" s="509"/>
      <c r="AA146" s="509"/>
      <c r="AB146" s="509"/>
      <c r="AC146" s="509"/>
      <c r="AD146" s="509"/>
    </row>
    <row r="147" spans="3:30">
      <c r="C147" s="509"/>
      <c r="D147" s="509"/>
      <c r="E147" s="509"/>
      <c r="F147" s="509"/>
      <c r="G147" s="509"/>
      <c r="H147" s="509"/>
      <c r="I147" s="509"/>
      <c r="J147" s="509"/>
      <c r="K147" s="509"/>
      <c r="L147" s="509"/>
      <c r="M147" s="509"/>
      <c r="N147" s="509"/>
      <c r="O147" s="509"/>
      <c r="P147" s="509"/>
      <c r="Q147" s="509"/>
      <c r="R147" s="509"/>
      <c r="S147" s="509"/>
      <c r="T147" s="509"/>
      <c r="U147" s="509"/>
      <c r="V147" s="509"/>
      <c r="W147" s="509"/>
      <c r="X147" s="509"/>
      <c r="Y147" s="509"/>
      <c r="Z147" s="509"/>
      <c r="AA147" s="509"/>
      <c r="AB147" s="509"/>
      <c r="AC147" s="509"/>
      <c r="AD147" s="509"/>
    </row>
    <row r="148" spans="3:30">
      <c r="C148" s="509"/>
      <c r="D148" s="509"/>
      <c r="E148" s="509"/>
      <c r="F148" s="509"/>
      <c r="G148" s="509"/>
      <c r="H148" s="509"/>
      <c r="I148" s="509"/>
      <c r="J148" s="509"/>
      <c r="K148" s="509"/>
      <c r="L148" s="509"/>
      <c r="M148" s="509"/>
      <c r="N148" s="509"/>
      <c r="O148" s="509"/>
      <c r="P148" s="509"/>
      <c r="Q148" s="509"/>
      <c r="R148" s="509"/>
      <c r="S148" s="509"/>
      <c r="T148" s="509"/>
      <c r="U148" s="509"/>
      <c r="V148" s="509"/>
      <c r="W148" s="509"/>
      <c r="X148" s="509"/>
      <c r="Y148" s="509"/>
      <c r="Z148" s="509"/>
      <c r="AA148" s="509"/>
      <c r="AB148" s="509"/>
      <c r="AC148" s="509"/>
      <c r="AD148" s="509"/>
    </row>
    <row r="149" spans="3:30">
      <c r="C149" s="509"/>
      <c r="D149" s="509"/>
      <c r="E149" s="509"/>
      <c r="F149" s="509"/>
      <c r="G149" s="509"/>
      <c r="H149" s="509"/>
      <c r="I149" s="509"/>
      <c r="J149" s="509"/>
      <c r="K149" s="509"/>
      <c r="L149" s="509"/>
      <c r="M149" s="509"/>
      <c r="N149" s="509"/>
      <c r="O149" s="509"/>
      <c r="P149" s="509"/>
      <c r="Q149" s="509"/>
      <c r="R149" s="509"/>
      <c r="S149" s="509"/>
      <c r="T149" s="509"/>
      <c r="U149" s="509"/>
      <c r="V149" s="509"/>
      <c r="W149" s="509"/>
      <c r="X149" s="509"/>
      <c r="Y149" s="509"/>
      <c r="Z149" s="509"/>
      <c r="AA149" s="509"/>
      <c r="AB149" s="509"/>
      <c r="AC149" s="509"/>
      <c r="AD149" s="509"/>
    </row>
    <row r="150" spans="3:30">
      <c r="C150" s="509"/>
      <c r="D150" s="509"/>
      <c r="E150" s="509"/>
      <c r="F150" s="509"/>
      <c r="G150" s="509"/>
      <c r="H150" s="509"/>
      <c r="I150" s="509"/>
      <c r="J150" s="509"/>
      <c r="K150" s="509"/>
      <c r="L150" s="509"/>
      <c r="M150" s="509"/>
      <c r="N150" s="509"/>
      <c r="O150" s="509"/>
      <c r="P150" s="509"/>
      <c r="Q150" s="509"/>
      <c r="R150" s="509"/>
      <c r="S150" s="509"/>
      <c r="T150" s="509"/>
      <c r="U150" s="509"/>
      <c r="V150" s="509"/>
      <c r="W150" s="509"/>
      <c r="X150" s="509"/>
      <c r="Y150" s="509"/>
      <c r="Z150" s="509"/>
      <c r="AA150" s="509"/>
      <c r="AB150" s="509"/>
      <c r="AC150" s="509"/>
      <c r="AD150" s="509"/>
    </row>
    <row r="151" spans="3:30">
      <c r="C151" s="509"/>
      <c r="D151" s="509"/>
      <c r="E151" s="509"/>
      <c r="F151" s="509"/>
      <c r="G151" s="509"/>
      <c r="H151" s="509"/>
      <c r="I151" s="509"/>
      <c r="J151" s="509"/>
      <c r="K151" s="509"/>
      <c r="L151" s="509"/>
      <c r="M151" s="509"/>
      <c r="N151" s="509"/>
      <c r="O151" s="509"/>
      <c r="P151" s="509"/>
      <c r="Q151" s="509"/>
      <c r="R151" s="509"/>
      <c r="S151" s="509"/>
      <c r="T151" s="509"/>
      <c r="U151" s="509"/>
      <c r="V151" s="509"/>
      <c r="W151" s="509"/>
      <c r="X151" s="509"/>
      <c r="Y151" s="509"/>
      <c r="Z151" s="509"/>
      <c r="AA151" s="509"/>
      <c r="AB151" s="509"/>
      <c r="AC151" s="509"/>
      <c r="AD151" s="509"/>
    </row>
    <row r="152" spans="3:30">
      <c r="C152" s="509"/>
      <c r="D152" s="509"/>
      <c r="E152" s="509"/>
      <c r="F152" s="509"/>
      <c r="G152" s="509"/>
      <c r="H152" s="509"/>
      <c r="I152" s="509"/>
      <c r="J152" s="509"/>
      <c r="K152" s="509"/>
      <c r="L152" s="509"/>
      <c r="M152" s="509"/>
      <c r="N152" s="509"/>
      <c r="O152" s="509"/>
      <c r="P152" s="509"/>
      <c r="Q152" s="509"/>
      <c r="R152" s="509"/>
      <c r="S152" s="509"/>
      <c r="T152" s="509"/>
      <c r="U152" s="509"/>
      <c r="V152" s="509"/>
      <c r="W152" s="509"/>
      <c r="X152" s="509"/>
      <c r="Y152" s="509"/>
      <c r="Z152" s="509"/>
      <c r="AA152" s="509"/>
      <c r="AB152" s="509"/>
      <c r="AC152" s="509"/>
      <c r="AD152" s="509"/>
    </row>
    <row r="153" spans="3:30">
      <c r="C153" s="509"/>
      <c r="D153" s="509"/>
      <c r="E153" s="509"/>
      <c r="F153" s="509"/>
      <c r="G153" s="509"/>
      <c r="H153" s="509"/>
      <c r="I153" s="509"/>
      <c r="J153" s="509"/>
      <c r="K153" s="509"/>
      <c r="L153" s="509"/>
      <c r="M153" s="509"/>
      <c r="N153" s="509"/>
      <c r="O153" s="509"/>
      <c r="P153" s="509"/>
      <c r="Q153" s="509"/>
      <c r="R153" s="509"/>
      <c r="S153" s="509"/>
      <c r="T153" s="509"/>
      <c r="U153" s="509"/>
      <c r="V153" s="509"/>
      <c r="W153" s="509"/>
      <c r="X153" s="509"/>
      <c r="Y153" s="509"/>
      <c r="Z153" s="509"/>
      <c r="AA153" s="509"/>
      <c r="AB153" s="509"/>
      <c r="AC153" s="509"/>
      <c r="AD153" s="509"/>
    </row>
    <row r="154" spans="3:30">
      <c r="C154" s="509"/>
      <c r="D154" s="509"/>
      <c r="E154" s="509"/>
      <c r="F154" s="509"/>
      <c r="G154" s="509"/>
      <c r="H154" s="509"/>
      <c r="I154" s="509"/>
      <c r="J154" s="509"/>
      <c r="K154" s="509"/>
      <c r="L154" s="509"/>
      <c r="M154" s="509"/>
      <c r="N154" s="509"/>
      <c r="O154" s="509"/>
      <c r="P154" s="509"/>
      <c r="Q154" s="509"/>
      <c r="R154" s="509"/>
      <c r="S154" s="509"/>
      <c r="T154" s="509"/>
      <c r="U154" s="509"/>
      <c r="V154" s="509"/>
      <c r="W154" s="509"/>
      <c r="X154" s="509"/>
      <c r="Y154" s="509"/>
      <c r="Z154" s="509"/>
      <c r="AA154" s="509"/>
      <c r="AB154" s="509"/>
      <c r="AC154" s="509"/>
      <c r="AD154" s="509"/>
    </row>
    <row r="155" spans="3:30">
      <c r="C155" s="509"/>
      <c r="D155" s="509"/>
      <c r="E155" s="509"/>
      <c r="F155" s="509"/>
      <c r="G155" s="509"/>
      <c r="H155" s="509"/>
      <c r="I155" s="509"/>
      <c r="J155" s="509"/>
      <c r="K155" s="509"/>
      <c r="L155" s="509"/>
      <c r="M155" s="509"/>
      <c r="N155" s="509"/>
      <c r="O155" s="509"/>
      <c r="P155" s="509"/>
      <c r="Q155" s="509"/>
      <c r="R155" s="509"/>
      <c r="S155" s="509"/>
      <c r="T155" s="509"/>
      <c r="U155" s="509"/>
      <c r="V155" s="509"/>
      <c r="W155" s="509"/>
      <c r="X155" s="509"/>
      <c r="Y155" s="509"/>
      <c r="Z155" s="509"/>
      <c r="AA155" s="509"/>
      <c r="AB155" s="509"/>
      <c r="AC155" s="509"/>
      <c r="AD155" s="509"/>
    </row>
    <row r="156" spans="3:30">
      <c r="C156" s="509"/>
      <c r="D156" s="509"/>
      <c r="E156" s="509"/>
      <c r="F156" s="509"/>
      <c r="G156" s="509"/>
      <c r="H156" s="509"/>
      <c r="I156" s="509"/>
      <c r="J156" s="509"/>
      <c r="K156" s="509"/>
      <c r="L156" s="509"/>
      <c r="M156" s="509"/>
      <c r="N156" s="509"/>
      <c r="O156" s="509"/>
      <c r="P156" s="509"/>
      <c r="Q156" s="509"/>
      <c r="R156" s="509"/>
      <c r="S156" s="509"/>
      <c r="T156" s="509"/>
      <c r="U156" s="509"/>
      <c r="V156" s="509"/>
      <c r="W156" s="509"/>
      <c r="X156" s="509"/>
      <c r="Y156" s="509"/>
      <c r="Z156" s="509"/>
      <c r="AA156" s="509"/>
      <c r="AB156" s="509"/>
      <c r="AC156" s="509"/>
      <c r="AD156" s="509"/>
    </row>
    <row r="157" spans="3:30">
      <c r="C157" s="509"/>
      <c r="D157" s="509"/>
      <c r="E157" s="509"/>
      <c r="F157" s="509"/>
      <c r="G157" s="509"/>
      <c r="H157" s="509"/>
      <c r="I157" s="509"/>
      <c r="J157" s="509"/>
      <c r="K157" s="509"/>
      <c r="L157" s="509"/>
      <c r="M157" s="509"/>
      <c r="N157" s="509"/>
      <c r="O157" s="509"/>
      <c r="P157" s="509"/>
      <c r="Q157" s="509"/>
      <c r="R157" s="509"/>
      <c r="S157" s="509"/>
      <c r="T157" s="509"/>
      <c r="U157" s="509"/>
      <c r="V157" s="509"/>
      <c r="W157" s="509"/>
      <c r="X157" s="509"/>
      <c r="Y157" s="509"/>
      <c r="Z157" s="509"/>
      <c r="AA157" s="509"/>
      <c r="AB157" s="509"/>
      <c r="AC157" s="509"/>
      <c r="AD157" s="509"/>
    </row>
    <row r="158" spans="3:30">
      <c r="C158" s="509"/>
      <c r="D158" s="509"/>
      <c r="E158" s="509"/>
      <c r="F158" s="509"/>
      <c r="G158" s="509"/>
      <c r="H158" s="509"/>
      <c r="I158" s="509"/>
      <c r="J158" s="509"/>
      <c r="K158" s="509"/>
      <c r="L158" s="509"/>
      <c r="M158" s="509"/>
      <c r="N158" s="509"/>
      <c r="O158" s="509"/>
      <c r="P158" s="509"/>
      <c r="Q158" s="509"/>
      <c r="R158" s="509"/>
      <c r="S158" s="509"/>
      <c r="T158" s="509"/>
      <c r="U158" s="509"/>
      <c r="V158" s="509"/>
      <c r="W158" s="509"/>
      <c r="X158" s="509"/>
      <c r="Y158" s="509"/>
      <c r="Z158" s="509"/>
      <c r="AA158" s="509"/>
      <c r="AB158" s="509"/>
      <c r="AC158" s="509"/>
      <c r="AD158" s="509"/>
    </row>
    <row r="159" spans="3:30">
      <c r="C159" s="509"/>
      <c r="D159" s="509"/>
      <c r="E159" s="509"/>
      <c r="F159" s="509"/>
      <c r="G159" s="509"/>
      <c r="H159" s="509"/>
      <c r="I159" s="509"/>
      <c r="J159" s="509"/>
      <c r="K159" s="509"/>
      <c r="L159" s="509"/>
      <c r="M159" s="509"/>
      <c r="N159" s="509"/>
      <c r="O159" s="509"/>
      <c r="P159" s="509"/>
      <c r="Q159" s="509"/>
      <c r="R159" s="509"/>
      <c r="S159" s="509"/>
      <c r="T159" s="509"/>
      <c r="U159" s="509"/>
      <c r="V159" s="509"/>
      <c r="W159" s="509"/>
      <c r="X159" s="509"/>
      <c r="Y159" s="509"/>
      <c r="Z159" s="509"/>
      <c r="AA159" s="509"/>
      <c r="AB159" s="509"/>
      <c r="AC159" s="509"/>
      <c r="AD159" s="509"/>
    </row>
    <row r="160" spans="3:30">
      <c r="C160" s="509"/>
      <c r="D160" s="509"/>
      <c r="E160" s="509"/>
      <c r="F160" s="509"/>
      <c r="G160" s="509"/>
      <c r="H160" s="509"/>
      <c r="I160" s="509"/>
      <c r="J160" s="509"/>
      <c r="K160" s="509"/>
      <c r="L160" s="509"/>
      <c r="M160" s="509"/>
      <c r="N160" s="509"/>
      <c r="O160" s="509"/>
      <c r="P160" s="509"/>
      <c r="Q160" s="509"/>
      <c r="R160" s="509"/>
      <c r="S160" s="509"/>
      <c r="T160" s="509"/>
      <c r="U160" s="509"/>
      <c r="V160" s="509"/>
      <c r="W160" s="509"/>
      <c r="X160" s="509"/>
      <c r="Y160" s="509"/>
      <c r="Z160" s="509"/>
      <c r="AA160" s="509"/>
      <c r="AB160" s="509"/>
      <c r="AC160" s="509"/>
      <c r="AD160" s="509"/>
    </row>
    <row r="161" spans="3:30">
      <c r="C161" s="509"/>
      <c r="D161" s="509"/>
      <c r="E161" s="509"/>
      <c r="F161" s="509"/>
      <c r="G161" s="509"/>
      <c r="H161" s="509"/>
      <c r="I161" s="509"/>
      <c r="J161" s="509"/>
      <c r="K161" s="509"/>
      <c r="L161" s="509"/>
      <c r="M161" s="509"/>
      <c r="N161" s="509"/>
      <c r="O161" s="509"/>
      <c r="P161" s="509"/>
      <c r="Q161" s="509"/>
      <c r="R161" s="509"/>
      <c r="S161" s="509"/>
      <c r="T161" s="509"/>
      <c r="U161" s="509"/>
      <c r="V161" s="509"/>
      <c r="W161" s="509"/>
      <c r="X161" s="509"/>
      <c r="Y161" s="509"/>
      <c r="Z161" s="509"/>
      <c r="AA161" s="509"/>
      <c r="AB161" s="509"/>
      <c r="AC161" s="509"/>
      <c r="AD161" s="509"/>
    </row>
    <row r="162" spans="3:30">
      <c r="C162" s="509"/>
      <c r="D162" s="509"/>
      <c r="E162" s="509"/>
      <c r="F162" s="509"/>
      <c r="G162" s="509"/>
      <c r="H162" s="509"/>
      <c r="I162" s="509"/>
      <c r="J162" s="509"/>
      <c r="K162" s="509"/>
      <c r="L162" s="509"/>
      <c r="M162" s="509"/>
      <c r="N162" s="509"/>
      <c r="O162" s="509"/>
      <c r="P162" s="509"/>
      <c r="Q162" s="509"/>
      <c r="R162" s="509"/>
      <c r="S162" s="509"/>
      <c r="T162" s="509"/>
      <c r="U162" s="509"/>
      <c r="V162" s="509"/>
      <c r="W162" s="509"/>
      <c r="X162" s="509"/>
      <c r="Y162" s="509"/>
      <c r="Z162" s="509"/>
      <c r="AA162" s="509"/>
      <c r="AB162" s="509"/>
      <c r="AC162" s="509"/>
      <c r="AD162" s="509"/>
    </row>
    <row r="163" spans="3:30">
      <c r="C163" s="509"/>
      <c r="D163" s="509"/>
      <c r="E163" s="509"/>
      <c r="F163" s="509"/>
      <c r="G163" s="509"/>
      <c r="H163" s="509"/>
      <c r="I163" s="509"/>
      <c r="J163" s="509"/>
      <c r="K163" s="509"/>
      <c r="L163" s="509"/>
      <c r="M163" s="509"/>
      <c r="N163" s="509"/>
      <c r="O163" s="509"/>
      <c r="P163" s="509"/>
      <c r="Q163" s="509"/>
      <c r="R163" s="509"/>
      <c r="S163" s="509"/>
      <c r="T163" s="509"/>
      <c r="U163" s="509"/>
      <c r="V163" s="509"/>
      <c r="W163" s="509"/>
      <c r="X163" s="509"/>
      <c r="Y163" s="509"/>
      <c r="Z163" s="509"/>
      <c r="AA163" s="509"/>
      <c r="AB163" s="509"/>
      <c r="AC163" s="509"/>
      <c r="AD163" s="509"/>
    </row>
    <row r="164" spans="3:30">
      <c r="C164" s="509"/>
      <c r="D164" s="509"/>
      <c r="E164" s="509"/>
      <c r="F164" s="509"/>
      <c r="G164" s="509"/>
      <c r="H164" s="509"/>
      <c r="I164" s="509"/>
      <c r="J164" s="509"/>
      <c r="K164" s="509"/>
      <c r="L164" s="509"/>
      <c r="M164" s="509"/>
      <c r="N164" s="509"/>
      <c r="O164" s="509"/>
      <c r="P164" s="509"/>
      <c r="Q164" s="509"/>
      <c r="R164" s="509"/>
      <c r="S164" s="509"/>
      <c r="T164" s="509"/>
      <c r="U164" s="509"/>
      <c r="V164" s="509"/>
      <c r="W164" s="509"/>
      <c r="X164" s="509"/>
      <c r="Y164" s="509"/>
      <c r="Z164" s="509"/>
      <c r="AA164" s="509"/>
      <c r="AB164" s="509"/>
      <c r="AC164" s="509"/>
      <c r="AD164" s="509"/>
    </row>
    <row r="165" spans="3:30">
      <c r="C165" s="509"/>
      <c r="D165" s="509"/>
      <c r="E165" s="509"/>
      <c r="F165" s="509"/>
      <c r="G165" s="509"/>
      <c r="H165" s="509"/>
      <c r="I165" s="509"/>
      <c r="J165" s="509"/>
      <c r="K165" s="509"/>
      <c r="L165" s="509"/>
      <c r="M165" s="509"/>
      <c r="N165" s="509"/>
      <c r="O165" s="509"/>
      <c r="P165" s="509"/>
      <c r="Q165" s="509"/>
      <c r="R165" s="509"/>
      <c r="S165" s="509"/>
      <c r="T165" s="509"/>
      <c r="U165" s="509"/>
      <c r="V165" s="509"/>
      <c r="W165" s="509"/>
      <c r="X165" s="509"/>
      <c r="Y165" s="509"/>
      <c r="Z165" s="509"/>
      <c r="AA165" s="509"/>
      <c r="AB165" s="509"/>
      <c r="AC165" s="509"/>
      <c r="AD165" s="509"/>
    </row>
    <row r="166" spans="3:30">
      <c r="C166" s="509"/>
      <c r="D166" s="509"/>
      <c r="E166" s="509"/>
      <c r="F166" s="509"/>
      <c r="G166" s="509"/>
      <c r="H166" s="509"/>
      <c r="I166" s="509"/>
      <c r="J166" s="509"/>
      <c r="K166" s="509"/>
      <c r="L166" s="509"/>
      <c r="M166" s="509"/>
      <c r="N166" s="509"/>
      <c r="O166" s="509"/>
      <c r="P166" s="509"/>
      <c r="Q166" s="509"/>
      <c r="R166" s="509"/>
      <c r="S166" s="509"/>
      <c r="T166" s="509"/>
      <c r="U166" s="509"/>
      <c r="V166" s="509"/>
      <c r="W166" s="509"/>
      <c r="X166" s="509"/>
      <c r="Y166" s="509"/>
      <c r="Z166" s="509"/>
      <c r="AA166" s="509"/>
      <c r="AB166" s="509"/>
      <c r="AC166" s="509"/>
      <c r="AD166" s="509"/>
    </row>
    <row r="167" spans="3:30">
      <c r="C167" s="509"/>
      <c r="D167" s="509"/>
      <c r="E167" s="509"/>
      <c r="F167" s="509"/>
      <c r="G167" s="509"/>
      <c r="H167" s="509"/>
      <c r="I167" s="509"/>
      <c r="J167" s="509"/>
      <c r="K167" s="509"/>
      <c r="L167" s="509"/>
      <c r="M167" s="509"/>
      <c r="N167" s="509"/>
      <c r="O167" s="509"/>
      <c r="P167" s="509"/>
      <c r="Q167" s="509"/>
      <c r="R167" s="509"/>
      <c r="S167" s="509"/>
      <c r="T167" s="509"/>
      <c r="U167" s="509"/>
      <c r="V167" s="509"/>
      <c r="W167" s="509"/>
      <c r="X167" s="509"/>
      <c r="Y167" s="509"/>
      <c r="Z167" s="509"/>
      <c r="AA167" s="509"/>
      <c r="AB167" s="509"/>
      <c r="AC167" s="509"/>
      <c r="AD167" s="509"/>
    </row>
    <row r="168" spans="3:30">
      <c r="C168" s="509"/>
      <c r="D168" s="509"/>
      <c r="E168" s="509"/>
      <c r="F168" s="509"/>
      <c r="G168" s="509"/>
      <c r="H168" s="509"/>
      <c r="I168" s="509"/>
      <c r="J168" s="509"/>
      <c r="K168" s="509"/>
      <c r="L168" s="509"/>
      <c r="M168" s="509"/>
      <c r="N168" s="509"/>
      <c r="O168" s="509"/>
      <c r="P168" s="509"/>
      <c r="Q168" s="509"/>
      <c r="R168" s="509"/>
      <c r="S168" s="509"/>
      <c r="T168" s="509"/>
      <c r="U168" s="509"/>
      <c r="V168" s="509"/>
      <c r="W168" s="509"/>
      <c r="X168" s="509"/>
      <c r="Y168" s="509"/>
      <c r="Z168" s="509"/>
      <c r="AA168" s="509"/>
      <c r="AB168" s="509"/>
      <c r="AC168" s="509"/>
      <c r="AD168" s="509"/>
    </row>
    <row r="169" spans="3:30">
      <c r="C169" s="509"/>
      <c r="D169" s="509"/>
      <c r="E169" s="509"/>
      <c r="F169" s="509"/>
      <c r="G169" s="509"/>
      <c r="H169" s="509"/>
      <c r="I169" s="509"/>
      <c r="J169" s="509"/>
      <c r="K169" s="509"/>
      <c r="L169" s="509"/>
      <c r="M169" s="509"/>
      <c r="N169" s="509"/>
      <c r="O169" s="509"/>
      <c r="P169" s="509"/>
      <c r="Q169" s="509"/>
      <c r="R169" s="509"/>
      <c r="S169" s="509"/>
      <c r="T169" s="509"/>
      <c r="U169" s="509"/>
      <c r="V169" s="509"/>
      <c r="W169" s="509"/>
      <c r="X169" s="509"/>
      <c r="Y169" s="509"/>
      <c r="Z169" s="509"/>
      <c r="AA169" s="509"/>
      <c r="AB169" s="509"/>
      <c r="AC169" s="509"/>
      <c r="AD169" s="509"/>
    </row>
    <row r="170" spans="3:30">
      <c r="C170" s="509"/>
      <c r="D170" s="509"/>
      <c r="E170" s="509"/>
      <c r="F170" s="509"/>
      <c r="G170" s="509"/>
      <c r="H170" s="509"/>
      <c r="I170" s="509"/>
      <c r="J170" s="509"/>
      <c r="K170" s="509"/>
      <c r="L170" s="509"/>
      <c r="M170" s="509"/>
      <c r="N170" s="509"/>
      <c r="O170" s="509"/>
      <c r="P170" s="509"/>
      <c r="Q170" s="509"/>
      <c r="R170" s="509"/>
      <c r="S170" s="509"/>
      <c r="T170" s="509"/>
      <c r="U170" s="509"/>
      <c r="V170" s="509"/>
      <c r="W170" s="509"/>
      <c r="X170" s="509"/>
      <c r="Y170" s="509"/>
      <c r="Z170" s="509"/>
      <c r="AA170" s="509"/>
      <c r="AB170" s="509"/>
      <c r="AC170" s="509"/>
      <c r="AD170" s="509"/>
    </row>
    <row r="171" spans="3:30">
      <c r="C171" s="509"/>
      <c r="D171" s="509"/>
      <c r="E171" s="509"/>
      <c r="F171" s="509"/>
      <c r="G171" s="509"/>
      <c r="H171" s="509"/>
      <c r="I171" s="509"/>
      <c r="J171" s="509"/>
      <c r="K171" s="509"/>
      <c r="L171" s="509"/>
      <c r="M171" s="509"/>
      <c r="N171" s="509"/>
      <c r="O171" s="509"/>
      <c r="P171" s="509"/>
      <c r="Q171" s="509"/>
      <c r="R171" s="509"/>
      <c r="S171" s="509"/>
      <c r="T171" s="509"/>
      <c r="U171" s="509"/>
      <c r="V171" s="509"/>
      <c r="W171" s="509"/>
      <c r="X171" s="509"/>
      <c r="Y171" s="509"/>
      <c r="Z171" s="509"/>
      <c r="AA171" s="509"/>
      <c r="AB171" s="509"/>
      <c r="AC171" s="509"/>
      <c r="AD171" s="509"/>
    </row>
    <row r="172" spans="3:30">
      <c r="C172" s="509"/>
      <c r="D172" s="509"/>
      <c r="E172" s="509"/>
      <c r="F172" s="509"/>
      <c r="G172" s="509"/>
      <c r="H172" s="509"/>
      <c r="I172" s="509"/>
      <c r="J172" s="509"/>
      <c r="K172" s="509"/>
      <c r="L172" s="509"/>
      <c r="M172" s="509"/>
      <c r="N172" s="509"/>
      <c r="O172" s="509"/>
      <c r="P172" s="509"/>
      <c r="Q172" s="509"/>
      <c r="R172" s="509"/>
      <c r="S172" s="509"/>
      <c r="T172" s="509"/>
      <c r="U172" s="509"/>
      <c r="V172" s="509"/>
      <c r="W172" s="509"/>
      <c r="X172" s="509"/>
      <c r="Y172" s="509"/>
      <c r="Z172" s="509"/>
      <c r="AA172" s="509"/>
      <c r="AB172" s="509"/>
      <c r="AC172" s="509"/>
      <c r="AD172" s="509"/>
    </row>
    <row r="173" spans="3:30">
      <c r="C173" s="509"/>
      <c r="D173" s="509"/>
      <c r="E173" s="509"/>
      <c r="F173" s="509"/>
      <c r="G173" s="509"/>
      <c r="H173" s="509"/>
      <c r="I173" s="509"/>
      <c r="J173" s="509"/>
      <c r="K173" s="509"/>
      <c r="L173" s="509"/>
      <c r="M173" s="509"/>
      <c r="N173" s="509"/>
      <c r="O173" s="509"/>
      <c r="P173" s="509"/>
      <c r="Q173" s="509"/>
      <c r="R173" s="509"/>
      <c r="S173" s="509"/>
      <c r="T173" s="509"/>
      <c r="U173" s="509"/>
      <c r="V173" s="509"/>
      <c r="W173" s="509"/>
      <c r="X173" s="509"/>
      <c r="Y173" s="509"/>
      <c r="Z173" s="509"/>
      <c r="AA173" s="509"/>
      <c r="AB173" s="509"/>
      <c r="AC173" s="509"/>
      <c r="AD173" s="509"/>
    </row>
    <row r="174" spans="3:30">
      <c r="C174" s="509"/>
      <c r="D174" s="509"/>
      <c r="E174" s="509"/>
      <c r="F174" s="509"/>
      <c r="G174" s="509"/>
      <c r="H174" s="509"/>
      <c r="I174" s="509"/>
      <c r="J174" s="509"/>
      <c r="K174" s="509"/>
      <c r="L174" s="509"/>
      <c r="M174" s="509"/>
      <c r="N174" s="509"/>
      <c r="O174" s="509"/>
      <c r="P174" s="509"/>
      <c r="Q174" s="509"/>
      <c r="R174" s="509"/>
      <c r="S174" s="509"/>
      <c r="T174" s="509"/>
      <c r="U174" s="509"/>
      <c r="V174" s="509"/>
      <c r="W174" s="509"/>
      <c r="X174" s="509"/>
      <c r="Y174" s="509"/>
      <c r="Z174" s="509"/>
      <c r="AA174" s="509"/>
      <c r="AB174" s="509"/>
      <c r="AC174" s="509"/>
      <c r="AD174" s="509"/>
    </row>
    <row r="175" spans="3:30">
      <c r="C175" s="509"/>
      <c r="D175" s="509"/>
      <c r="E175" s="509"/>
      <c r="F175" s="509"/>
      <c r="G175" s="509"/>
      <c r="H175" s="509"/>
      <c r="I175" s="509"/>
      <c r="J175" s="509"/>
      <c r="K175" s="509"/>
      <c r="L175" s="509"/>
      <c r="M175" s="509"/>
      <c r="N175" s="509"/>
      <c r="O175" s="509"/>
      <c r="P175" s="509"/>
      <c r="Q175" s="509"/>
      <c r="R175" s="509"/>
      <c r="S175" s="509"/>
      <c r="T175" s="509"/>
      <c r="U175" s="509"/>
      <c r="V175" s="509"/>
      <c r="W175" s="509"/>
      <c r="X175" s="509"/>
      <c r="Y175" s="509"/>
      <c r="Z175" s="509"/>
      <c r="AA175" s="509"/>
      <c r="AB175" s="509"/>
      <c r="AC175" s="509"/>
      <c r="AD175" s="509"/>
    </row>
    <row r="176" spans="3:30">
      <c r="C176" s="509"/>
      <c r="D176" s="509"/>
      <c r="E176" s="509"/>
      <c r="F176" s="509"/>
      <c r="G176" s="509"/>
      <c r="H176" s="509"/>
      <c r="I176" s="509"/>
      <c r="J176" s="509"/>
      <c r="K176" s="509"/>
      <c r="L176" s="509"/>
      <c r="M176" s="509"/>
      <c r="N176" s="509"/>
      <c r="O176" s="509"/>
      <c r="P176" s="509"/>
      <c r="Q176" s="509"/>
      <c r="R176" s="509"/>
      <c r="S176" s="509"/>
      <c r="T176" s="509"/>
      <c r="U176" s="509"/>
      <c r="V176" s="509"/>
      <c r="W176" s="509"/>
      <c r="X176" s="509"/>
      <c r="Y176" s="509"/>
      <c r="Z176" s="509"/>
      <c r="AA176" s="509"/>
      <c r="AB176" s="509"/>
      <c r="AC176" s="509"/>
      <c r="AD176" s="509"/>
    </row>
    <row r="177" spans="3:30">
      <c r="C177" s="509"/>
      <c r="D177" s="509"/>
      <c r="E177" s="509"/>
      <c r="F177" s="509"/>
      <c r="G177" s="509"/>
      <c r="H177" s="509"/>
      <c r="I177" s="509"/>
      <c r="J177" s="509"/>
      <c r="K177" s="509"/>
      <c r="L177" s="509"/>
      <c r="M177" s="509"/>
      <c r="N177" s="509"/>
      <c r="O177" s="509"/>
      <c r="P177" s="509"/>
      <c r="Q177" s="509"/>
      <c r="R177" s="509"/>
      <c r="S177" s="509"/>
      <c r="T177" s="509"/>
      <c r="U177" s="509"/>
      <c r="V177" s="509"/>
      <c r="W177" s="509"/>
      <c r="X177" s="509"/>
      <c r="Y177" s="509"/>
      <c r="Z177" s="509"/>
      <c r="AA177" s="509"/>
      <c r="AB177" s="509"/>
      <c r="AC177" s="509"/>
      <c r="AD177" s="509"/>
    </row>
    <row r="178" spans="3:30">
      <c r="C178" s="509"/>
      <c r="D178" s="509"/>
      <c r="E178" s="509"/>
      <c r="F178" s="509"/>
      <c r="G178" s="509"/>
      <c r="H178" s="509"/>
      <c r="I178" s="509"/>
      <c r="J178" s="509"/>
      <c r="K178" s="509"/>
      <c r="L178" s="509"/>
      <c r="M178" s="509"/>
      <c r="N178" s="509"/>
      <c r="O178" s="509"/>
      <c r="P178" s="509"/>
      <c r="Q178" s="509"/>
      <c r="R178" s="509"/>
      <c r="S178" s="509"/>
      <c r="T178" s="509"/>
      <c r="U178" s="509"/>
      <c r="V178" s="509"/>
      <c r="W178" s="509"/>
      <c r="X178" s="509"/>
      <c r="Y178" s="509"/>
      <c r="Z178" s="509"/>
      <c r="AA178" s="509"/>
      <c r="AB178" s="509"/>
      <c r="AC178" s="509"/>
      <c r="AD178" s="509"/>
    </row>
    <row r="179" spans="3:30">
      <c r="C179" s="509"/>
      <c r="D179" s="509"/>
      <c r="E179" s="509"/>
      <c r="F179" s="509"/>
      <c r="G179" s="509"/>
      <c r="H179" s="509"/>
      <c r="I179" s="509"/>
      <c r="J179" s="509"/>
      <c r="K179" s="509"/>
      <c r="L179" s="509"/>
      <c r="M179" s="509"/>
      <c r="N179" s="509"/>
      <c r="O179" s="509"/>
      <c r="P179" s="509"/>
      <c r="Q179" s="509"/>
      <c r="R179" s="509"/>
      <c r="S179" s="509"/>
      <c r="T179" s="509"/>
      <c r="U179" s="509"/>
      <c r="V179" s="509"/>
      <c r="W179" s="509"/>
      <c r="X179" s="509"/>
      <c r="Y179" s="509"/>
      <c r="Z179" s="509"/>
      <c r="AA179" s="509"/>
      <c r="AB179" s="509"/>
      <c r="AC179" s="509"/>
      <c r="AD179" s="509"/>
    </row>
    <row r="180" spans="3:30">
      <c r="C180" s="509"/>
      <c r="D180" s="509"/>
      <c r="E180" s="509"/>
      <c r="F180" s="509"/>
      <c r="G180" s="509"/>
      <c r="H180" s="509"/>
      <c r="I180" s="509"/>
      <c r="J180" s="509"/>
      <c r="K180" s="509"/>
      <c r="L180" s="509"/>
      <c r="M180" s="509"/>
      <c r="N180" s="509"/>
      <c r="O180" s="509"/>
      <c r="P180" s="509"/>
      <c r="Q180" s="509"/>
      <c r="R180" s="509"/>
      <c r="S180" s="509"/>
      <c r="T180" s="509"/>
      <c r="U180" s="509"/>
      <c r="V180" s="509"/>
      <c r="W180" s="509"/>
      <c r="X180" s="509"/>
      <c r="Y180" s="509"/>
      <c r="Z180" s="509"/>
      <c r="AA180" s="509"/>
      <c r="AB180" s="509"/>
      <c r="AC180" s="509"/>
      <c r="AD180" s="509"/>
    </row>
    <row r="181" spans="3:30">
      <c r="C181" s="509"/>
      <c r="D181" s="509"/>
      <c r="E181" s="509"/>
      <c r="F181" s="509"/>
      <c r="G181" s="509"/>
      <c r="H181" s="509"/>
      <c r="I181" s="509"/>
      <c r="J181" s="509"/>
      <c r="K181" s="509"/>
      <c r="L181" s="509"/>
      <c r="M181" s="509"/>
      <c r="N181" s="509"/>
      <c r="O181" s="509"/>
      <c r="P181" s="509"/>
      <c r="Q181" s="509"/>
      <c r="R181" s="509"/>
      <c r="S181" s="509"/>
      <c r="T181" s="509"/>
      <c r="U181" s="509"/>
      <c r="V181" s="509"/>
      <c r="W181" s="509"/>
      <c r="X181" s="509"/>
      <c r="Y181" s="509"/>
      <c r="Z181" s="509"/>
      <c r="AA181" s="509"/>
      <c r="AB181" s="509"/>
      <c r="AC181" s="509"/>
      <c r="AD181" s="509"/>
    </row>
    <row r="182" spans="3:30">
      <c r="C182" s="509"/>
      <c r="D182" s="509"/>
      <c r="E182" s="509"/>
      <c r="F182" s="509"/>
      <c r="G182" s="509"/>
      <c r="H182" s="509"/>
      <c r="I182" s="509"/>
      <c r="J182" s="509"/>
      <c r="K182" s="509"/>
      <c r="L182" s="509"/>
      <c r="M182" s="509"/>
      <c r="N182" s="509"/>
      <c r="O182" s="509"/>
      <c r="P182" s="509"/>
      <c r="Q182" s="509"/>
      <c r="R182" s="509"/>
      <c r="S182" s="509"/>
      <c r="T182" s="509"/>
      <c r="U182" s="509"/>
      <c r="V182" s="509"/>
      <c r="W182" s="509"/>
      <c r="X182" s="509"/>
      <c r="Y182" s="509"/>
      <c r="Z182" s="509"/>
      <c r="AA182" s="509"/>
      <c r="AB182" s="509"/>
      <c r="AC182" s="509"/>
      <c r="AD182" s="509"/>
    </row>
    <row r="183" spans="3:30">
      <c r="C183" s="509"/>
      <c r="D183" s="509"/>
      <c r="E183" s="509"/>
      <c r="F183" s="509"/>
      <c r="G183" s="509"/>
      <c r="H183" s="509"/>
      <c r="I183" s="509"/>
      <c r="J183" s="509"/>
      <c r="K183" s="509"/>
      <c r="L183" s="509"/>
      <c r="M183" s="509"/>
      <c r="N183" s="509"/>
      <c r="O183" s="509"/>
      <c r="P183" s="509"/>
      <c r="Q183" s="509"/>
      <c r="R183" s="509"/>
      <c r="S183" s="509"/>
      <c r="T183" s="509"/>
      <c r="U183" s="509"/>
      <c r="V183" s="509"/>
      <c r="W183" s="509"/>
      <c r="X183" s="509"/>
      <c r="Y183" s="509"/>
      <c r="Z183" s="509"/>
      <c r="AA183" s="509"/>
      <c r="AB183" s="509"/>
      <c r="AC183" s="509"/>
      <c r="AD183" s="509"/>
    </row>
    <row r="184" spans="3:30">
      <c r="C184" s="509"/>
      <c r="D184" s="509"/>
      <c r="E184" s="509"/>
      <c r="F184" s="509"/>
      <c r="G184" s="509"/>
      <c r="H184" s="509"/>
      <c r="I184" s="509"/>
      <c r="J184" s="509"/>
      <c r="K184" s="509"/>
      <c r="L184" s="509"/>
      <c r="M184" s="509"/>
      <c r="N184" s="509"/>
      <c r="O184" s="509"/>
      <c r="P184" s="509"/>
      <c r="Q184" s="509"/>
      <c r="R184" s="509"/>
      <c r="S184" s="509"/>
      <c r="T184" s="509"/>
      <c r="U184" s="509"/>
      <c r="V184" s="509"/>
      <c r="W184" s="509"/>
      <c r="X184" s="509"/>
      <c r="Y184" s="509"/>
      <c r="Z184" s="509"/>
      <c r="AA184" s="509"/>
      <c r="AB184" s="509"/>
      <c r="AC184" s="509"/>
      <c r="AD184" s="509"/>
    </row>
    <row r="185" spans="3:30">
      <c r="C185" s="509"/>
      <c r="D185" s="509"/>
      <c r="E185" s="509"/>
      <c r="F185" s="509"/>
      <c r="G185" s="509"/>
      <c r="H185" s="509"/>
      <c r="I185" s="509"/>
      <c r="J185" s="509"/>
      <c r="K185" s="509"/>
      <c r="L185" s="509"/>
      <c r="M185" s="509"/>
      <c r="N185" s="509"/>
      <c r="O185" s="509"/>
      <c r="P185" s="509"/>
      <c r="Q185" s="509"/>
      <c r="R185" s="509"/>
      <c r="S185" s="509"/>
      <c r="T185" s="509"/>
      <c r="U185" s="509"/>
      <c r="V185" s="509"/>
      <c r="W185" s="509"/>
      <c r="X185" s="509"/>
      <c r="Y185" s="509"/>
      <c r="Z185" s="509"/>
      <c r="AA185" s="509"/>
      <c r="AB185" s="509"/>
      <c r="AC185" s="509"/>
      <c r="AD185" s="509"/>
    </row>
    <row r="186" spans="3:30">
      <c r="C186" s="509"/>
      <c r="D186" s="509"/>
      <c r="E186" s="509"/>
      <c r="F186" s="509"/>
      <c r="G186" s="509"/>
      <c r="H186" s="509"/>
      <c r="I186" s="509"/>
      <c r="J186" s="509"/>
      <c r="K186" s="509"/>
      <c r="L186" s="509"/>
      <c r="M186" s="509"/>
      <c r="N186" s="509"/>
      <c r="O186" s="509"/>
      <c r="P186" s="509"/>
      <c r="Q186" s="509"/>
      <c r="R186" s="509"/>
      <c r="S186" s="509"/>
      <c r="T186" s="509"/>
      <c r="U186" s="509"/>
      <c r="V186" s="509"/>
      <c r="W186" s="509"/>
      <c r="X186" s="509"/>
      <c r="Y186" s="509"/>
      <c r="Z186" s="509"/>
      <c r="AA186" s="509"/>
      <c r="AB186" s="509"/>
      <c r="AC186" s="509"/>
      <c r="AD186" s="509"/>
    </row>
    <row r="187" spans="3:30">
      <c r="C187" s="509"/>
      <c r="D187" s="509"/>
      <c r="E187" s="509"/>
      <c r="F187" s="509"/>
      <c r="G187" s="509"/>
      <c r="H187" s="509"/>
      <c r="I187" s="509"/>
      <c r="J187" s="509"/>
      <c r="K187" s="509"/>
      <c r="L187" s="509"/>
      <c r="M187" s="509"/>
      <c r="N187" s="509"/>
      <c r="O187" s="509"/>
      <c r="P187" s="509"/>
      <c r="Q187" s="509"/>
      <c r="R187" s="509"/>
      <c r="S187" s="509"/>
      <c r="T187" s="509"/>
      <c r="U187" s="509"/>
      <c r="V187" s="509"/>
      <c r="W187" s="509"/>
      <c r="X187" s="509"/>
      <c r="Y187" s="509"/>
      <c r="Z187" s="509"/>
      <c r="AA187" s="509"/>
      <c r="AB187" s="509"/>
      <c r="AC187" s="509"/>
      <c r="AD187" s="509"/>
    </row>
    <row r="188" spans="3:30">
      <c r="C188" s="509"/>
      <c r="D188" s="509"/>
      <c r="E188" s="509"/>
      <c r="F188" s="509"/>
      <c r="G188" s="509"/>
      <c r="H188" s="509"/>
      <c r="I188" s="509"/>
      <c r="J188" s="509"/>
      <c r="K188" s="509"/>
      <c r="L188" s="509"/>
      <c r="M188" s="509"/>
      <c r="N188" s="509"/>
      <c r="O188" s="509"/>
      <c r="P188" s="509"/>
      <c r="Q188" s="509"/>
      <c r="R188" s="509"/>
      <c r="S188" s="509"/>
      <c r="T188" s="509"/>
      <c r="U188" s="509"/>
      <c r="V188" s="509"/>
      <c r="W188" s="509"/>
      <c r="X188" s="509"/>
      <c r="Y188" s="509"/>
      <c r="Z188" s="509"/>
      <c r="AA188" s="509"/>
      <c r="AB188" s="509"/>
      <c r="AC188" s="509"/>
      <c r="AD188" s="509"/>
    </row>
    <row r="189" spans="3:30">
      <c r="C189" s="509"/>
      <c r="D189" s="509"/>
      <c r="E189" s="509"/>
      <c r="F189" s="509"/>
      <c r="G189" s="509"/>
      <c r="H189" s="509"/>
      <c r="I189" s="509"/>
      <c r="J189" s="509"/>
      <c r="K189" s="509"/>
      <c r="L189" s="509"/>
      <c r="M189" s="509"/>
      <c r="N189" s="509"/>
      <c r="O189" s="509"/>
      <c r="P189" s="509"/>
      <c r="Q189" s="509"/>
      <c r="R189" s="509"/>
      <c r="S189" s="509"/>
      <c r="T189" s="509"/>
      <c r="U189" s="509"/>
      <c r="V189" s="509"/>
      <c r="W189" s="509"/>
      <c r="X189" s="509"/>
      <c r="Y189" s="509"/>
      <c r="Z189" s="509"/>
      <c r="AA189" s="509"/>
      <c r="AB189" s="509"/>
      <c r="AC189" s="509"/>
      <c r="AD189" s="509"/>
    </row>
    <row r="190" spans="3:30">
      <c r="C190" s="509"/>
      <c r="D190" s="509"/>
      <c r="E190" s="509"/>
      <c r="F190" s="509"/>
      <c r="G190" s="509"/>
      <c r="H190" s="509"/>
      <c r="I190" s="509"/>
      <c r="J190" s="509"/>
      <c r="K190" s="509"/>
      <c r="L190" s="509"/>
      <c r="M190" s="509"/>
      <c r="N190" s="509"/>
      <c r="O190" s="509"/>
      <c r="P190" s="509"/>
      <c r="Q190" s="509"/>
      <c r="R190" s="509"/>
      <c r="S190" s="509"/>
      <c r="T190" s="509"/>
      <c r="U190" s="509"/>
      <c r="V190" s="509"/>
      <c r="W190" s="509"/>
      <c r="X190" s="509"/>
      <c r="Y190" s="509"/>
      <c r="Z190" s="509"/>
      <c r="AA190" s="509"/>
      <c r="AB190" s="509"/>
      <c r="AC190" s="509"/>
      <c r="AD190" s="509"/>
    </row>
    <row r="191" spans="3:30">
      <c r="C191" s="509"/>
      <c r="D191" s="509"/>
      <c r="E191" s="509"/>
      <c r="F191" s="509"/>
      <c r="G191" s="509"/>
      <c r="H191" s="509"/>
      <c r="I191" s="509"/>
      <c r="J191" s="509"/>
      <c r="K191" s="509"/>
      <c r="L191" s="509"/>
      <c r="M191" s="509"/>
      <c r="N191" s="509"/>
      <c r="O191" s="509"/>
      <c r="P191" s="509"/>
      <c r="Q191" s="509"/>
      <c r="R191" s="509"/>
      <c r="S191" s="509"/>
      <c r="T191" s="509"/>
      <c r="U191" s="509"/>
      <c r="V191" s="509"/>
      <c r="W191" s="509"/>
      <c r="X191" s="509"/>
      <c r="Y191" s="509"/>
      <c r="Z191" s="509"/>
      <c r="AA191" s="509"/>
      <c r="AB191" s="509"/>
      <c r="AC191" s="509"/>
      <c r="AD191" s="509"/>
    </row>
    <row r="192" spans="3:30">
      <c r="C192" s="509"/>
      <c r="D192" s="509"/>
      <c r="E192" s="509"/>
      <c r="F192" s="509"/>
      <c r="G192" s="509"/>
      <c r="H192" s="509"/>
      <c r="I192" s="509"/>
      <c r="J192" s="509"/>
      <c r="K192" s="509"/>
      <c r="L192" s="509"/>
      <c r="M192" s="509"/>
      <c r="N192" s="509"/>
      <c r="O192" s="509"/>
      <c r="P192" s="509"/>
      <c r="Q192" s="509"/>
      <c r="R192" s="509"/>
      <c r="S192" s="509"/>
      <c r="T192" s="509"/>
      <c r="U192" s="509"/>
      <c r="V192" s="509"/>
      <c r="W192" s="509"/>
      <c r="X192" s="509"/>
      <c r="Y192" s="509"/>
      <c r="Z192" s="509"/>
      <c r="AA192" s="509"/>
      <c r="AB192" s="509"/>
      <c r="AC192" s="509"/>
      <c r="AD192" s="509"/>
    </row>
    <row r="193" spans="3:30">
      <c r="C193" s="509"/>
      <c r="D193" s="509"/>
      <c r="E193" s="509"/>
      <c r="F193" s="509"/>
      <c r="G193" s="509"/>
      <c r="H193" s="509"/>
      <c r="I193" s="509"/>
      <c r="J193" s="509"/>
      <c r="K193" s="509"/>
      <c r="L193" s="509"/>
      <c r="M193" s="509"/>
      <c r="N193" s="509"/>
      <c r="O193" s="509"/>
      <c r="P193" s="509"/>
      <c r="Q193" s="509"/>
      <c r="R193" s="509"/>
      <c r="S193" s="509"/>
      <c r="T193" s="509"/>
      <c r="U193" s="509"/>
      <c r="V193" s="509"/>
      <c r="W193" s="509"/>
      <c r="X193" s="509"/>
      <c r="Y193" s="509"/>
      <c r="Z193" s="509"/>
      <c r="AA193" s="509"/>
      <c r="AB193" s="509"/>
      <c r="AC193" s="509"/>
      <c r="AD193" s="509"/>
    </row>
    <row r="194" spans="3:30">
      <c r="C194" s="509"/>
      <c r="D194" s="509"/>
      <c r="E194" s="509"/>
      <c r="F194" s="509"/>
      <c r="G194" s="509"/>
      <c r="H194" s="509"/>
      <c r="I194" s="509"/>
      <c r="J194" s="509"/>
      <c r="K194" s="509"/>
      <c r="L194" s="509"/>
      <c r="M194" s="509"/>
      <c r="N194" s="509"/>
      <c r="O194" s="509"/>
      <c r="P194" s="509"/>
      <c r="Q194" s="509"/>
      <c r="R194" s="509"/>
      <c r="S194" s="509"/>
      <c r="T194" s="509"/>
      <c r="U194" s="509"/>
      <c r="V194" s="509"/>
      <c r="W194" s="509"/>
      <c r="X194" s="509"/>
      <c r="Y194" s="509"/>
      <c r="Z194" s="509"/>
      <c r="AA194" s="509"/>
      <c r="AB194" s="509"/>
      <c r="AC194" s="509"/>
      <c r="AD194" s="509"/>
    </row>
    <row r="195" spans="3:30">
      <c r="C195" s="509"/>
      <c r="D195" s="509"/>
      <c r="E195" s="509"/>
      <c r="F195" s="509"/>
      <c r="G195" s="509"/>
      <c r="H195" s="509"/>
      <c r="I195" s="509"/>
      <c r="J195" s="509"/>
      <c r="K195" s="509"/>
      <c r="L195" s="509"/>
      <c r="M195" s="509"/>
      <c r="N195" s="509"/>
      <c r="O195" s="509"/>
      <c r="P195" s="509"/>
      <c r="Q195" s="509"/>
      <c r="R195" s="509"/>
      <c r="S195" s="509"/>
      <c r="T195" s="509"/>
      <c r="U195" s="509"/>
      <c r="V195" s="509"/>
      <c r="W195" s="509"/>
      <c r="X195" s="509"/>
      <c r="Y195" s="509"/>
      <c r="Z195" s="509"/>
      <c r="AA195" s="509"/>
      <c r="AB195" s="509"/>
      <c r="AC195" s="509"/>
      <c r="AD195" s="509"/>
    </row>
    <row r="196" spans="3:30">
      <c r="C196" s="509"/>
      <c r="D196" s="509"/>
      <c r="E196" s="509"/>
      <c r="F196" s="509"/>
      <c r="G196" s="509"/>
      <c r="H196" s="509"/>
      <c r="I196" s="509"/>
      <c r="J196" s="509"/>
      <c r="K196" s="509"/>
      <c r="L196" s="509"/>
      <c r="M196" s="509"/>
      <c r="N196" s="509"/>
      <c r="O196" s="509"/>
      <c r="P196" s="509"/>
      <c r="Q196" s="509"/>
      <c r="R196" s="509"/>
      <c r="S196" s="509"/>
      <c r="T196" s="509"/>
      <c r="U196" s="509"/>
      <c r="V196" s="509"/>
      <c r="W196" s="509"/>
      <c r="X196" s="509"/>
      <c r="Y196" s="509"/>
      <c r="Z196" s="509"/>
      <c r="AA196" s="509"/>
      <c r="AB196" s="509"/>
      <c r="AC196" s="509"/>
      <c r="AD196" s="509"/>
    </row>
    <row r="197" spans="3:30">
      <c r="C197" s="509"/>
      <c r="D197" s="509"/>
      <c r="E197" s="509"/>
      <c r="F197" s="509"/>
      <c r="G197" s="509"/>
      <c r="H197" s="509"/>
      <c r="I197" s="509"/>
      <c r="J197" s="509"/>
      <c r="K197" s="509"/>
      <c r="L197" s="509"/>
      <c r="M197" s="509"/>
      <c r="N197" s="509"/>
      <c r="O197" s="509"/>
      <c r="P197" s="509"/>
      <c r="Q197" s="509"/>
      <c r="R197" s="509"/>
      <c r="S197" s="509"/>
      <c r="T197" s="509"/>
      <c r="U197" s="509"/>
      <c r="V197" s="509"/>
      <c r="W197" s="509"/>
      <c r="X197" s="509"/>
      <c r="Y197" s="509"/>
      <c r="Z197" s="509"/>
      <c r="AA197" s="509"/>
      <c r="AB197" s="509"/>
      <c r="AC197" s="509"/>
      <c r="AD197" s="509"/>
    </row>
    <row r="198" spans="3:30">
      <c r="C198" s="509"/>
      <c r="D198" s="509"/>
      <c r="E198" s="509"/>
      <c r="F198" s="509"/>
      <c r="G198" s="509"/>
      <c r="H198" s="509"/>
      <c r="I198" s="509"/>
      <c r="J198" s="509"/>
      <c r="K198" s="509"/>
      <c r="L198" s="509"/>
      <c r="M198" s="509"/>
      <c r="N198" s="509"/>
      <c r="O198" s="509"/>
      <c r="P198" s="509"/>
      <c r="Q198" s="509"/>
      <c r="R198" s="509"/>
      <c r="S198" s="509"/>
      <c r="T198" s="509"/>
      <c r="U198" s="509"/>
      <c r="V198" s="509"/>
      <c r="W198" s="509"/>
      <c r="X198" s="509"/>
      <c r="Y198" s="509"/>
      <c r="Z198" s="509"/>
      <c r="AA198" s="509"/>
      <c r="AB198" s="509"/>
      <c r="AC198" s="509"/>
      <c r="AD198" s="509"/>
    </row>
    <row r="199" spans="3:30">
      <c r="C199" s="509"/>
      <c r="D199" s="509"/>
      <c r="E199" s="509"/>
      <c r="F199" s="509"/>
      <c r="G199" s="509"/>
      <c r="H199" s="509"/>
      <c r="I199" s="509"/>
      <c r="J199" s="509"/>
      <c r="K199" s="509"/>
      <c r="L199" s="509"/>
      <c r="M199" s="509"/>
      <c r="N199" s="509"/>
      <c r="O199" s="509"/>
      <c r="P199" s="509"/>
      <c r="Q199" s="509"/>
      <c r="R199" s="509"/>
      <c r="S199" s="509"/>
      <c r="T199" s="509"/>
      <c r="U199" s="509"/>
      <c r="V199" s="509"/>
      <c r="W199" s="509"/>
      <c r="X199" s="509"/>
      <c r="Y199" s="509"/>
      <c r="Z199" s="509"/>
      <c r="AA199" s="509"/>
      <c r="AB199" s="509"/>
      <c r="AC199" s="509"/>
      <c r="AD199" s="509"/>
    </row>
    <row r="200" spans="3:30">
      <c r="C200" s="509"/>
      <c r="D200" s="509"/>
      <c r="E200" s="509"/>
      <c r="F200" s="509"/>
      <c r="G200" s="509"/>
      <c r="H200" s="509"/>
      <c r="I200" s="509"/>
      <c r="J200" s="509"/>
      <c r="K200" s="509"/>
      <c r="L200" s="509"/>
      <c r="M200" s="509"/>
      <c r="N200" s="509"/>
      <c r="O200" s="509"/>
      <c r="P200" s="509"/>
      <c r="Q200" s="509"/>
      <c r="R200" s="509"/>
      <c r="S200" s="509"/>
      <c r="T200" s="509"/>
      <c r="U200" s="509"/>
      <c r="V200" s="509"/>
      <c r="W200" s="509"/>
      <c r="X200" s="509"/>
      <c r="Y200" s="509"/>
      <c r="Z200" s="509"/>
      <c r="AA200" s="509"/>
      <c r="AB200" s="509"/>
      <c r="AC200" s="509"/>
      <c r="AD200" s="509"/>
    </row>
    <row r="201" spans="3:30">
      <c r="C201" s="509"/>
      <c r="D201" s="509"/>
      <c r="E201" s="509"/>
      <c r="F201" s="509"/>
      <c r="G201" s="509"/>
      <c r="H201" s="509"/>
      <c r="I201" s="509"/>
      <c r="J201" s="509"/>
      <c r="K201" s="509"/>
      <c r="L201" s="509"/>
      <c r="M201" s="509"/>
      <c r="N201" s="509"/>
      <c r="O201" s="509"/>
      <c r="P201" s="509"/>
      <c r="Q201" s="509"/>
      <c r="R201" s="509"/>
      <c r="S201" s="509"/>
      <c r="T201" s="509"/>
      <c r="U201" s="509"/>
      <c r="V201" s="509"/>
      <c r="W201" s="509"/>
      <c r="X201" s="509"/>
      <c r="Y201" s="509"/>
      <c r="Z201" s="509"/>
      <c r="AA201" s="509"/>
      <c r="AB201" s="509"/>
      <c r="AC201" s="509"/>
      <c r="AD201" s="509"/>
    </row>
    <row r="202" spans="3:30">
      <c r="C202" s="509"/>
      <c r="D202" s="509"/>
      <c r="E202" s="509"/>
      <c r="F202" s="509"/>
      <c r="G202" s="509"/>
      <c r="H202" s="509"/>
      <c r="I202" s="509"/>
      <c r="J202" s="509"/>
      <c r="K202" s="509"/>
      <c r="L202" s="509"/>
      <c r="M202" s="509"/>
      <c r="N202" s="509"/>
      <c r="O202" s="509"/>
      <c r="P202" s="509"/>
      <c r="Q202" s="509"/>
      <c r="R202" s="509"/>
      <c r="S202" s="509"/>
      <c r="T202" s="509"/>
      <c r="U202" s="509"/>
      <c r="V202" s="509"/>
      <c r="W202" s="509"/>
      <c r="X202" s="509"/>
      <c r="Y202" s="509"/>
      <c r="Z202" s="509"/>
      <c r="AA202" s="509"/>
      <c r="AB202" s="509"/>
      <c r="AC202" s="509"/>
      <c r="AD202" s="509"/>
    </row>
    <row r="203" spans="3:30">
      <c r="C203" s="509"/>
      <c r="D203" s="509"/>
      <c r="E203" s="509"/>
      <c r="F203" s="509"/>
      <c r="G203" s="509"/>
      <c r="H203" s="509"/>
      <c r="I203" s="509"/>
      <c r="J203" s="509"/>
      <c r="K203" s="509"/>
      <c r="L203" s="509"/>
      <c r="M203" s="509"/>
      <c r="N203" s="509"/>
      <c r="O203" s="509"/>
      <c r="P203" s="509"/>
      <c r="Q203" s="509"/>
      <c r="R203" s="509"/>
      <c r="S203" s="509"/>
      <c r="T203" s="509"/>
      <c r="U203" s="509"/>
      <c r="V203" s="509"/>
      <c r="W203" s="509"/>
      <c r="X203" s="509"/>
      <c r="Y203" s="509"/>
      <c r="Z203" s="509"/>
      <c r="AA203" s="509"/>
      <c r="AB203" s="509"/>
      <c r="AC203" s="509"/>
      <c r="AD203" s="509"/>
    </row>
    <row r="204" spans="3:30">
      <c r="C204" s="509"/>
      <c r="D204" s="509"/>
      <c r="E204" s="509"/>
      <c r="F204" s="509"/>
      <c r="G204" s="509"/>
      <c r="H204" s="509"/>
      <c r="I204" s="509"/>
      <c r="J204" s="509"/>
      <c r="K204" s="509"/>
      <c r="L204" s="509"/>
      <c r="M204" s="509"/>
      <c r="N204" s="509"/>
      <c r="O204" s="509"/>
      <c r="P204" s="509"/>
      <c r="Q204" s="509"/>
      <c r="R204" s="509"/>
      <c r="S204" s="509"/>
      <c r="T204" s="509"/>
      <c r="U204" s="509"/>
      <c r="V204" s="509"/>
      <c r="W204" s="509"/>
      <c r="X204" s="509"/>
      <c r="Y204" s="509"/>
      <c r="Z204" s="509"/>
      <c r="AA204" s="509"/>
      <c r="AB204" s="509"/>
      <c r="AC204" s="509"/>
      <c r="AD204" s="509"/>
    </row>
    <row r="205" spans="3:30">
      <c r="C205" s="509"/>
      <c r="D205" s="509"/>
      <c r="E205" s="509"/>
      <c r="F205" s="509"/>
      <c r="G205" s="509"/>
      <c r="H205" s="509"/>
      <c r="I205" s="509"/>
      <c r="J205" s="509"/>
      <c r="K205" s="509"/>
      <c r="L205" s="509"/>
      <c r="M205" s="509"/>
      <c r="N205" s="509"/>
      <c r="O205" s="509"/>
      <c r="P205" s="509"/>
      <c r="Q205" s="509"/>
      <c r="R205" s="509"/>
      <c r="S205" s="509"/>
      <c r="T205" s="509"/>
      <c r="U205" s="509"/>
      <c r="V205" s="509"/>
      <c r="W205" s="509"/>
      <c r="X205" s="509"/>
      <c r="Y205" s="509"/>
      <c r="Z205" s="509"/>
      <c r="AA205" s="509"/>
      <c r="AB205" s="509"/>
      <c r="AC205" s="509"/>
      <c r="AD205" s="509"/>
    </row>
    <row r="206" spans="3:30">
      <c r="C206" s="509"/>
      <c r="D206" s="509"/>
      <c r="E206" s="509"/>
      <c r="F206" s="509"/>
      <c r="G206" s="509"/>
      <c r="H206" s="509"/>
      <c r="I206" s="509"/>
      <c r="J206" s="509"/>
      <c r="K206" s="509"/>
      <c r="L206" s="509"/>
      <c r="M206" s="509"/>
      <c r="N206" s="509"/>
      <c r="O206" s="509"/>
      <c r="P206" s="509"/>
      <c r="Q206" s="509"/>
      <c r="R206" s="509"/>
      <c r="S206" s="509"/>
      <c r="T206" s="509"/>
      <c r="U206" s="509"/>
      <c r="V206" s="509"/>
      <c r="W206" s="509"/>
      <c r="X206" s="509"/>
      <c r="Y206" s="509"/>
      <c r="Z206" s="509"/>
      <c r="AA206" s="509"/>
      <c r="AB206" s="509"/>
      <c r="AC206" s="509"/>
      <c r="AD206" s="509"/>
    </row>
    <row r="207" spans="3:30">
      <c r="C207" s="509"/>
      <c r="D207" s="509"/>
      <c r="E207" s="509"/>
      <c r="F207" s="509"/>
      <c r="G207" s="509"/>
      <c r="H207" s="509"/>
      <c r="I207" s="509"/>
      <c r="J207" s="509"/>
      <c r="K207" s="509"/>
      <c r="L207" s="509"/>
      <c r="M207" s="509"/>
      <c r="N207" s="509"/>
      <c r="O207" s="509"/>
      <c r="P207" s="509"/>
      <c r="Q207" s="509"/>
      <c r="R207" s="509"/>
      <c r="S207" s="509"/>
      <c r="T207" s="509"/>
      <c r="U207" s="509"/>
      <c r="V207" s="509"/>
      <c r="W207" s="509"/>
      <c r="X207" s="509"/>
      <c r="Y207" s="509"/>
      <c r="Z207" s="509"/>
      <c r="AA207" s="509"/>
      <c r="AB207" s="509"/>
      <c r="AC207" s="509"/>
      <c r="AD207" s="509"/>
    </row>
    <row r="208" spans="3:30">
      <c r="C208" s="509"/>
      <c r="D208" s="509"/>
      <c r="E208" s="509"/>
      <c r="F208" s="509"/>
      <c r="G208" s="509"/>
      <c r="H208" s="509"/>
      <c r="I208" s="509"/>
      <c r="J208" s="509"/>
      <c r="K208" s="509"/>
      <c r="L208" s="509"/>
      <c r="M208" s="509"/>
      <c r="N208" s="509"/>
      <c r="O208" s="509"/>
      <c r="P208" s="509"/>
      <c r="Q208" s="509"/>
      <c r="R208" s="509"/>
      <c r="S208" s="509"/>
      <c r="T208" s="509"/>
      <c r="U208" s="509"/>
      <c r="V208" s="509"/>
      <c r="W208" s="509"/>
      <c r="X208" s="509"/>
      <c r="Y208" s="509"/>
      <c r="Z208" s="509"/>
      <c r="AA208" s="509"/>
      <c r="AB208" s="509"/>
      <c r="AC208" s="509"/>
      <c r="AD208" s="509"/>
    </row>
    <row r="209" spans="3:30">
      <c r="C209" s="509"/>
      <c r="D209" s="509"/>
      <c r="E209" s="509"/>
      <c r="F209" s="509"/>
      <c r="G209" s="509"/>
      <c r="H209" s="509"/>
      <c r="I209" s="509"/>
      <c r="J209" s="509"/>
      <c r="K209" s="509"/>
      <c r="L209" s="509"/>
      <c r="M209" s="509"/>
      <c r="N209" s="509"/>
      <c r="O209" s="509"/>
      <c r="P209" s="509"/>
      <c r="Q209" s="509"/>
      <c r="R209" s="509"/>
      <c r="S209" s="509"/>
      <c r="T209" s="509"/>
      <c r="U209" s="509"/>
      <c r="V209" s="509"/>
      <c r="W209" s="509"/>
      <c r="X209" s="509"/>
      <c r="Y209" s="509"/>
      <c r="Z209" s="509"/>
      <c r="AA209" s="509"/>
      <c r="AB209" s="509"/>
      <c r="AC209" s="509"/>
      <c r="AD209" s="509"/>
    </row>
    <row r="210" spans="3:30">
      <c r="C210" s="509"/>
      <c r="D210" s="509"/>
      <c r="E210" s="509"/>
      <c r="F210" s="509"/>
      <c r="G210" s="509"/>
      <c r="H210" s="509"/>
      <c r="I210" s="509"/>
      <c r="J210" s="509"/>
      <c r="K210" s="509"/>
      <c r="L210" s="509"/>
      <c r="M210" s="509"/>
      <c r="N210" s="509"/>
      <c r="O210" s="509"/>
      <c r="P210" s="509"/>
      <c r="Q210" s="509"/>
      <c r="R210" s="509"/>
      <c r="S210" s="509"/>
      <c r="T210" s="509"/>
      <c r="U210" s="509"/>
      <c r="V210" s="509"/>
      <c r="W210" s="509"/>
      <c r="X210" s="509"/>
      <c r="Y210" s="509"/>
      <c r="Z210" s="509"/>
      <c r="AA210" s="509"/>
      <c r="AB210" s="509"/>
      <c r="AC210" s="509"/>
      <c r="AD210" s="509"/>
    </row>
    <row r="211" spans="3:30">
      <c r="C211" s="509"/>
      <c r="D211" s="509"/>
      <c r="E211" s="509"/>
      <c r="F211" s="509"/>
      <c r="G211" s="509"/>
      <c r="H211" s="509"/>
      <c r="I211" s="509"/>
      <c r="J211" s="509"/>
      <c r="K211" s="509"/>
      <c r="L211" s="509"/>
      <c r="M211" s="509"/>
      <c r="N211" s="509"/>
      <c r="O211" s="509"/>
      <c r="P211" s="509"/>
      <c r="Q211" s="509"/>
      <c r="R211" s="509"/>
      <c r="S211" s="509"/>
      <c r="T211" s="509"/>
      <c r="U211" s="509"/>
      <c r="V211" s="509"/>
      <c r="W211" s="509"/>
      <c r="X211" s="509"/>
      <c r="Y211" s="509"/>
      <c r="Z211" s="509"/>
      <c r="AA211" s="509"/>
      <c r="AB211" s="509"/>
      <c r="AC211" s="509"/>
      <c r="AD211" s="509"/>
    </row>
    <row r="212" spans="3:30">
      <c r="C212" s="509"/>
      <c r="D212" s="509"/>
      <c r="E212" s="509"/>
      <c r="F212" s="509"/>
      <c r="G212" s="509"/>
      <c r="H212" s="509"/>
      <c r="I212" s="509"/>
      <c r="J212" s="509"/>
      <c r="K212" s="509"/>
      <c r="L212" s="509"/>
      <c r="M212" s="509"/>
      <c r="N212" s="509"/>
      <c r="O212" s="509"/>
      <c r="P212" s="509"/>
      <c r="Q212" s="509"/>
      <c r="R212" s="509"/>
      <c r="S212" s="509"/>
      <c r="T212" s="509"/>
      <c r="U212" s="509"/>
      <c r="V212" s="509"/>
      <c r="W212" s="509"/>
      <c r="X212" s="509"/>
      <c r="Y212" s="509"/>
      <c r="Z212" s="509"/>
      <c r="AA212" s="509"/>
      <c r="AB212" s="509"/>
      <c r="AC212" s="509"/>
      <c r="AD212" s="509"/>
    </row>
    <row r="213" spans="3:30">
      <c r="C213" s="509"/>
      <c r="D213" s="509"/>
      <c r="E213" s="509"/>
      <c r="F213" s="509"/>
      <c r="G213" s="509"/>
      <c r="H213" s="509"/>
      <c r="I213" s="509"/>
      <c r="J213" s="509"/>
      <c r="K213" s="509"/>
      <c r="L213" s="509"/>
      <c r="M213" s="509"/>
      <c r="N213" s="509"/>
      <c r="O213" s="509"/>
      <c r="P213" s="509"/>
      <c r="Q213" s="509"/>
      <c r="R213" s="509"/>
      <c r="S213" s="509"/>
      <c r="T213" s="509"/>
      <c r="U213" s="509"/>
      <c r="V213" s="509"/>
      <c r="W213" s="509"/>
      <c r="X213" s="509"/>
      <c r="Y213" s="509"/>
      <c r="Z213" s="509"/>
      <c r="AA213" s="509"/>
      <c r="AB213" s="509"/>
      <c r="AC213" s="509"/>
      <c r="AD213" s="509"/>
    </row>
    <row r="214" spans="3:30">
      <c r="C214" s="509"/>
      <c r="D214" s="509"/>
      <c r="E214" s="509"/>
      <c r="F214" s="509"/>
      <c r="G214" s="509"/>
      <c r="H214" s="509"/>
      <c r="I214" s="509"/>
      <c r="J214" s="509"/>
      <c r="K214" s="509"/>
      <c r="L214" s="509"/>
      <c r="M214" s="509"/>
      <c r="N214" s="509"/>
      <c r="O214" s="509"/>
      <c r="P214" s="509"/>
      <c r="Q214" s="509"/>
      <c r="R214" s="509"/>
      <c r="S214" s="509"/>
      <c r="T214" s="509"/>
      <c r="U214" s="509"/>
      <c r="V214" s="509"/>
      <c r="W214" s="509"/>
      <c r="X214" s="509"/>
      <c r="Y214" s="509"/>
      <c r="Z214" s="509"/>
      <c r="AA214" s="509"/>
      <c r="AB214" s="509"/>
      <c r="AC214" s="509"/>
      <c r="AD214" s="509"/>
    </row>
    <row r="215" spans="3:30">
      <c r="C215" s="509"/>
      <c r="D215" s="509"/>
      <c r="E215" s="509"/>
      <c r="F215" s="509"/>
      <c r="G215" s="509"/>
      <c r="H215" s="509"/>
      <c r="I215" s="509"/>
      <c r="J215" s="509"/>
      <c r="K215" s="509"/>
      <c r="L215" s="509"/>
      <c r="M215" s="509"/>
      <c r="N215" s="509"/>
      <c r="O215" s="509"/>
      <c r="P215" s="509"/>
      <c r="Q215" s="509"/>
      <c r="R215" s="509"/>
      <c r="S215" s="509"/>
      <c r="T215" s="509"/>
      <c r="U215" s="509"/>
      <c r="V215" s="509"/>
      <c r="W215" s="509"/>
      <c r="X215" s="509"/>
      <c r="Y215" s="509"/>
      <c r="Z215" s="509"/>
      <c r="AA215" s="509"/>
      <c r="AB215" s="509"/>
      <c r="AC215" s="509"/>
      <c r="AD215" s="509"/>
    </row>
    <row r="216" spans="3:30">
      <c r="C216" s="509"/>
      <c r="D216" s="509"/>
      <c r="E216" s="509"/>
      <c r="F216" s="509"/>
      <c r="G216" s="509"/>
      <c r="H216" s="509"/>
      <c r="I216" s="509"/>
      <c r="J216" s="509"/>
      <c r="K216" s="509"/>
      <c r="L216" s="509"/>
      <c r="M216" s="509"/>
      <c r="N216" s="509"/>
      <c r="O216" s="509"/>
      <c r="P216" s="509"/>
      <c r="Q216" s="509"/>
      <c r="R216" s="509"/>
      <c r="S216" s="509"/>
      <c r="T216" s="509"/>
      <c r="U216" s="509"/>
      <c r="V216" s="509"/>
      <c r="W216" s="509"/>
      <c r="X216" s="509"/>
      <c r="Y216" s="509"/>
      <c r="Z216" s="509"/>
      <c r="AA216" s="509"/>
      <c r="AB216" s="509"/>
      <c r="AC216" s="509"/>
      <c r="AD216" s="509"/>
    </row>
    <row r="217" spans="3:30">
      <c r="C217" s="509"/>
      <c r="D217" s="509"/>
      <c r="E217" s="509"/>
      <c r="F217" s="509"/>
      <c r="G217" s="509"/>
      <c r="H217" s="509"/>
      <c r="I217" s="509"/>
      <c r="J217" s="509"/>
      <c r="K217" s="509"/>
      <c r="L217" s="509"/>
      <c r="M217" s="509"/>
      <c r="N217" s="509"/>
      <c r="O217" s="509"/>
      <c r="P217" s="509"/>
      <c r="Q217" s="509"/>
      <c r="R217" s="509"/>
      <c r="S217" s="509"/>
      <c r="T217" s="509"/>
      <c r="U217" s="509"/>
      <c r="V217" s="509"/>
      <c r="W217" s="509"/>
      <c r="X217" s="509"/>
      <c r="Y217" s="509"/>
      <c r="Z217" s="509"/>
      <c r="AA217" s="509"/>
      <c r="AB217" s="509"/>
      <c r="AC217" s="509"/>
      <c r="AD217" s="509"/>
    </row>
    <row r="218" spans="3:30">
      <c r="C218" s="509"/>
      <c r="D218" s="509"/>
      <c r="E218" s="509"/>
      <c r="F218" s="509"/>
      <c r="G218" s="509"/>
      <c r="H218" s="509"/>
      <c r="I218" s="509"/>
      <c r="J218" s="509"/>
      <c r="K218" s="509"/>
      <c r="L218" s="509"/>
      <c r="M218" s="509"/>
      <c r="N218" s="509"/>
      <c r="O218" s="509"/>
      <c r="P218" s="509"/>
      <c r="Q218" s="509"/>
      <c r="R218" s="509"/>
      <c r="S218" s="509"/>
      <c r="T218" s="509"/>
      <c r="U218" s="509"/>
      <c r="V218" s="509"/>
      <c r="W218" s="509"/>
      <c r="X218" s="509"/>
      <c r="Y218" s="509"/>
      <c r="Z218" s="509"/>
      <c r="AA218" s="509"/>
      <c r="AB218" s="509"/>
      <c r="AC218" s="509"/>
      <c r="AD218" s="509"/>
    </row>
    <row r="219" spans="3:30">
      <c r="C219" s="509"/>
      <c r="D219" s="509"/>
      <c r="E219" s="509"/>
      <c r="F219" s="509"/>
      <c r="G219" s="509"/>
      <c r="H219" s="509"/>
      <c r="I219" s="509"/>
      <c r="J219" s="509"/>
      <c r="K219" s="509"/>
      <c r="L219" s="509"/>
      <c r="M219" s="509"/>
      <c r="N219" s="509"/>
      <c r="O219" s="509"/>
      <c r="P219" s="509"/>
      <c r="Q219" s="509"/>
      <c r="R219" s="509"/>
      <c r="S219" s="509"/>
      <c r="T219" s="509"/>
      <c r="U219" s="509"/>
      <c r="V219" s="509"/>
      <c r="W219" s="509"/>
      <c r="X219" s="509"/>
      <c r="Y219" s="509"/>
      <c r="Z219" s="509"/>
      <c r="AA219" s="509"/>
      <c r="AB219" s="509"/>
      <c r="AC219" s="509"/>
      <c r="AD219" s="509"/>
    </row>
    <row r="220" spans="3:30">
      <c r="C220" s="509"/>
      <c r="D220" s="509"/>
      <c r="E220" s="509"/>
      <c r="F220" s="509"/>
      <c r="G220" s="509"/>
      <c r="H220" s="509"/>
      <c r="I220" s="509"/>
      <c r="J220" s="509"/>
      <c r="K220" s="509"/>
      <c r="L220" s="509"/>
      <c r="M220" s="509"/>
      <c r="N220" s="509"/>
      <c r="O220" s="509"/>
      <c r="P220" s="509"/>
      <c r="Q220" s="509"/>
      <c r="R220" s="509"/>
      <c r="S220" s="509"/>
      <c r="T220" s="509"/>
      <c r="U220" s="509"/>
      <c r="V220" s="509"/>
      <c r="W220" s="509"/>
      <c r="X220" s="509"/>
      <c r="Y220" s="509"/>
      <c r="Z220" s="509"/>
      <c r="AA220" s="509"/>
      <c r="AB220" s="509"/>
      <c r="AC220" s="509"/>
      <c r="AD220" s="509"/>
    </row>
    <row r="221" spans="3:30">
      <c r="C221" s="509"/>
      <c r="D221" s="509"/>
      <c r="E221" s="509"/>
      <c r="F221" s="509"/>
      <c r="G221" s="509"/>
      <c r="H221" s="509"/>
      <c r="I221" s="509"/>
      <c r="J221" s="509"/>
      <c r="K221" s="509"/>
      <c r="L221" s="509"/>
      <c r="M221" s="509"/>
      <c r="N221" s="509"/>
      <c r="O221" s="509"/>
      <c r="P221" s="509"/>
      <c r="Q221" s="509"/>
      <c r="R221" s="509"/>
      <c r="S221" s="509"/>
      <c r="T221" s="509"/>
      <c r="U221" s="509"/>
      <c r="V221" s="509"/>
      <c r="W221" s="509"/>
      <c r="X221" s="509"/>
      <c r="Y221" s="509"/>
      <c r="Z221" s="509"/>
      <c r="AA221" s="509"/>
      <c r="AB221" s="509"/>
      <c r="AC221" s="509"/>
      <c r="AD221" s="509"/>
    </row>
    <row r="222" spans="3:30">
      <c r="C222" s="509"/>
      <c r="D222" s="509"/>
      <c r="E222" s="509"/>
      <c r="F222" s="509"/>
      <c r="G222" s="509"/>
      <c r="H222" s="509"/>
      <c r="I222" s="509"/>
      <c r="J222" s="509"/>
      <c r="K222" s="509"/>
      <c r="L222" s="509"/>
      <c r="M222" s="509"/>
      <c r="N222" s="509"/>
      <c r="O222" s="509"/>
      <c r="P222" s="509"/>
      <c r="Q222" s="509"/>
      <c r="R222" s="509"/>
      <c r="S222" s="509"/>
      <c r="T222" s="509"/>
      <c r="U222" s="509"/>
      <c r="V222" s="509"/>
      <c r="W222" s="509"/>
      <c r="X222" s="509"/>
      <c r="Y222" s="509"/>
      <c r="Z222" s="509"/>
      <c r="AA222" s="509"/>
      <c r="AB222" s="509"/>
      <c r="AC222" s="509"/>
      <c r="AD222" s="509"/>
    </row>
    <row r="223" spans="3:30">
      <c r="C223" s="509"/>
      <c r="D223" s="509"/>
      <c r="E223" s="509"/>
      <c r="F223" s="509"/>
      <c r="G223" s="509"/>
      <c r="H223" s="509"/>
      <c r="I223" s="509"/>
      <c r="J223" s="509"/>
      <c r="K223" s="509"/>
      <c r="L223" s="509"/>
      <c r="M223" s="509"/>
      <c r="N223" s="509"/>
      <c r="O223" s="509"/>
      <c r="P223" s="509"/>
      <c r="Q223" s="509"/>
      <c r="R223" s="509"/>
      <c r="S223" s="509"/>
      <c r="T223" s="509"/>
      <c r="U223" s="509"/>
      <c r="V223" s="509"/>
      <c r="W223" s="509"/>
      <c r="X223" s="509"/>
      <c r="Y223" s="509"/>
      <c r="Z223" s="509"/>
      <c r="AA223" s="509"/>
      <c r="AB223" s="509"/>
      <c r="AC223" s="509"/>
      <c r="AD223" s="509"/>
    </row>
    <row r="224" spans="3:30">
      <c r="C224" s="509"/>
      <c r="D224" s="509"/>
      <c r="E224" s="509"/>
      <c r="F224" s="509"/>
      <c r="G224" s="509"/>
      <c r="H224" s="509"/>
      <c r="I224" s="509"/>
      <c r="J224" s="509"/>
      <c r="K224" s="509"/>
      <c r="L224" s="509"/>
      <c r="M224" s="509"/>
      <c r="N224" s="509"/>
      <c r="O224" s="509"/>
      <c r="P224" s="509"/>
      <c r="Q224" s="509"/>
      <c r="R224" s="509"/>
      <c r="S224" s="509"/>
      <c r="T224" s="509"/>
      <c r="U224" s="509"/>
      <c r="V224" s="509"/>
      <c r="W224" s="509"/>
      <c r="X224" s="509"/>
      <c r="Y224" s="509"/>
      <c r="Z224" s="509"/>
      <c r="AA224" s="509"/>
      <c r="AB224" s="509"/>
      <c r="AC224" s="509"/>
      <c r="AD224" s="509"/>
    </row>
    <row r="225" spans="3:30">
      <c r="C225" s="509"/>
      <c r="D225" s="509"/>
      <c r="E225" s="509"/>
      <c r="F225" s="509"/>
      <c r="G225" s="509"/>
      <c r="H225" s="509"/>
      <c r="I225" s="509"/>
      <c r="J225" s="509"/>
      <c r="K225" s="509"/>
      <c r="L225" s="509"/>
      <c r="M225" s="509"/>
      <c r="N225" s="509"/>
      <c r="O225" s="509"/>
      <c r="P225" s="509"/>
      <c r="Q225" s="509"/>
      <c r="R225" s="509"/>
      <c r="S225" s="509"/>
      <c r="T225" s="509"/>
      <c r="U225" s="509"/>
      <c r="V225" s="509"/>
      <c r="W225" s="509"/>
      <c r="X225" s="509"/>
      <c r="Y225" s="509"/>
      <c r="Z225" s="509"/>
      <c r="AA225" s="509"/>
      <c r="AB225" s="509"/>
      <c r="AC225" s="509"/>
      <c r="AD225" s="509"/>
    </row>
    <row r="226" spans="3:30">
      <c r="C226" s="509"/>
      <c r="D226" s="509"/>
      <c r="E226" s="509"/>
      <c r="F226" s="509"/>
      <c r="G226" s="509"/>
      <c r="H226" s="509"/>
      <c r="I226" s="509"/>
      <c r="J226" s="509"/>
      <c r="K226" s="509"/>
      <c r="L226" s="509"/>
      <c r="M226" s="509"/>
      <c r="N226" s="509"/>
      <c r="O226" s="509"/>
      <c r="P226" s="509"/>
      <c r="Q226" s="509"/>
      <c r="R226" s="509"/>
      <c r="S226" s="509"/>
      <c r="T226" s="509"/>
      <c r="U226" s="509"/>
      <c r="V226" s="509"/>
      <c r="W226" s="509"/>
      <c r="X226" s="509"/>
      <c r="Y226" s="509"/>
      <c r="Z226" s="509"/>
      <c r="AA226" s="509"/>
      <c r="AB226" s="509"/>
      <c r="AC226" s="509"/>
      <c r="AD226" s="509"/>
    </row>
    <row r="227" spans="3:30">
      <c r="C227" s="509"/>
      <c r="D227" s="509"/>
      <c r="E227" s="509"/>
      <c r="F227" s="509"/>
      <c r="G227" s="509"/>
      <c r="H227" s="509"/>
      <c r="I227" s="509"/>
      <c r="J227" s="509"/>
      <c r="K227" s="509"/>
      <c r="L227" s="509"/>
      <c r="M227" s="509"/>
      <c r="N227" s="509"/>
      <c r="O227" s="509"/>
      <c r="P227" s="509"/>
      <c r="Q227" s="509"/>
      <c r="R227" s="509"/>
      <c r="S227" s="509"/>
      <c r="T227" s="509"/>
      <c r="U227" s="509"/>
      <c r="V227" s="509"/>
      <c r="W227" s="509"/>
      <c r="X227" s="509"/>
      <c r="Y227" s="509"/>
      <c r="Z227" s="509"/>
      <c r="AA227" s="509"/>
      <c r="AB227" s="509"/>
      <c r="AC227" s="509"/>
      <c r="AD227" s="509"/>
    </row>
    <row r="228" spans="3:30">
      <c r="C228" s="509"/>
      <c r="D228" s="509"/>
      <c r="E228" s="509"/>
      <c r="F228" s="509"/>
      <c r="G228" s="509"/>
      <c r="H228" s="509"/>
      <c r="I228" s="509"/>
      <c r="J228" s="509"/>
      <c r="K228" s="509"/>
      <c r="L228" s="509"/>
      <c r="M228" s="509"/>
      <c r="N228" s="509"/>
      <c r="O228" s="509"/>
      <c r="P228" s="509"/>
      <c r="Q228" s="509"/>
      <c r="R228" s="509"/>
      <c r="S228" s="509"/>
      <c r="T228" s="509"/>
      <c r="U228" s="509"/>
      <c r="V228" s="509"/>
      <c r="W228" s="509"/>
      <c r="X228" s="509"/>
      <c r="Y228" s="509"/>
      <c r="Z228" s="509"/>
      <c r="AA228" s="509"/>
      <c r="AB228" s="509"/>
      <c r="AC228" s="509"/>
      <c r="AD228" s="509"/>
    </row>
    <row r="229" spans="3:30">
      <c r="C229" s="509"/>
      <c r="D229" s="509"/>
      <c r="E229" s="509"/>
      <c r="F229" s="509"/>
      <c r="G229" s="509"/>
      <c r="H229" s="509"/>
      <c r="I229" s="509"/>
      <c r="J229" s="509"/>
      <c r="K229" s="509"/>
      <c r="L229" s="509"/>
      <c r="M229" s="509"/>
      <c r="N229" s="509"/>
      <c r="O229" s="509"/>
      <c r="P229" s="509"/>
      <c r="Q229" s="509"/>
      <c r="R229" s="509"/>
      <c r="S229" s="509"/>
      <c r="T229" s="509"/>
      <c r="U229" s="509"/>
      <c r="V229" s="509"/>
      <c r="W229" s="509"/>
      <c r="X229" s="509"/>
      <c r="Y229" s="509"/>
      <c r="Z229" s="509"/>
      <c r="AA229" s="509"/>
      <c r="AB229" s="509"/>
      <c r="AC229" s="509"/>
      <c r="AD229" s="509"/>
    </row>
    <row r="230" spans="3:30">
      <c r="C230" s="509"/>
      <c r="D230" s="509"/>
      <c r="E230" s="509"/>
      <c r="F230" s="509"/>
      <c r="G230" s="509"/>
      <c r="H230" s="509"/>
      <c r="I230" s="509"/>
      <c r="J230" s="509"/>
      <c r="K230" s="509"/>
      <c r="L230" s="509"/>
      <c r="M230" s="509"/>
      <c r="N230" s="509"/>
      <c r="O230" s="509"/>
      <c r="P230" s="509"/>
      <c r="Q230" s="509"/>
      <c r="R230" s="509"/>
      <c r="S230" s="509"/>
      <c r="T230" s="509"/>
      <c r="U230" s="509"/>
      <c r="V230" s="509"/>
      <c r="W230" s="509"/>
      <c r="X230" s="509"/>
      <c r="Y230" s="509"/>
      <c r="Z230" s="509"/>
      <c r="AA230" s="509"/>
      <c r="AB230" s="509"/>
      <c r="AC230" s="509"/>
      <c r="AD230" s="509"/>
    </row>
    <row r="231" spans="3:30">
      <c r="C231" s="509"/>
      <c r="D231" s="509"/>
      <c r="E231" s="509"/>
      <c r="F231" s="509"/>
      <c r="G231" s="509"/>
      <c r="H231" s="509"/>
      <c r="I231" s="509"/>
      <c r="J231" s="509"/>
      <c r="K231" s="509"/>
      <c r="L231" s="509"/>
      <c r="M231" s="509"/>
      <c r="N231" s="509"/>
      <c r="O231" s="509"/>
      <c r="P231" s="509"/>
      <c r="Q231" s="509"/>
      <c r="R231" s="509"/>
      <c r="S231" s="509"/>
      <c r="T231" s="509"/>
      <c r="U231" s="509"/>
      <c r="V231" s="509"/>
      <c r="W231" s="509"/>
      <c r="X231" s="509"/>
      <c r="Y231" s="509"/>
      <c r="Z231" s="509"/>
      <c r="AA231" s="509"/>
      <c r="AB231" s="509"/>
      <c r="AC231" s="509"/>
      <c r="AD231" s="509"/>
    </row>
    <row r="232" spans="3:30">
      <c r="C232" s="509"/>
      <c r="D232" s="509"/>
      <c r="E232" s="509"/>
      <c r="F232" s="509"/>
      <c r="G232" s="509"/>
      <c r="H232" s="509"/>
      <c r="I232" s="509"/>
      <c r="J232" s="509"/>
      <c r="K232" s="509"/>
      <c r="L232" s="509"/>
      <c r="M232" s="509"/>
      <c r="N232" s="509"/>
      <c r="O232" s="509"/>
      <c r="P232" s="509"/>
      <c r="Q232" s="509"/>
      <c r="R232" s="509"/>
      <c r="S232" s="509"/>
      <c r="T232" s="509"/>
      <c r="U232" s="509"/>
      <c r="V232" s="509"/>
      <c r="W232" s="509"/>
      <c r="X232" s="509"/>
      <c r="Y232" s="509"/>
      <c r="Z232" s="509"/>
      <c r="AA232" s="509"/>
      <c r="AB232" s="509"/>
      <c r="AC232" s="509"/>
      <c r="AD232" s="509"/>
    </row>
    <row r="233" spans="3:30">
      <c r="C233" s="509"/>
      <c r="D233" s="509"/>
      <c r="E233" s="509"/>
      <c r="F233" s="509"/>
      <c r="G233" s="509"/>
      <c r="H233" s="509"/>
      <c r="I233" s="509"/>
      <c r="J233" s="509"/>
      <c r="K233" s="509"/>
      <c r="L233" s="509"/>
      <c r="M233" s="509"/>
      <c r="N233" s="509"/>
      <c r="O233" s="509"/>
      <c r="P233" s="509"/>
      <c r="Q233" s="509"/>
      <c r="R233" s="509"/>
      <c r="S233" s="509"/>
      <c r="T233" s="509"/>
      <c r="U233" s="509"/>
      <c r="V233" s="509"/>
      <c r="W233" s="509"/>
      <c r="X233" s="509"/>
      <c r="Y233" s="509"/>
      <c r="Z233" s="509"/>
      <c r="AA233" s="509"/>
      <c r="AB233" s="509"/>
      <c r="AC233" s="509"/>
      <c r="AD233" s="509"/>
    </row>
    <row r="234" spans="3:30">
      <c r="C234" s="509"/>
      <c r="D234" s="509"/>
      <c r="E234" s="509"/>
      <c r="F234" s="509"/>
      <c r="G234" s="509"/>
      <c r="H234" s="509"/>
      <c r="I234" s="509"/>
      <c r="J234" s="509"/>
      <c r="K234" s="509"/>
      <c r="L234" s="509"/>
      <c r="M234" s="509"/>
      <c r="N234" s="509"/>
      <c r="O234" s="509"/>
      <c r="P234" s="509"/>
      <c r="Q234" s="509"/>
      <c r="R234" s="509"/>
      <c r="S234" s="509"/>
      <c r="T234" s="509"/>
      <c r="U234" s="509"/>
      <c r="V234" s="509"/>
      <c r="W234" s="509"/>
      <c r="X234" s="509"/>
      <c r="Y234" s="509"/>
      <c r="Z234" s="509"/>
      <c r="AA234" s="509"/>
      <c r="AB234" s="509"/>
      <c r="AC234" s="509"/>
      <c r="AD234" s="509"/>
    </row>
    <row r="235" spans="3:30">
      <c r="C235" s="509"/>
      <c r="D235" s="509"/>
      <c r="E235" s="509"/>
      <c r="F235" s="509"/>
      <c r="G235" s="509"/>
      <c r="H235" s="509"/>
      <c r="I235" s="509"/>
      <c r="J235" s="509"/>
      <c r="K235" s="509"/>
      <c r="L235" s="509"/>
      <c r="M235" s="509"/>
      <c r="N235" s="509"/>
      <c r="O235" s="509"/>
      <c r="P235" s="509"/>
      <c r="Q235" s="509"/>
      <c r="R235" s="509"/>
      <c r="S235" s="509"/>
      <c r="T235" s="509"/>
      <c r="U235" s="509"/>
      <c r="V235" s="509"/>
      <c r="W235" s="509"/>
      <c r="X235" s="509"/>
      <c r="Y235" s="509"/>
      <c r="Z235" s="509"/>
      <c r="AA235" s="509"/>
      <c r="AB235" s="509"/>
      <c r="AC235" s="509"/>
      <c r="AD235" s="509"/>
    </row>
    <row r="236" spans="3:30">
      <c r="C236" s="509"/>
      <c r="D236" s="509"/>
      <c r="E236" s="509"/>
      <c r="F236" s="509"/>
      <c r="G236" s="509"/>
      <c r="H236" s="509"/>
      <c r="I236" s="509"/>
      <c r="J236" s="509"/>
      <c r="K236" s="509"/>
      <c r="L236" s="509"/>
      <c r="M236" s="509"/>
      <c r="N236" s="509"/>
      <c r="O236" s="509"/>
      <c r="P236" s="509"/>
      <c r="Q236" s="509"/>
      <c r="R236" s="509"/>
      <c r="S236" s="509"/>
      <c r="T236" s="509"/>
      <c r="U236" s="509"/>
      <c r="V236" s="509"/>
      <c r="W236" s="509"/>
      <c r="X236" s="509"/>
      <c r="Y236" s="509"/>
      <c r="Z236" s="509"/>
      <c r="AA236" s="509"/>
      <c r="AB236" s="509"/>
      <c r="AC236" s="509"/>
      <c r="AD236" s="509"/>
    </row>
    <row r="237" spans="3:30">
      <c r="C237" s="509"/>
      <c r="D237" s="509"/>
      <c r="E237" s="509"/>
      <c r="F237" s="509"/>
      <c r="G237" s="509"/>
      <c r="H237" s="509"/>
      <c r="I237" s="509"/>
      <c r="J237" s="509"/>
      <c r="K237" s="509"/>
      <c r="L237" s="509"/>
      <c r="M237" s="509"/>
      <c r="N237" s="509"/>
      <c r="O237" s="509"/>
      <c r="P237" s="509"/>
      <c r="Q237" s="509"/>
      <c r="R237" s="509"/>
      <c r="S237" s="509"/>
      <c r="T237" s="509"/>
      <c r="U237" s="509"/>
      <c r="V237" s="509"/>
      <c r="W237" s="509"/>
      <c r="X237" s="509"/>
      <c r="Y237" s="509"/>
      <c r="Z237" s="509"/>
      <c r="AA237" s="509"/>
      <c r="AB237" s="509"/>
      <c r="AC237" s="509"/>
      <c r="AD237" s="509"/>
    </row>
    <row r="238" spans="3:30">
      <c r="C238" s="509"/>
      <c r="D238" s="509"/>
      <c r="E238" s="509"/>
      <c r="F238" s="509"/>
      <c r="G238" s="509"/>
      <c r="H238" s="509"/>
      <c r="I238" s="509"/>
      <c r="J238" s="509"/>
      <c r="K238" s="509"/>
      <c r="L238" s="509"/>
      <c r="M238" s="509"/>
      <c r="N238" s="509"/>
      <c r="O238" s="509"/>
      <c r="P238" s="509"/>
      <c r="Q238" s="509"/>
      <c r="R238" s="509"/>
      <c r="S238" s="509"/>
      <c r="T238" s="509"/>
      <c r="U238" s="509"/>
      <c r="V238" s="509"/>
      <c r="W238" s="509"/>
      <c r="X238" s="509"/>
      <c r="Y238" s="509"/>
      <c r="Z238" s="509"/>
      <c r="AA238" s="509"/>
      <c r="AB238" s="509"/>
      <c r="AC238" s="509"/>
      <c r="AD238" s="509"/>
    </row>
    <row r="239" spans="3:30">
      <c r="C239" s="509"/>
      <c r="D239" s="509"/>
      <c r="E239" s="509"/>
      <c r="F239" s="509"/>
      <c r="G239" s="509"/>
      <c r="H239" s="509"/>
      <c r="I239" s="509"/>
      <c r="J239" s="509"/>
      <c r="K239" s="509"/>
      <c r="L239" s="509"/>
      <c r="M239" s="509"/>
      <c r="N239" s="509"/>
      <c r="O239" s="509"/>
      <c r="P239" s="509"/>
      <c r="Q239" s="509"/>
      <c r="R239" s="509"/>
      <c r="S239" s="509"/>
      <c r="T239" s="509"/>
      <c r="U239" s="509"/>
      <c r="V239" s="509"/>
      <c r="W239" s="509"/>
      <c r="X239" s="509"/>
      <c r="Y239" s="509"/>
      <c r="Z239" s="509"/>
      <c r="AA239" s="509"/>
      <c r="AB239" s="509"/>
      <c r="AC239" s="509"/>
      <c r="AD239" s="509"/>
    </row>
    <row r="240" spans="3:30">
      <c r="C240" s="509"/>
      <c r="D240" s="509"/>
      <c r="E240" s="509"/>
      <c r="F240" s="509"/>
      <c r="G240" s="509"/>
      <c r="H240" s="509"/>
      <c r="I240" s="509"/>
      <c r="J240" s="509"/>
      <c r="K240" s="509"/>
      <c r="L240" s="509"/>
      <c r="M240" s="509"/>
      <c r="N240" s="509"/>
      <c r="O240" s="509"/>
      <c r="P240" s="509"/>
      <c r="Q240" s="509"/>
      <c r="R240" s="509"/>
      <c r="S240" s="509"/>
      <c r="T240" s="509"/>
      <c r="U240" s="509"/>
      <c r="V240" s="509"/>
      <c r="W240" s="509"/>
      <c r="X240" s="509"/>
      <c r="Y240" s="509"/>
      <c r="Z240" s="509"/>
      <c r="AA240" s="509"/>
      <c r="AB240" s="509"/>
      <c r="AC240" s="509"/>
      <c r="AD240" s="509"/>
    </row>
    <row r="241" spans="3:30">
      <c r="C241" s="509"/>
      <c r="D241" s="509"/>
      <c r="E241" s="509"/>
      <c r="F241" s="509"/>
      <c r="G241" s="509"/>
      <c r="H241" s="509"/>
      <c r="I241" s="509"/>
      <c r="J241" s="509"/>
      <c r="K241" s="509"/>
      <c r="L241" s="509"/>
      <c r="M241" s="509"/>
      <c r="N241" s="509"/>
      <c r="O241" s="509"/>
      <c r="P241" s="509"/>
      <c r="Q241" s="509"/>
      <c r="R241" s="509"/>
      <c r="S241" s="509"/>
      <c r="T241" s="509"/>
      <c r="U241" s="509"/>
      <c r="V241" s="509"/>
      <c r="W241" s="509"/>
      <c r="X241" s="509"/>
      <c r="Y241" s="509"/>
      <c r="Z241" s="509"/>
      <c r="AA241" s="509"/>
      <c r="AB241" s="509"/>
      <c r="AC241" s="509"/>
      <c r="AD241" s="509"/>
    </row>
    <row r="242" spans="3:30">
      <c r="C242" s="509"/>
      <c r="D242" s="509"/>
      <c r="E242" s="509"/>
      <c r="F242" s="509"/>
      <c r="G242" s="509"/>
      <c r="H242" s="509"/>
      <c r="I242" s="509"/>
      <c r="J242" s="509"/>
      <c r="K242" s="509"/>
      <c r="L242" s="509"/>
      <c r="M242" s="509"/>
      <c r="N242" s="509"/>
      <c r="O242" s="509"/>
      <c r="P242" s="509"/>
      <c r="Q242" s="509"/>
      <c r="R242" s="509"/>
      <c r="S242" s="509"/>
      <c r="T242" s="509"/>
      <c r="U242" s="509"/>
      <c r="V242" s="509"/>
      <c r="W242" s="509"/>
      <c r="X242" s="509"/>
      <c r="Y242" s="509"/>
      <c r="Z242" s="509"/>
      <c r="AA242" s="509"/>
      <c r="AB242" s="509"/>
      <c r="AC242" s="509"/>
      <c r="AD242" s="509"/>
    </row>
    <row r="243" spans="3:30">
      <c r="C243" s="509"/>
      <c r="D243" s="509"/>
      <c r="E243" s="509"/>
      <c r="F243" s="509"/>
      <c r="G243" s="509"/>
      <c r="H243" s="509"/>
      <c r="I243" s="509"/>
      <c r="J243" s="509"/>
      <c r="K243" s="509"/>
      <c r="L243" s="509"/>
      <c r="M243" s="509"/>
      <c r="N243" s="509"/>
      <c r="O243" s="509"/>
      <c r="P243" s="509"/>
      <c r="Q243" s="509"/>
      <c r="R243" s="509"/>
      <c r="S243" s="509"/>
      <c r="T243" s="509"/>
      <c r="U243" s="509"/>
      <c r="V243" s="509"/>
      <c r="W243" s="509"/>
      <c r="X243" s="509"/>
      <c r="Y243" s="509"/>
      <c r="Z243" s="509"/>
      <c r="AA243" s="509"/>
      <c r="AB243" s="509"/>
      <c r="AC243" s="509"/>
      <c r="AD243" s="509"/>
    </row>
    <row r="244" spans="3:30">
      <c r="C244" s="509"/>
      <c r="D244" s="509"/>
      <c r="E244" s="509"/>
      <c r="F244" s="509"/>
      <c r="G244" s="509"/>
      <c r="H244" s="509"/>
      <c r="I244" s="509"/>
      <c r="J244" s="509"/>
      <c r="K244" s="509"/>
      <c r="L244" s="509"/>
      <c r="M244" s="509"/>
      <c r="N244" s="509"/>
      <c r="O244" s="509"/>
      <c r="P244" s="509"/>
      <c r="Q244" s="509"/>
      <c r="R244" s="509"/>
      <c r="S244" s="509"/>
      <c r="T244" s="509"/>
      <c r="U244" s="509"/>
      <c r="V244" s="509"/>
      <c r="W244" s="509"/>
      <c r="X244" s="509"/>
      <c r="Y244" s="509"/>
      <c r="Z244" s="509"/>
      <c r="AA244" s="509"/>
      <c r="AB244" s="509"/>
      <c r="AC244" s="509"/>
      <c r="AD244" s="509"/>
    </row>
    <row r="245" spans="3:30">
      <c r="C245" s="509"/>
      <c r="D245" s="509"/>
      <c r="E245" s="509"/>
      <c r="F245" s="509"/>
      <c r="G245" s="509"/>
      <c r="H245" s="509"/>
      <c r="I245" s="509"/>
      <c r="J245" s="509"/>
      <c r="K245" s="509"/>
      <c r="L245" s="509"/>
      <c r="M245" s="509"/>
      <c r="N245" s="509"/>
      <c r="O245" s="509"/>
      <c r="P245" s="509"/>
      <c r="Q245" s="509"/>
      <c r="R245" s="509"/>
      <c r="S245" s="509"/>
      <c r="T245" s="509"/>
      <c r="U245" s="509"/>
      <c r="V245" s="509"/>
      <c r="W245" s="509"/>
      <c r="X245" s="509"/>
      <c r="Y245" s="509"/>
      <c r="Z245" s="509"/>
      <c r="AA245" s="509"/>
      <c r="AB245" s="509"/>
      <c r="AC245" s="509"/>
      <c r="AD245" s="509"/>
    </row>
    <row r="246" spans="3:30">
      <c r="C246" s="509"/>
      <c r="D246" s="509"/>
      <c r="E246" s="509"/>
      <c r="F246" s="509"/>
      <c r="G246" s="509"/>
      <c r="H246" s="509"/>
      <c r="I246" s="509"/>
      <c r="J246" s="509"/>
      <c r="K246" s="509"/>
      <c r="L246" s="509"/>
      <c r="M246" s="509"/>
      <c r="N246" s="509"/>
      <c r="O246" s="509"/>
      <c r="P246" s="509"/>
      <c r="Q246" s="509"/>
      <c r="R246" s="509"/>
      <c r="S246" s="509"/>
      <c r="T246" s="509"/>
      <c r="U246" s="509"/>
      <c r="V246" s="509"/>
      <c r="W246" s="509"/>
      <c r="X246" s="509"/>
      <c r="Y246" s="509"/>
      <c r="Z246" s="509"/>
      <c r="AA246" s="509"/>
      <c r="AB246" s="509"/>
      <c r="AC246" s="509"/>
      <c r="AD246" s="509"/>
    </row>
    <row r="247" spans="3:30">
      <c r="C247" s="509"/>
      <c r="D247" s="509"/>
      <c r="E247" s="509"/>
      <c r="F247" s="509"/>
      <c r="G247" s="509"/>
      <c r="H247" s="509"/>
      <c r="I247" s="509"/>
      <c r="J247" s="509"/>
      <c r="K247" s="509"/>
      <c r="L247" s="509"/>
      <c r="M247" s="509"/>
      <c r="N247" s="509"/>
      <c r="O247" s="509"/>
      <c r="P247" s="509"/>
      <c r="Q247" s="509"/>
      <c r="R247" s="509"/>
      <c r="S247" s="509"/>
      <c r="T247" s="509"/>
      <c r="U247" s="509"/>
      <c r="V247" s="509"/>
      <c r="W247" s="509"/>
      <c r="X247" s="509"/>
      <c r="Y247" s="509"/>
      <c r="Z247" s="509"/>
      <c r="AA247" s="509"/>
      <c r="AB247" s="509"/>
      <c r="AC247" s="509"/>
      <c r="AD247" s="509"/>
    </row>
    <row r="248" spans="3:30">
      <c r="C248" s="509"/>
      <c r="D248" s="509"/>
      <c r="E248" s="509"/>
      <c r="F248" s="509"/>
      <c r="G248" s="509"/>
      <c r="H248" s="509"/>
      <c r="I248" s="509"/>
      <c r="J248" s="509"/>
      <c r="K248" s="509"/>
      <c r="L248" s="509"/>
      <c r="M248" s="509"/>
      <c r="N248" s="509"/>
      <c r="O248" s="509"/>
      <c r="P248" s="509"/>
      <c r="Q248" s="509"/>
      <c r="R248" s="509"/>
      <c r="S248" s="509"/>
      <c r="T248" s="509"/>
      <c r="U248" s="509"/>
      <c r="V248" s="509"/>
      <c r="W248" s="509"/>
      <c r="X248" s="509"/>
      <c r="Y248" s="509"/>
      <c r="Z248" s="509"/>
      <c r="AA248" s="509"/>
      <c r="AB248" s="509"/>
      <c r="AC248" s="509"/>
      <c r="AD248" s="509"/>
    </row>
    <row r="249" spans="3:30">
      <c r="C249" s="509"/>
      <c r="D249" s="509"/>
      <c r="E249" s="509"/>
      <c r="F249" s="509"/>
      <c r="G249" s="509"/>
      <c r="H249" s="509"/>
      <c r="I249" s="509"/>
      <c r="J249" s="509"/>
      <c r="K249" s="509"/>
      <c r="L249" s="509"/>
      <c r="M249" s="509"/>
      <c r="N249" s="509"/>
      <c r="O249" s="509"/>
      <c r="P249" s="509"/>
      <c r="Q249" s="509"/>
      <c r="R249" s="509"/>
      <c r="S249" s="509"/>
      <c r="T249" s="509"/>
      <c r="U249" s="509"/>
      <c r="V249" s="509"/>
      <c r="W249" s="509"/>
      <c r="X249" s="509"/>
      <c r="Y249" s="509"/>
      <c r="Z249" s="509"/>
      <c r="AA249" s="509"/>
      <c r="AB249" s="509"/>
      <c r="AC249" s="509"/>
      <c r="AD249" s="509"/>
    </row>
    <row r="250" spans="3:30">
      <c r="C250" s="509"/>
      <c r="D250" s="509"/>
      <c r="E250" s="509"/>
      <c r="F250" s="509"/>
      <c r="G250" s="509"/>
      <c r="H250" s="509"/>
      <c r="I250" s="509"/>
      <c r="J250" s="509"/>
      <c r="K250" s="509"/>
      <c r="L250" s="509"/>
      <c r="M250" s="509"/>
      <c r="N250" s="509"/>
      <c r="O250" s="509"/>
      <c r="P250" s="509"/>
      <c r="Q250" s="509"/>
      <c r="R250" s="509"/>
      <c r="S250" s="509"/>
      <c r="T250" s="509"/>
      <c r="U250" s="509"/>
      <c r="V250" s="509"/>
      <c r="W250" s="509"/>
      <c r="X250" s="509"/>
      <c r="Y250" s="509"/>
      <c r="Z250" s="509"/>
      <c r="AA250" s="509"/>
      <c r="AB250" s="509"/>
      <c r="AC250" s="509"/>
      <c r="AD250" s="509"/>
    </row>
    <row r="251" spans="3:30">
      <c r="C251" s="509"/>
      <c r="D251" s="509"/>
      <c r="E251" s="509"/>
      <c r="F251" s="509"/>
      <c r="G251" s="509"/>
      <c r="H251" s="509"/>
      <c r="I251" s="509"/>
      <c r="J251" s="509"/>
      <c r="K251" s="509"/>
      <c r="L251" s="509"/>
      <c r="M251" s="509"/>
      <c r="N251" s="509"/>
      <c r="O251" s="509"/>
      <c r="P251" s="509"/>
      <c r="Q251" s="509"/>
      <c r="R251" s="509"/>
      <c r="S251" s="509"/>
      <c r="T251" s="509"/>
      <c r="U251" s="509"/>
      <c r="V251" s="509"/>
      <c r="W251" s="509"/>
      <c r="X251" s="509"/>
      <c r="Y251" s="509"/>
      <c r="Z251" s="509"/>
      <c r="AA251" s="509"/>
      <c r="AB251" s="509"/>
      <c r="AC251" s="509"/>
      <c r="AD251" s="509"/>
    </row>
    <row r="252" spans="3:30">
      <c r="C252" s="509"/>
      <c r="D252" s="509"/>
      <c r="E252" s="509"/>
      <c r="F252" s="509"/>
      <c r="G252" s="509"/>
      <c r="H252" s="509"/>
      <c r="I252" s="509"/>
      <c r="J252" s="509"/>
      <c r="K252" s="509"/>
      <c r="L252" s="509"/>
      <c r="M252" s="509"/>
      <c r="N252" s="509"/>
      <c r="O252" s="509"/>
      <c r="P252" s="509"/>
      <c r="Q252" s="509"/>
      <c r="R252" s="509"/>
      <c r="S252" s="509"/>
      <c r="T252" s="509"/>
      <c r="U252" s="509"/>
      <c r="V252" s="509"/>
      <c r="W252" s="509"/>
      <c r="X252" s="509"/>
      <c r="Y252" s="509"/>
      <c r="Z252" s="509"/>
      <c r="AA252" s="509"/>
      <c r="AB252" s="509"/>
      <c r="AC252" s="509"/>
      <c r="AD252" s="509"/>
    </row>
    <row r="253" spans="3:30">
      <c r="C253" s="509"/>
      <c r="D253" s="509"/>
      <c r="E253" s="509"/>
      <c r="F253" s="509"/>
      <c r="G253" s="509"/>
      <c r="H253" s="509"/>
      <c r="I253" s="509"/>
      <c r="J253" s="509"/>
      <c r="K253" s="509"/>
      <c r="L253" s="509"/>
      <c r="M253" s="509"/>
      <c r="N253" s="509"/>
      <c r="O253" s="509"/>
      <c r="P253" s="509"/>
      <c r="Q253" s="509"/>
      <c r="R253" s="509"/>
      <c r="S253" s="509"/>
      <c r="T253" s="509"/>
      <c r="U253" s="509"/>
      <c r="V253" s="509"/>
      <c r="W253" s="509"/>
      <c r="X253" s="509"/>
      <c r="Y253" s="509"/>
      <c r="Z253" s="509"/>
      <c r="AA253" s="509"/>
      <c r="AB253" s="509"/>
      <c r="AC253" s="509"/>
      <c r="AD253" s="509"/>
    </row>
    <row r="254" spans="3:30">
      <c r="C254" s="509"/>
      <c r="D254" s="509"/>
      <c r="E254" s="509"/>
      <c r="F254" s="509"/>
      <c r="G254" s="509"/>
      <c r="H254" s="509"/>
      <c r="I254" s="509"/>
      <c r="J254" s="509"/>
      <c r="K254" s="509"/>
      <c r="L254" s="509"/>
      <c r="M254" s="509"/>
      <c r="N254" s="509"/>
      <c r="O254" s="509"/>
      <c r="P254" s="509"/>
      <c r="Q254" s="509"/>
      <c r="R254" s="509"/>
      <c r="S254" s="509"/>
      <c r="T254" s="509"/>
      <c r="U254" s="509"/>
      <c r="V254" s="509"/>
      <c r="W254" s="509"/>
      <c r="X254" s="509"/>
      <c r="Y254" s="509"/>
      <c r="Z254" s="509"/>
      <c r="AA254" s="509"/>
      <c r="AB254" s="509"/>
      <c r="AC254" s="509"/>
      <c r="AD254" s="509"/>
    </row>
    <row r="255" spans="3:30">
      <c r="C255" s="509"/>
      <c r="D255" s="509"/>
      <c r="E255" s="509"/>
      <c r="F255" s="509"/>
      <c r="G255" s="509"/>
      <c r="H255" s="509"/>
      <c r="I255" s="509"/>
      <c r="J255" s="509"/>
      <c r="K255" s="509"/>
      <c r="L255" s="509"/>
      <c r="M255" s="509"/>
      <c r="N255" s="509"/>
      <c r="O255" s="509"/>
      <c r="P255" s="509"/>
      <c r="Q255" s="509"/>
      <c r="R255" s="509"/>
      <c r="S255" s="509"/>
      <c r="T255" s="509"/>
      <c r="U255" s="509"/>
      <c r="V255" s="509"/>
      <c r="W255" s="509"/>
      <c r="X255" s="509"/>
      <c r="Y255" s="509"/>
      <c r="Z255" s="509"/>
      <c r="AA255" s="509"/>
      <c r="AB255" s="509"/>
      <c r="AC255" s="509"/>
      <c r="AD255" s="509"/>
    </row>
    <row r="256" spans="3:30">
      <c r="C256" s="509"/>
      <c r="D256" s="509"/>
      <c r="E256" s="509"/>
      <c r="F256" s="509"/>
      <c r="G256" s="509"/>
      <c r="H256" s="509"/>
      <c r="I256" s="509"/>
      <c r="J256" s="509"/>
      <c r="K256" s="509"/>
      <c r="L256" s="509"/>
      <c r="M256" s="509"/>
      <c r="N256" s="509"/>
      <c r="O256" s="509"/>
      <c r="P256" s="509"/>
      <c r="Q256" s="509"/>
      <c r="R256" s="509"/>
      <c r="S256" s="509"/>
      <c r="T256" s="509"/>
      <c r="U256" s="509"/>
      <c r="V256" s="509"/>
      <c r="W256" s="509"/>
      <c r="X256" s="509"/>
      <c r="Y256" s="509"/>
      <c r="Z256" s="509"/>
      <c r="AA256" s="509"/>
      <c r="AB256" s="509"/>
      <c r="AC256" s="509"/>
      <c r="AD256" s="509"/>
    </row>
    <row r="257" spans="3:30">
      <c r="C257" s="509"/>
      <c r="D257" s="509"/>
      <c r="E257" s="509"/>
      <c r="F257" s="509"/>
      <c r="G257" s="509"/>
      <c r="H257" s="509"/>
      <c r="I257" s="509"/>
      <c r="J257" s="509"/>
      <c r="K257" s="509"/>
      <c r="L257" s="509"/>
      <c r="M257" s="509"/>
      <c r="N257" s="509"/>
      <c r="O257" s="509"/>
      <c r="P257" s="509"/>
      <c r="Q257" s="509"/>
      <c r="R257" s="509"/>
      <c r="S257" s="509"/>
      <c r="T257" s="509"/>
      <c r="U257" s="509"/>
      <c r="V257" s="509"/>
      <c r="W257" s="509"/>
      <c r="X257" s="509"/>
      <c r="Y257" s="509"/>
      <c r="Z257" s="509"/>
      <c r="AA257" s="509"/>
      <c r="AB257" s="509"/>
      <c r="AC257" s="509"/>
      <c r="AD257" s="509"/>
    </row>
    <row r="258" spans="3:30">
      <c r="C258" s="509"/>
      <c r="D258" s="509"/>
      <c r="E258" s="509"/>
      <c r="F258" s="509"/>
      <c r="G258" s="509"/>
      <c r="H258" s="509"/>
      <c r="I258" s="509"/>
      <c r="J258" s="509"/>
      <c r="K258" s="509"/>
      <c r="L258" s="509"/>
      <c r="M258" s="509"/>
      <c r="N258" s="509"/>
      <c r="O258" s="509"/>
      <c r="P258" s="509"/>
      <c r="Q258" s="509"/>
      <c r="R258" s="509"/>
      <c r="S258" s="509"/>
      <c r="T258" s="509"/>
      <c r="U258" s="509"/>
      <c r="V258" s="509"/>
      <c r="W258" s="509"/>
      <c r="X258" s="509"/>
      <c r="Y258" s="509"/>
      <c r="Z258" s="509"/>
      <c r="AA258" s="509"/>
      <c r="AB258" s="509"/>
      <c r="AC258" s="509"/>
      <c r="AD258" s="509"/>
    </row>
    <row r="259" spans="3:30">
      <c r="C259" s="509"/>
      <c r="D259" s="509"/>
      <c r="E259" s="509"/>
      <c r="F259" s="509"/>
      <c r="G259" s="509"/>
      <c r="H259" s="509"/>
      <c r="I259" s="509"/>
      <c r="J259" s="509"/>
      <c r="K259" s="509"/>
      <c r="L259" s="509"/>
      <c r="M259" s="509"/>
      <c r="N259" s="509"/>
      <c r="O259" s="509"/>
      <c r="P259" s="509"/>
      <c r="Q259" s="509"/>
      <c r="R259" s="509"/>
      <c r="S259" s="509"/>
      <c r="T259" s="509"/>
      <c r="U259" s="509"/>
      <c r="V259" s="509"/>
      <c r="W259" s="509"/>
      <c r="X259" s="509"/>
      <c r="Y259" s="509"/>
      <c r="Z259" s="509"/>
      <c r="AA259" s="509"/>
      <c r="AB259" s="509"/>
      <c r="AC259" s="509"/>
      <c r="AD259" s="509"/>
    </row>
    <row r="260" spans="3:30">
      <c r="C260" s="509"/>
      <c r="D260" s="509"/>
      <c r="E260" s="509"/>
      <c r="F260" s="509"/>
      <c r="G260" s="509"/>
      <c r="H260" s="509"/>
      <c r="I260" s="509"/>
      <c r="J260" s="509"/>
      <c r="K260" s="509"/>
      <c r="L260" s="509"/>
      <c r="M260" s="509"/>
      <c r="N260" s="509"/>
      <c r="O260" s="509"/>
      <c r="P260" s="509"/>
      <c r="Q260" s="509"/>
      <c r="R260" s="509"/>
      <c r="S260" s="509"/>
      <c r="T260" s="509"/>
      <c r="U260" s="509"/>
      <c r="V260" s="509"/>
      <c r="W260" s="509"/>
      <c r="X260" s="509"/>
      <c r="Y260" s="509"/>
      <c r="Z260" s="509"/>
      <c r="AA260" s="509"/>
      <c r="AB260" s="509"/>
      <c r="AC260" s="509"/>
      <c r="AD260" s="509"/>
    </row>
    <row r="261" spans="3:30">
      <c r="C261" s="509"/>
      <c r="D261" s="509"/>
      <c r="E261" s="509"/>
      <c r="F261" s="509"/>
      <c r="G261" s="509"/>
      <c r="H261" s="509"/>
      <c r="I261" s="509"/>
      <c r="J261" s="509"/>
      <c r="K261" s="509"/>
      <c r="L261" s="509"/>
      <c r="M261" s="509"/>
      <c r="N261" s="509"/>
      <c r="O261" s="509"/>
      <c r="P261" s="509"/>
      <c r="Q261" s="509"/>
      <c r="R261" s="509"/>
      <c r="S261" s="509"/>
      <c r="T261" s="509"/>
      <c r="U261" s="509"/>
      <c r="V261" s="509"/>
      <c r="W261" s="509"/>
      <c r="X261" s="509"/>
      <c r="Y261" s="509"/>
      <c r="Z261" s="509"/>
      <c r="AA261" s="509"/>
      <c r="AB261" s="509"/>
      <c r="AC261" s="509"/>
      <c r="AD261" s="509"/>
    </row>
    <row r="262" spans="3:30">
      <c r="C262" s="509"/>
      <c r="D262" s="509"/>
      <c r="E262" s="509"/>
      <c r="F262" s="509"/>
      <c r="G262" s="509"/>
      <c r="H262" s="509"/>
      <c r="I262" s="509"/>
      <c r="J262" s="509"/>
      <c r="K262" s="509"/>
      <c r="L262" s="509"/>
      <c r="M262" s="509"/>
      <c r="N262" s="509"/>
      <c r="O262" s="509"/>
      <c r="P262" s="509"/>
      <c r="Q262" s="509"/>
      <c r="R262" s="509"/>
      <c r="S262" s="509"/>
      <c r="T262" s="509"/>
      <c r="U262" s="509"/>
      <c r="V262" s="509"/>
      <c r="W262" s="509"/>
      <c r="X262" s="509"/>
      <c r="Y262" s="509"/>
      <c r="Z262" s="509"/>
      <c r="AA262" s="509"/>
      <c r="AB262" s="509"/>
      <c r="AC262" s="509"/>
      <c r="AD262" s="509"/>
    </row>
    <row r="263" spans="3:30">
      <c r="C263" s="509"/>
      <c r="D263" s="509"/>
      <c r="E263" s="509"/>
      <c r="F263" s="509"/>
      <c r="G263" s="509"/>
      <c r="H263" s="509"/>
      <c r="I263" s="509"/>
      <c r="J263" s="509"/>
      <c r="K263" s="509"/>
      <c r="L263" s="509"/>
      <c r="M263" s="509"/>
      <c r="N263" s="509"/>
      <c r="O263" s="509"/>
      <c r="P263" s="509"/>
      <c r="Q263" s="509"/>
      <c r="R263" s="509"/>
      <c r="S263" s="509"/>
      <c r="T263" s="509"/>
      <c r="U263" s="509"/>
      <c r="V263" s="509"/>
      <c r="W263" s="509"/>
      <c r="X263" s="509"/>
      <c r="Y263" s="509"/>
      <c r="Z263" s="509"/>
      <c r="AA263" s="509"/>
      <c r="AB263" s="509"/>
      <c r="AC263" s="509"/>
      <c r="AD263" s="509"/>
    </row>
    <row r="264" spans="3:30">
      <c r="C264" s="509"/>
      <c r="D264" s="509"/>
      <c r="E264" s="509"/>
      <c r="F264" s="509"/>
      <c r="G264" s="509"/>
      <c r="H264" s="509"/>
      <c r="I264" s="509"/>
      <c r="J264" s="509"/>
      <c r="K264" s="509"/>
      <c r="L264" s="509"/>
      <c r="M264" s="509"/>
      <c r="N264" s="509"/>
      <c r="O264" s="509"/>
      <c r="P264" s="509"/>
      <c r="Q264" s="509"/>
      <c r="R264" s="509"/>
      <c r="S264" s="509"/>
      <c r="T264" s="509"/>
      <c r="U264" s="509"/>
      <c r="V264" s="509"/>
      <c r="W264" s="509"/>
      <c r="X264" s="509"/>
      <c r="Y264" s="509"/>
      <c r="Z264" s="509"/>
      <c r="AA264" s="509"/>
      <c r="AB264" s="509"/>
      <c r="AC264" s="509"/>
      <c r="AD264" s="509"/>
    </row>
    <row r="265" spans="3:30">
      <c r="C265" s="509"/>
      <c r="D265" s="509"/>
      <c r="E265" s="509"/>
      <c r="F265" s="509"/>
      <c r="G265" s="509"/>
      <c r="H265" s="509"/>
      <c r="I265" s="509"/>
      <c r="J265" s="509"/>
      <c r="K265" s="509"/>
      <c r="L265" s="509"/>
      <c r="M265" s="509"/>
      <c r="N265" s="509"/>
      <c r="O265" s="509"/>
      <c r="P265" s="509"/>
      <c r="Q265" s="509"/>
      <c r="R265" s="509"/>
      <c r="S265" s="509"/>
      <c r="T265" s="509"/>
      <c r="U265" s="509"/>
      <c r="V265" s="509"/>
      <c r="W265" s="509"/>
      <c r="X265" s="509"/>
      <c r="Y265" s="509"/>
      <c r="Z265" s="509"/>
      <c r="AA265" s="509"/>
      <c r="AB265" s="509"/>
      <c r="AC265" s="509"/>
      <c r="AD265" s="509"/>
    </row>
    <row r="266" spans="3:30">
      <c r="C266" s="509"/>
      <c r="D266" s="509"/>
      <c r="E266" s="509"/>
      <c r="F266" s="509"/>
      <c r="G266" s="509"/>
      <c r="H266" s="509"/>
      <c r="I266" s="509"/>
      <c r="J266" s="509"/>
      <c r="K266" s="509"/>
      <c r="L266" s="509"/>
      <c r="M266" s="509"/>
      <c r="N266" s="509"/>
      <c r="O266" s="509"/>
      <c r="P266" s="509"/>
      <c r="Q266" s="509"/>
      <c r="R266" s="509"/>
      <c r="S266" s="509"/>
      <c r="T266" s="509"/>
      <c r="U266" s="509"/>
      <c r="V266" s="509"/>
      <c r="W266" s="509"/>
      <c r="X266" s="509"/>
      <c r="Y266" s="509"/>
      <c r="Z266" s="509"/>
      <c r="AA266" s="509"/>
      <c r="AB266" s="509"/>
      <c r="AC266" s="509"/>
      <c r="AD266" s="509"/>
    </row>
    <row r="267" spans="3:30">
      <c r="C267" s="509"/>
      <c r="D267" s="509"/>
      <c r="E267" s="509"/>
      <c r="F267" s="509"/>
      <c r="G267" s="509"/>
      <c r="H267" s="509"/>
      <c r="I267" s="509"/>
      <c r="J267" s="509"/>
      <c r="K267" s="509"/>
      <c r="L267" s="509"/>
      <c r="M267" s="509"/>
      <c r="N267" s="509"/>
      <c r="O267" s="509"/>
      <c r="P267" s="509"/>
      <c r="Q267" s="509"/>
      <c r="R267" s="509"/>
      <c r="S267" s="509"/>
      <c r="T267" s="509"/>
      <c r="U267" s="509"/>
      <c r="V267" s="509"/>
      <c r="W267" s="509"/>
      <c r="X267" s="509"/>
      <c r="Y267" s="509"/>
      <c r="Z267" s="509"/>
      <c r="AA267" s="509"/>
      <c r="AB267" s="509"/>
      <c r="AC267" s="509"/>
      <c r="AD267" s="509"/>
    </row>
    <row r="268" spans="3:30">
      <c r="C268" s="509"/>
      <c r="D268" s="509"/>
      <c r="E268" s="509"/>
      <c r="F268" s="509"/>
      <c r="G268" s="509"/>
      <c r="H268" s="509"/>
      <c r="I268" s="509"/>
      <c r="J268" s="509"/>
      <c r="K268" s="509"/>
      <c r="L268" s="509"/>
      <c r="M268" s="509"/>
      <c r="N268" s="509"/>
      <c r="O268" s="509"/>
      <c r="P268" s="509"/>
      <c r="Q268" s="509"/>
      <c r="R268" s="509"/>
      <c r="S268" s="509"/>
      <c r="T268" s="509"/>
      <c r="U268" s="509"/>
      <c r="V268" s="509"/>
      <c r="W268" s="509"/>
      <c r="X268" s="509"/>
      <c r="Y268" s="509"/>
      <c r="Z268" s="509"/>
      <c r="AA268" s="509"/>
      <c r="AB268" s="509"/>
      <c r="AC268" s="509"/>
      <c r="AD268" s="509"/>
    </row>
    <row r="269" spans="3:30">
      <c r="C269" s="509"/>
      <c r="D269" s="509"/>
      <c r="E269" s="509"/>
      <c r="F269" s="509"/>
      <c r="G269" s="509"/>
      <c r="H269" s="509"/>
      <c r="I269" s="509"/>
      <c r="J269" s="509"/>
      <c r="K269" s="509"/>
      <c r="L269" s="509"/>
      <c r="M269" s="509"/>
      <c r="N269" s="509"/>
      <c r="O269" s="509"/>
      <c r="P269" s="509"/>
      <c r="Q269" s="509"/>
      <c r="R269" s="509"/>
      <c r="S269" s="509"/>
      <c r="T269" s="509"/>
      <c r="U269" s="509"/>
      <c r="V269" s="509"/>
      <c r="W269" s="509"/>
      <c r="X269" s="509"/>
      <c r="Y269" s="509"/>
      <c r="Z269" s="509"/>
      <c r="AA269" s="509"/>
      <c r="AB269" s="509"/>
      <c r="AC269" s="509"/>
      <c r="AD269" s="509"/>
    </row>
    <row r="270" spans="3:30">
      <c r="C270" s="509"/>
      <c r="D270" s="509"/>
      <c r="E270" s="509"/>
      <c r="F270" s="509"/>
      <c r="G270" s="509"/>
      <c r="H270" s="509"/>
      <c r="I270" s="509"/>
      <c r="J270" s="509"/>
      <c r="K270" s="509"/>
      <c r="L270" s="509"/>
      <c r="M270" s="509"/>
      <c r="N270" s="509"/>
      <c r="O270" s="509"/>
      <c r="P270" s="509"/>
      <c r="Q270" s="509"/>
      <c r="R270" s="509"/>
      <c r="S270" s="509"/>
      <c r="T270" s="509"/>
      <c r="U270" s="509"/>
      <c r="V270" s="509"/>
      <c r="W270" s="509"/>
      <c r="X270" s="509"/>
      <c r="Y270" s="509"/>
      <c r="Z270" s="509"/>
      <c r="AA270" s="509"/>
      <c r="AB270" s="509"/>
      <c r="AC270" s="509"/>
      <c r="AD270" s="509"/>
    </row>
    <row r="271" spans="3:30">
      <c r="C271" s="509"/>
      <c r="D271" s="509"/>
      <c r="E271" s="509"/>
      <c r="F271" s="509"/>
      <c r="G271" s="509"/>
      <c r="H271" s="509"/>
      <c r="I271" s="509"/>
      <c r="J271" s="509"/>
      <c r="K271" s="509"/>
      <c r="L271" s="509"/>
      <c r="M271" s="509"/>
      <c r="N271" s="509"/>
      <c r="O271" s="509"/>
      <c r="P271" s="509"/>
      <c r="Q271" s="509"/>
      <c r="R271" s="509"/>
      <c r="S271" s="509"/>
      <c r="T271" s="509"/>
      <c r="U271" s="509"/>
      <c r="V271" s="509"/>
      <c r="W271" s="509"/>
      <c r="X271" s="509"/>
      <c r="Y271" s="509"/>
      <c r="Z271" s="509"/>
      <c r="AA271" s="509"/>
      <c r="AB271" s="509"/>
      <c r="AC271" s="509"/>
      <c r="AD271" s="509"/>
    </row>
    <row r="272" spans="3:30">
      <c r="C272" s="509"/>
      <c r="D272" s="509"/>
      <c r="E272" s="509"/>
      <c r="F272" s="509"/>
      <c r="G272" s="509"/>
      <c r="H272" s="509"/>
      <c r="I272" s="509"/>
      <c r="J272" s="509"/>
      <c r="K272" s="509"/>
      <c r="L272" s="509"/>
      <c r="M272" s="509"/>
      <c r="N272" s="509"/>
      <c r="O272" s="509"/>
      <c r="P272" s="509"/>
      <c r="Q272" s="509"/>
      <c r="R272" s="509"/>
      <c r="S272" s="509"/>
      <c r="T272" s="509"/>
      <c r="U272" s="509"/>
      <c r="V272" s="509"/>
      <c r="W272" s="509"/>
      <c r="X272" s="509"/>
      <c r="Y272" s="509"/>
      <c r="Z272" s="509"/>
      <c r="AA272" s="509"/>
      <c r="AB272" s="509"/>
      <c r="AC272" s="509"/>
      <c r="AD272" s="509"/>
    </row>
    <row r="273" spans="3:30">
      <c r="C273" s="509"/>
      <c r="D273" s="509"/>
      <c r="E273" s="509"/>
      <c r="F273" s="509"/>
      <c r="G273" s="509"/>
      <c r="H273" s="509"/>
      <c r="I273" s="509"/>
      <c r="J273" s="509"/>
      <c r="K273" s="509"/>
      <c r="L273" s="509"/>
      <c r="M273" s="509"/>
      <c r="N273" s="509"/>
      <c r="O273" s="509"/>
      <c r="P273" s="509"/>
      <c r="Q273" s="509"/>
      <c r="R273" s="509"/>
      <c r="S273" s="509"/>
      <c r="T273" s="509"/>
      <c r="U273" s="509"/>
      <c r="V273" s="509"/>
      <c r="W273" s="509"/>
      <c r="X273" s="509"/>
      <c r="Y273" s="509"/>
      <c r="Z273" s="509"/>
      <c r="AA273" s="509"/>
      <c r="AB273" s="509"/>
      <c r="AC273" s="509"/>
      <c r="AD273" s="509"/>
    </row>
    <row r="274" spans="3:30">
      <c r="C274" s="509"/>
      <c r="D274" s="509"/>
      <c r="E274" s="509"/>
      <c r="F274" s="509"/>
      <c r="G274" s="509"/>
      <c r="H274" s="509"/>
      <c r="I274" s="509"/>
      <c r="J274" s="509"/>
      <c r="K274" s="509"/>
      <c r="L274" s="509"/>
      <c r="M274" s="509"/>
      <c r="N274" s="509"/>
      <c r="O274" s="509"/>
      <c r="P274" s="509"/>
      <c r="Q274" s="509"/>
      <c r="R274" s="509"/>
      <c r="S274" s="509"/>
      <c r="T274" s="509"/>
      <c r="U274" s="509"/>
      <c r="V274" s="509"/>
      <c r="W274" s="509"/>
      <c r="X274" s="509"/>
      <c r="Y274" s="509"/>
      <c r="Z274" s="509"/>
      <c r="AA274" s="509"/>
      <c r="AB274" s="509"/>
      <c r="AC274" s="509"/>
      <c r="AD274" s="509"/>
    </row>
    <row r="275" spans="3:30">
      <c r="C275" s="509"/>
      <c r="D275" s="509"/>
      <c r="E275" s="509"/>
      <c r="F275" s="509"/>
      <c r="G275" s="509"/>
      <c r="H275" s="509"/>
      <c r="I275" s="509"/>
      <c r="J275" s="509"/>
      <c r="K275" s="509"/>
      <c r="L275" s="509"/>
      <c r="M275" s="509"/>
      <c r="N275" s="509"/>
      <c r="O275" s="509"/>
      <c r="P275" s="509"/>
      <c r="Q275" s="509"/>
      <c r="R275" s="509"/>
      <c r="S275" s="509"/>
      <c r="T275" s="509"/>
      <c r="U275" s="509"/>
      <c r="V275" s="509"/>
      <c r="W275" s="509"/>
      <c r="X275" s="509"/>
      <c r="Y275" s="509"/>
      <c r="Z275" s="509"/>
      <c r="AA275" s="509"/>
      <c r="AB275" s="509"/>
      <c r="AC275" s="509"/>
      <c r="AD275" s="509"/>
    </row>
    <row r="276" spans="3:30">
      <c r="C276" s="509"/>
      <c r="D276" s="509"/>
      <c r="E276" s="509"/>
      <c r="F276" s="509"/>
      <c r="G276" s="509"/>
      <c r="H276" s="509"/>
      <c r="I276" s="509"/>
      <c r="J276" s="509"/>
      <c r="K276" s="509"/>
      <c r="L276" s="509"/>
      <c r="M276" s="509"/>
      <c r="N276" s="509"/>
      <c r="O276" s="509"/>
      <c r="P276" s="509"/>
      <c r="Q276" s="509"/>
      <c r="R276" s="509"/>
      <c r="S276" s="509"/>
      <c r="T276" s="509"/>
      <c r="U276" s="509"/>
      <c r="V276" s="509"/>
      <c r="W276" s="509"/>
      <c r="X276" s="509"/>
      <c r="Y276" s="509"/>
      <c r="Z276" s="509"/>
      <c r="AA276" s="509"/>
      <c r="AB276" s="509"/>
      <c r="AC276" s="509"/>
      <c r="AD276" s="509"/>
    </row>
    <row r="277" spans="3:30">
      <c r="C277" s="509"/>
      <c r="D277" s="509"/>
      <c r="E277" s="509"/>
      <c r="F277" s="509"/>
      <c r="G277" s="509"/>
      <c r="H277" s="509"/>
      <c r="I277" s="509"/>
      <c r="J277" s="509"/>
      <c r="K277" s="509"/>
      <c r="L277" s="509"/>
      <c r="M277" s="509"/>
      <c r="N277" s="509"/>
      <c r="O277" s="509"/>
      <c r="P277" s="509"/>
      <c r="Q277" s="509"/>
      <c r="R277" s="509"/>
      <c r="S277" s="509"/>
      <c r="T277" s="509"/>
      <c r="U277" s="509"/>
      <c r="V277" s="509"/>
      <c r="W277" s="509"/>
      <c r="X277" s="509"/>
      <c r="Y277" s="509"/>
      <c r="Z277" s="509"/>
      <c r="AA277" s="509"/>
      <c r="AB277" s="509"/>
      <c r="AC277" s="509"/>
      <c r="AD277" s="509"/>
    </row>
    <row r="278" spans="3:30">
      <c r="C278" s="509"/>
      <c r="D278" s="509"/>
      <c r="E278" s="509"/>
      <c r="F278" s="509"/>
      <c r="G278" s="509"/>
      <c r="H278" s="509"/>
      <c r="I278" s="509"/>
      <c r="J278" s="509"/>
      <c r="K278" s="509"/>
      <c r="L278" s="509"/>
      <c r="M278" s="509"/>
      <c r="N278" s="509"/>
      <c r="O278" s="509"/>
      <c r="P278" s="509"/>
      <c r="Q278" s="509"/>
      <c r="R278" s="509"/>
      <c r="S278" s="509"/>
      <c r="T278" s="509"/>
      <c r="U278" s="509"/>
      <c r="V278" s="509"/>
      <c r="W278" s="509"/>
      <c r="X278" s="509"/>
      <c r="Y278" s="509"/>
      <c r="Z278" s="509"/>
      <c r="AA278" s="509"/>
      <c r="AB278" s="509"/>
      <c r="AC278" s="509"/>
      <c r="AD278" s="509"/>
    </row>
    <row r="279" spans="3:30">
      <c r="C279" s="509"/>
      <c r="D279" s="509"/>
      <c r="E279" s="509"/>
      <c r="F279" s="509"/>
      <c r="G279" s="509"/>
      <c r="H279" s="509"/>
      <c r="I279" s="509"/>
      <c r="J279" s="509"/>
      <c r="K279" s="509"/>
      <c r="L279" s="509"/>
      <c r="M279" s="509"/>
      <c r="N279" s="509"/>
      <c r="O279" s="509"/>
      <c r="P279" s="509"/>
      <c r="Q279" s="509"/>
      <c r="R279" s="509"/>
      <c r="S279" s="509"/>
      <c r="T279" s="509"/>
      <c r="U279" s="509"/>
      <c r="V279" s="509"/>
      <c r="W279" s="509"/>
      <c r="X279" s="509"/>
      <c r="Y279" s="509"/>
      <c r="Z279" s="509"/>
      <c r="AA279" s="509"/>
      <c r="AB279" s="509"/>
      <c r="AC279" s="509"/>
      <c r="AD279" s="509"/>
    </row>
    <row r="280" spans="3:30">
      <c r="C280" s="509"/>
      <c r="D280" s="509"/>
      <c r="E280" s="509"/>
      <c r="F280" s="509"/>
      <c r="G280" s="509"/>
      <c r="H280" s="509"/>
      <c r="I280" s="509"/>
      <c r="J280" s="509"/>
      <c r="K280" s="509"/>
      <c r="L280" s="509"/>
      <c r="M280" s="509"/>
      <c r="N280" s="509"/>
      <c r="O280" s="509"/>
      <c r="P280" s="509"/>
      <c r="Q280" s="509"/>
      <c r="R280" s="509"/>
      <c r="S280" s="509"/>
      <c r="T280" s="509"/>
      <c r="U280" s="509"/>
      <c r="V280" s="509"/>
      <c r="W280" s="509"/>
      <c r="X280" s="509"/>
      <c r="Y280" s="509"/>
      <c r="Z280" s="509"/>
      <c r="AA280" s="509"/>
      <c r="AB280" s="509"/>
      <c r="AC280" s="509"/>
      <c r="AD280" s="509"/>
    </row>
    <row r="281" spans="3:30">
      <c r="C281" s="509"/>
      <c r="D281" s="509"/>
      <c r="E281" s="509"/>
      <c r="F281" s="509"/>
      <c r="G281" s="509"/>
      <c r="H281" s="509"/>
      <c r="I281" s="509"/>
      <c r="J281" s="509"/>
      <c r="K281" s="509"/>
      <c r="L281" s="509"/>
      <c r="M281" s="509"/>
      <c r="N281" s="509"/>
      <c r="O281" s="509"/>
      <c r="P281" s="509"/>
      <c r="Q281" s="509"/>
      <c r="R281" s="509"/>
      <c r="S281" s="509"/>
      <c r="T281" s="509"/>
      <c r="U281" s="509"/>
      <c r="V281" s="509"/>
      <c r="W281" s="509"/>
      <c r="X281" s="509"/>
      <c r="Y281" s="509"/>
      <c r="Z281" s="509"/>
      <c r="AA281" s="509"/>
      <c r="AB281" s="509"/>
      <c r="AC281" s="509"/>
      <c r="AD281" s="509"/>
    </row>
    <row r="282" spans="3:30">
      <c r="C282" s="509"/>
      <c r="D282" s="509"/>
      <c r="E282" s="509"/>
      <c r="F282" s="509"/>
      <c r="G282" s="509"/>
      <c r="H282" s="509"/>
      <c r="I282" s="509"/>
      <c r="J282" s="509"/>
      <c r="K282" s="509"/>
      <c r="L282" s="509"/>
      <c r="M282" s="509"/>
      <c r="N282" s="509"/>
      <c r="O282" s="509"/>
      <c r="P282" s="509"/>
      <c r="Q282" s="509"/>
      <c r="R282" s="509"/>
      <c r="S282" s="509"/>
      <c r="T282" s="509"/>
      <c r="U282" s="509"/>
      <c r="V282" s="509"/>
      <c r="W282" s="509"/>
      <c r="X282" s="509"/>
      <c r="Y282" s="509"/>
      <c r="Z282" s="509"/>
      <c r="AA282" s="509"/>
      <c r="AB282" s="509"/>
      <c r="AC282" s="509"/>
      <c r="AD282" s="509"/>
    </row>
    <row r="283" spans="3:30">
      <c r="C283" s="509"/>
      <c r="D283" s="509"/>
      <c r="E283" s="509"/>
      <c r="F283" s="509"/>
      <c r="G283" s="509"/>
      <c r="H283" s="509"/>
      <c r="I283" s="509"/>
      <c r="J283" s="509"/>
      <c r="K283" s="509"/>
      <c r="L283" s="509"/>
      <c r="M283" s="509"/>
      <c r="N283" s="509"/>
      <c r="O283" s="509"/>
      <c r="P283" s="509"/>
      <c r="Q283" s="509"/>
      <c r="R283" s="509"/>
      <c r="S283" s="509"/>
      <c r="T283" s="509"/>
      <c r="U283" s="509"/>
      <c r="V283" s="509"/>
      <c r="W283" s="509"/>
      <c r="X283" s="509"/>
      <c r="Y283" s="509"/>
      <c r="Z283" s="509"/>
      <c r="AA283" s="509"/>
      <c r="AB283" s="509"/>
      <c r="AC283" s="509"/>
      <c r="AD283" s="509"/>
    </row>
    <row r="284" spans="3:30">
      <c r="C284" s="509"/>
      <c r="D284" s="509"/>
      <c r="E284" s="509"/>
      <c r="F284" s="509"/>
      <c r="G284" s="509"/>
      <c r="H284" s="509"/>
      <c r="I284" s="509"/>
      <c r="J284" s="509"/>
      <c r="K284" s="509"/>
      <c r="L284" s="509"/>
      <c r="M284" s="509"/>
      <c r="N284" s="509"/>
      <c r="O284" s="509"/>
      <c r="P284" s="509"/>
      <c r="Q284" s="509"/>
      <c r="R284" s="509"/>
      <c r="S284" s="509"/>
      <c r="T284" s="509"/>
      <c r="U284" s="509"/>
      <c r="V284" s="509"/>
      <c r="W284" s="509"/>
      <c r="X284" s="509"/>
      <c r="Y284" s="509"/>
      <c r="Z284" s="509"/>
      <c r="AA284" s="509"/>
      <c r="AB284" s="509"/>
      <c r="AC284" s="509"/>
      <c r="AD284" s="509"/>
    </row>
    <row r="285" spans="3:30">
      <c r="C285" s="509"/>
      <c r="D285" s="509"/>
      <c r="E285" s="509"/>
      <c r="F285" s="509"/>
      <c r="G285" s="509"/>
      <c r="H285" s="509"/>
      <c r="I285" s="509"/>
      <c r="J285" s="509"/>
      <c r="K285" s="509"/>
      <c r="L285" s="509"/>
      <c r="M285" s="509"/>
      <c r="N285" s="509"/>
      <c r="O285" s="509"/>
      <c r="P285" s="509"/>
      <c r="Q285" s="509"/>
      <c r="R285" s="509"/>
      <c r="S285" s="509"/>
      <c r="T285" s="509"/>
      <c r="U285" s="509"/>
      <c r="V285" s="509"/>
      <c r="W285" s="509"/>
      <c r="X285" s="509"/>
      <c r="Y285" s="509"/>
      <c r="Z285" s="509"/>
      <c r="AA285" s="509"/>
      <c r="AB285" s="509"/>
      <c r="AC285" s="509"/>
      <c r="AD285" s="509"/>
    </row>
    <row r="286" spans="3:30">
      <c r="C286" s="509"/>
      <c r="D286" s="509"/>
      <c r="E286" s="509"/>
      <c r="F286" s="509"/>
      <c r="G286" s="509"/>
      <c r="H286" s="509"/>
      <c r="I286" s="509"/>
      <c r="J286" s="509"/>
      <c r="K286" s="509"/>
      <c r="L286" s="509"/>
      <c r="M286" s="509"/>
      <c r="N286" s="509"/>
      <c r="O286" s="509"/>
      <c r="P286" s="509"/>
      <c r="Q286" s="509"/>
      <c r="R286" s="509"/>
      <c r="S286" s="509"/>
      <c r="T286" s="509"/>
      <c r="U286" s="509"/>
      <c r="V286" s="509"/>
      <c r="W286" s="509"/>
      <c r="X286" s="509"/>
      <c r="Y286" s="509"/>
      <c r="Z286" s="509"/>
      <c r="AA286" s="509"/>
      <c r="AB286" s="509"/>
      <c r="AC286" s="509"/>
      <c r="AD286" s="509"/>
    </row>
    <row r="287" spans="3:30">
      <c r="C287" s="509"/>
      <c r="D287" s="509"/>
      <c r="E287" s="509"/>
      <c r="F287" s="509"/>
      <c r="G287" s="509"/>
      <c r="H287" s="509"/>
      <c r="I287" s="509"/>
      <c r="J287" s="509"/>
      <c r="K287" s="509"/>
      <c r="L287" s="509"/>
      <c r="M287" s="509"/>
      <c r="N287" s="509"/>
      <c r="O287" s="509"/>
      <c r="P287" s="509"/>
      <c r="Q287" s="509"/>
      <c r="R287" s="509"/>
      <c r="S287" s="509"/>
      <c r="T287" s="509"/>
      <c r="U287" s="509"/>
      <c r="V287" s="509"/>
      <c r="W287" s="509"/>
      <c r="X287" s="509"/>
      <c r="Y287" s="509"/>
      <c r="Z287" s="509"/>
      <c r="AA287" s="509"/>
      <c r="AB287" s="509"/>
      <c r="AC287" s="509"/>
      <c r="AD287" s="509"/>
    </row>
    <row r="288" spans="3:30">
      <c r="C288" s="509"/>
      <c r="D288" s="509"/>
      <c r="E288" s="509"/>
      <c r="F288" s="509"/>
      <c r="G288" s="509"/>
      <c r="H288" s="509"/>
      <c r="I288" s="509"/>
      <c r="J288" s="509"/>
      <c r="K288" s="509"/>
      <c r="L288" s="509"/>
      <c r="M288" s="509"/>
      <c r="N288" s="509"/>
      <c r="O288" s="509"/>
      <c r="P288" s="509"/>
      <c r="Q288" s="509"/>
      <c r="R288" s="509"/>
      <c r="S288" s="509"/>
      <c r="T288" s="509"/>
      <c r="U288" s="509"/>
      <c r="V288" s="509"/>
      <c r="W288" s="509"/>
      <c r="X288" s="509"/>
      <c r="Y288" s="509"/>
      <c r="Z288" s="509"/>
      <c r="AA288" s="509"/>
      <c r="AB288" s="509"/>
      <c r="AC288" s="509"/>
      <c r="AD288" s="509"/>
    </row>
    <row r="289" spans="3:30">
      <c r="C289" s="509"/>
      <c r="D289" s="509"/>
      <c r="E289" s="509"/>
      <c r="F289" s="509"/>
      <c r="G289" s="509"/>
      <c r="H289" s="509"/>
      <c r="I289" s="509"/>
      <c r="J289" s="509"/>
      <c r="K289" s="509"/>
      <c r="L289" s="509"/>
      <c r="M289" s="509"/>
      <c r="N289" s="509"/>
      <c r="O289" s="509"/>
      <c r="P289" s="509"/>
      <c r="Q289" s="509"/>
      <c r="R289" s="509"/>
      <c r="S289" s="509"/>
      <c r="T289" s="509"/>
      <c r="U289" s="509"/>
      <c r="V289" s="509"/>
      <c r="W289" s="509"/>
      <c r="X289" s="509"/>
      <c r="Y289" s="509"/>
      <c r="Z289" s="509"/>
      <c r="AA289" s="509"/>
      <c r="AB289" s="509"/>
      <c r="AC289" s="509"/>
      <c r="AD289" s="509"/>
    </row>
    <row r="290" spans="3:30">
      <c r="C290" s="509"/>
      <c r="D290" s="509"/>
      <c r="E290" s="509"/>
      <c r="F290" s="509"/>
      <c r="G290" s="509"/>
      <c r="H290" s="509"/>
      <c r="I290" s="509"/>
      <c r="J290" s="509"/>
      <c r="K290" s="509"/>
      <c r="L290" s="509"/>
      <c r="M290" s="509"/>
      <c r="N290" s="509"/>
      <c r="O290" s="509"/>
      <c r="P290" s="509"/>
      <c r="Q290" s="509"/>
      <c r="R290" s="509"/>
      <c r="S290" s="509"/>
      <c r="T290" s="509"/>
      <c r="U290" s="509"/>
      <c r="V290" s="509"/>
      <c r="W290" s="509"/>
      <c r="X290" s="509"/>
      <c r="Y290" s="509"/>
      <c r="Z290" s="509"/>
      <c r="AA290" s="509"/>
      <c r="AB290" s="509"/>
      <c r="AC290" s="509"/>
      <c r="AD290" s="509"/>
    </row>
    <row r="291" spans="3:30">
      <c r="C291" s="509"/>
      <c r="D291" s="509"/>
      <c r="E291" s="509"/>
      <c r="F291" s="509"/>
      <c r="G291" s="509"/>
      <c r="H291" s="509"/>
      <c r="I291" s="509"/>
      <c r="J291" s="509"/>
      <c r="K291" s="509"/>
      <c r="L291" s="509"/>
      <c r="M291" s="509"/>
      <c r="N291" s="509"/>
      <c r="O291" s="509"/>
      <c r="P291" s="509"/>
      <c r="Q291" s="509"/>
      <c r="R291" s="509"/>
      <c r="S291" s="509"/>
      <c r="T291" s="509"/>
      <c r="U291" s="509"/>
      <c r="V291" s="509"/>
      <c r="W291" s="509"/>
      <c r="X291" s="509"/>
      <c r="Y291" s="509"/>
      <c r="Z291" s="509"/>
      <c r="AA291" s="509"/>
      <c r="AB291" s="509"/>
      <c r="AC291" s="509"/>
      <c r="AD291" s="509"/>
    </row>
    <row r="292" spans="3:30">
      <c r="C292" s="509"/>
      <c r="D292" s="509"/>
      <c r="E292" s="509"/>
      <c r="F292" s="509"/>
      <c r="G292" s="509"/>
      <c r="H292" s="509"/>
      <c r="I292" s="509"/>
      <c r="J292" s="509"/>
      <c r="K292" s="509"/>
      <c r="L292" s="509"/>
      <c r="M292" s="509"/>
      <c r="N292" s="509"/>
      <c r="O292" s="509"/>
      <c r="P292" s="509"/>
      <c r="Q292" s="509"/>
      <c r="R292" s="509"/>
      <c r="S292" s="509"/>
      <c r="T292" s="509"/>
      <c r="U292" s="509"/>
      <c r="V292" s="509"/>
      <c r="W292" s="509"/>
      <c r="X292" s="509"/>
      <c r="Y292" s="509"/>
      <c r="Z292" s="509"/>
      <c r="AA292" s="509"/>
      <c r="AB292" s="509"/>
      <c r="AC292" s="509"/>
      <c r="AD292" s="509"/>
    </row>
    <row r="293" spans="3:30">
      <c r="C293" s="509"/>
      <c r="D293" s="509"/>
      <c r="E293" s="509"/>
      <c r="F293" s="509"/>
      <c r="G293" s="509"/>
      <c r="H293" s="509"/>
      <c r="I293" s="509"/>
      <c r="J293" s="509"/>
      <c r="K293" s="509"/>
      <c r="L293" s="509"/>
      <c r="M293" s="509"/>
      <c r="N293" s="509"/>
      <c r="O293" s="509"/>
      <c r="P293" s="509"/>
      <c r="Q293" s="509"/>
      <c r="R293" s="509"/>
      <c r="S293" s="509"/>
      <c r="T293" s="509"/>
      <c r="U293" s="509"/>
      <c r="V293" s="509"/>
      <c r="W293" s="509"/>
      <c r="X293" s="509"/>
      <c r="Y293" s="509"/>
      <c r="Z293" s="509"/>
      <c r="AA293" s="509"/>
      <c r="AB293" s="509"/>
      <c r="AC293" s="509"/>
      <c r="AD293" s="509"/>
    </row>
    <row r="294" spans="3:30">
      <c r="C294" s="509"/>
      <c r="D294" s="509"/>
      <c r="E294" s="509"/>
      <c r="F294" s="509"/>
      <c r="G294" s="509"/>
      <c r="H294" s="509"/>
      <c r="I294" s="509"/>
      <c r="J294" s="509"/>
      <c r="K294" s="509"/>
      <c r="L294" s="509"/>
      <c r="M294" s="509"/>
      <c r="N294" s="509"/>
      <c r="O294" s="509"/>
      <c r="P294" s="509"/>
      <c r="Q294" s="509"/>
      <c r="R294" s="509"/>
      <c r="S294" s="509"/>
      <c r="T294" s="509"/>
      <c r="U294" s="509"/>
      <c r="V294" s="509"/>
      <c r="W294" s="509"/>
      <c r="X294" s="509"/>
      <c r="Y294" s="509"/>
      <c r="Z294" s="509"/>
      <c r="AA294" s="509"/>
      <c r="AB294" s="509"/>
      <c r="AC294" s="509"/>
      <c r="AD294" s="509"/>
    </row>
    <row r="295" spans="3:30">
      <c r="C295" s="509"/>
      <c r="D295" s="509"/>
      <c r="E295" s="509"/>
      <c r="F295" s="509"/>
      <c r="G295" s="509"/>
      <c r="H295" s="509"/>
      <c r="I295" s="509"/>
      <c r="J295" s="509"/>
      <c r="K295" s="509"/>
      <c r="L295" s="509"/>
      <c r="M295" s="509"/>
      <c r="N295" s="509"/>
      <c r="O295" s="509"/>
      <c r="P295" s="509"/>
      <c r="Q295" s="509"/>
      <c r="R295" s="509"/>
      <c r="S295" s="509"/>
      <c r="T295" s="509"/>
      <c r="U295" s="509"/>
      <c r="V295" s="509"/>
      <c r="W295" s="509"/>
      <c r="X295" s="509"/>
      <c r="Y295" s="509"/>
      <c r="Z295" s="509"/>
      <c r="AA295" s="509"/>
      <c r="AB295" s="509"/>
      <c r="AC295" s="509"/>
      <c r="AD295" s="509"/>
    </row>
    <row r="296" spans="3:30">
      <c r="C296" s="509"/>
      <c r="D296" s="509"/>
      <c r="E296" s="509"/>
      <c r="F296" s="509"/>
      <c r="G296" s="509"/>
      <c r="H296" s="509"/>
      <c r="I296" s="509"/>
      <c r="J296" s="509"/>
      <c r="K296" s="509"/>
      <c r="L296" s="509"/>
      <c r="M296" s="509"/>
      <c r="N296" s="509"/>
      <c r="O296" s="509"/>
      <c r="P296" s="509"/>
      <c r="Q296" s="509"/>
      <c r="R296" s="509"/>
      <c r="S296" s="509"/>
      <c r="T296" s="509"/>
      <c r="U296" s="509"/>
      <c r="V296" s="509"/>
      <c r="W296" s="509"/>
      <c r="X296" s="509"/>
      <c r="Y296" s="509"/>
      <c r="Z296" s="509"/>
      <c r="AA296" s="509"/>
      <c r="AB296" s="509"/>
      <c r="AC296" s="509"/>
      <c r="AD296" s="509"/>
    </row>
    <row r="297" spans="3:30">
      <c r="C297" s="509"/>
      <c r="D297" s="509"/>
      <c r="E297" s="509"/>
      <c r="F297" s="509"/>
      <c r="G297" s="509"/>
      <c r="H297" s="509"/>
      <c r="I297" s="509"/>
      <c r="J297" s="509"/>
      <c r="K297" s="509"/>
      <c r="L297" s="509"/>
      <c r="M297" s="509"/>
      <c r="N297" s="509"/>
      <c r="O297" s="509"/>
      <c r="P297" s="509"/>
      <c r="Q297" s="509"/>
      <c r="R297" s="509"/>
      <c r="S297" s="509"/>
      <c r="T297" s="509"/>
      <c r="U297" s="509"/>
      <c r="V297" s="509"/>
      <c r="W297" s="509"/>
      <c r="X297" s="509"/>
      <c r="Y297" s="509"/>
      <c r="Z297" s="509"/>
      <c r="AA297" s="509"/>
      <c r="AB297" s="509"/>
      <c r="AC297" s="509"/>
      <c r="AD297" s="509"/>
    </row>
    <row r="298" spans="3:30">
      <c r="C298" s="509"/>
      <c r="D298" s="509"/>
      <c r="E298" s="509"/>
      <c r="F298" s="509"/>
      <c r="G298" s="509"/>
      <c r="H298" s="509"/>
      <c r="I298" s="509"/>
      <c r="J298" s="509"/>
      <c r="K298" s="509"/>
      <c r="L298" s="509"/>
      <c r="M298" s="509"/>
      <c r="N298" s="509"/>
      <c r="O298" s="509"/>
      <c r="P298" s="509"/>
      <c r="Q298" s="509"/>
      <c r="R298" s="509"/>
      <c r="S298" s="509"/>
      <c r="T298" s="509"/>
      <c r="U298" s="509"/>
      <c r="V298" s="509"/>
      <c r="W298" s="509"/>
      <c r="X298" s="509"/>
      <c r="Y298" s="509"/>
      <c r="Z298" s="509"/>
      <c r="AA298" s="509"/>
      <c r="AB298" s="509"/>
      <c r="AC298" s="509"/>
      <c r="AD298" s="509"/>
    </row>
    <row r="299" spans="3:30">
      <c r="C299" s="509"/>
      <c r="D299" s="509"/>
      <c r="E299" s="509"/>
      <c r="F299" s="509"/>
      <c r="G299" s="509"/>
      <c r="H299" s="509"/>
      <c r="I299" s="509"/>
      <c r="J299" s="509"/>
      <c r="K299" s="509"/>
      <c r="L299" s="509"/>
      <c r="M299" s="509"/>
      <c r="N299" s="509"/>
      <c r="O299" s="509"/>
      <c r="P299" s="509"/>
      <c r="Q299" s="509"/>
      <c r="R299" s="509"/>
      <c r="S299" s="509"/>
      <c r="T299" s="509"/>
      <c r="U299" s="509"/>
      <c r="V299" s="509"/>
      <c r="W299" s="509"/>
      <c r="X299" s="509"/>
      <c r="Y299" s="509"/>
      <c r="Z299" s="509"/>
      <c r="AA299" s="509"/>
      <c r="AB299" s="509"/>
      <c r="AC299" s="509"/>
      <c r="AD299" s="509"/>
    </row>
    <row r="300" spans="3:30">
      <c r="C300" s="509"/>
      <c r="D300" s="509"/>
      <c r="E300" s="509"/>
      <c r="F300" s="509"/>
      <c r="G300" s="509"/>
      <c r="H300" s="509"/>
      <c r="I300" s="509"/>
      <c r="J300" s="509"/>
      <c r="K300" s="509"/>
      <c r="L300" s="509"/>
      <c r="M300" s="509"/>
      <c r="N300" s="509"/>
      <c r="O300" s="509"/>
      <c r="P300" s="509"/>
      <c r="Q300" s="509"/>
      <c r="R300" s="509"/>
      <c r="S300" s="509"/>
      <c r="T300" s="509"/>
      <c r="U300" s="509"/>
      <c r="V300" s="509"/>
      <c r="W300" s="509"/>
      <c r="X300" s="509"/>
      <c r="Y300" s="509"/>
      <c r="Z300" s="509"/>
      <c r="AA300" s="509"/>
      <c r="AB300" s="509"/>
      <c r="AC300" s="509"/>
      <c r="AD300" s="509"/>
    </row>
    <row r="301" spans="3:30">
      <c r="C301" s="509"/>
      <c r="D301" s="509"/>
      <c r="E301" s="509"/>
      <c r="F301" s="509"/>
      <c r="G301" s="509"/>
      <c r="H301" s="509"/>
      <c r="I301" s="509"/>
      <c r="J301" s="509"/>
      <c r="K301" s="509"/>
      <c r="L301" s="509"/>
      <c r="M301" s="509"/>
      <c r="N301" s="509"/>
      <c r="O301" s="509"/>
      <c r="P301" s="509"/>
      <c r="Q301" s="509"/>
      <c r="R301" s="509"/>
      <c r="S301" s="509"/>
      <c r="T301" s="509"/>
      <c r="U301" s="509"/>
      <c r="V301" s="509"/>
      <c r="W301" s="509"/>
      <c r="X301" s="509"/>
      <c r="Y301" s="509"/>
      <c r="Z301" s="509"/>
      <c r="AA301" s="509"/>
      <c r="AB301" s="509"/>
      <c r="AC301" s="509"/>
      <c r="AD301" s="509"/>
    </row>
    <row r="302" spans="3:30">
      <c r="C302" s="509"/>
      <c r="D302" s="509"/>
      <c r="E302" s="509"/>
      <c r="F302" s="509"/>
      <c r="G302" s="509"/>
      <c r="H302" s="509"/>
      <c r="I302" s="509"/>
      <c r="J302" s="509"/>
      <c r="K302" s="509"/>
      <c r="L302" s="509"/>
      <c r="M302" s="509"/>
      <c r="N302" s="509"/>
      <c r="O302" s="509"/>
      <c r="P302" s="509"/>
      <c r="Q302" s="509"/>
      <c r="R302" s="509"/>
      <c r="S302" s="509"/>
      <c r="T302" s="509"/>
      <c r="U302" s="509"/>
      <c r="V302" s="509"/>
      <c r="W302" s="509"/>
      <c r="X302" s="509"/>
      <c r="Y302" s="509"/>
      <c r="Z302" s="509"/>
      <c r="AA302" s="509"/>
      <c r="AB302" s="509"/>
      <c r="AC302" s="509"/>
      <c r="AD302" s="509"/>
    </row>
    <row r="303" spans="3:30">
      <c r="C303" s="509"/>
      <c r="D303" s="509"/>
      <c r="E303" s="509"/>
      <c r="F303" s="509"/>
      <c r="G303" s="509"/>
      <c r="H303" s="509"/>
      <c r="I303" s="509"/>
      <c r="J303" s="509"/>
      <c r="K303" s="509"/>
      <c r="L303" s="509"/>
      <c r="M303" s="509"/>
      <c r="N303" s="509"/>
      <c r="O303" s="509"/>
      <c r="P303" s="509"/>
      <c r="Q303" s="509"/>
      <c r="R303" s="509"/>
      <c r="S303" s="509"/>
      <c r="T303" s="509"/>
      <c r="U303" s="509"/>
      <c r="V303" s="509"/>
      <c r="W303" s="509"/>
      <c r="X303" s="509"/>
      <c r="Y303" s="509"/>
      <c r="Z303" s="509"/>
      <c r="AA303" s="509"/>
      <c r="AB303" s="509"/>
      <c r="AC303" s="509"/>
      <c r="AD303" s="509"/>
    </row>
    <row r="304" spans="3:30">
      <c r="C304" s="509"/>
      <c r="D304" s="509"/>
      <c r="E304" s="509"/>
      <c r="F304" s="509"/>
      <c r="G304" s="509"/>
      <c r="H304" s="509"/>
      <c r="I304" s="509"/>
      <c r="J304" s="509"/>
      <c r="K304" s="509"/>
      <c r="L304" s="509"/>
      <c r="M304" s="509"/>
      <c r="N304" s="509"/>
      <c r="O304" s="509"/>
      <c r="P304" s="509"/>
      <c r="Q304" s="509"/>
      <c r="R304" s="509"/>
      <c r="S304" s="509"/>
      <c r="T304" s="509"/>
      <c r="U304" s="509"/>
      <c r="V304" s="509"/>
      <c r="W304" s="509"/>
      <c r="X304" s="509"/>
      <c r="Y304" s="509"/>
      <c r="Z304" s="509"/>
      <c r="AA304" s="509"/>
      <c r="AB304" s="509"/>
      <c r="AC304" s="509"/>
      <c r="AD304" s="509"/>
    </row>
    <row r="305" spans="3:30">
      <c r="C305" s="509"/>
      <c r="D305" s="509"/>
      <c r="E305" s="509"/>
      <c r="F305" s="509"/>
      <c r="G305" s="509"/>
      <c r="H305" s="509"/>
      <c r="I305" s="509"/>
      <c r="J305" s="509"/>
      <c r="K305" s="509"/>
      <c r="L305" s="509"/>
      <c r="M305" s="509"/>
      <c r="N305" s="509"/>
      <c r="O305" s="509"/>
      <c r="P305" s="509"/>
      <c r="Q305" s="509"/>
      <c r="R305" s="509"/>
      <c r="S305" s="509"/>
      <c r="T305" s="509"/>
      <c r="U305" s="509"/>
      <c r="V305" s="509"/>
      <c r="W305" s="509"/>
      <c r="X305" s="509"/>
      <c r="Y305" s="509"/>
      <c r="Z305" s="509"/>
      <c r="AA305" s="509"/>
      <c r="AB305" s="509"/>
      <c r="AC305" s="509"/>
      <c r="AD305" s="509"/>
    </row>
    <row r="306" spans="3:30">
      <c r="C306" s="509"/>
      <c r="D306" s="509"/>
      <c r="E306" s="509"/>
      <c r="F306" s="509"/>
      <c r="G306" s="509"/>
      <c r="H306" s="509"/>
      <c r="I306" s="509"/>
      <c r="J306" s="509"/>
      <c r="K306" s="509"/>
      <c r="L306" s="509"/>
      <c r="M306" s="509"/>
      <c r="N306" s="509"/>
      <c r="O306" s="509"/>
      <c r="P306" s="509"/>
      <c r="Q306" s="509"/>
      <c r="R306" s="509"/>
      <c r="S306" s="509"/>
      <c r="T306" s="509"/>
      <c r="U306" s="509"/>
      <c r="V306" s="509"/>
      <c r="W306" s="509"/>
      <c r="X306" s="509"/>
      <c r="Y306" s="509"/>
      <c r="Z306" s="509"/>
      <c r="AA306" s="509"/>
      <c r="AB306" s="509"/>
      <c r="AC306" s="509"/>
      <c r="AD306" s="509"/>
    </row>
    <row r="307" spans="3:30">
      <c r="C307" s="509"/>
      <c r="D307" s="509"/>
      <c r="E307" s="509"/>
      <c r="F307" s="509"/>
      <c r="G307" s="509"/>
      <c r="H307" s="509"/>
      <c r="I307" s="509"/>
      <c r="J307" s="509"/>
      <c r="K307" s="509"/>
      <c r="L307" s="509"/>
      <c r="M307" s="509"/>
      <c r="N307" s="509"/>
      <c r="O307" s="509"/>
      <c r="P307" s="509"/>
      <c r="Q307" s="509"/>
      <c r="R307" s="509"/>
      <c r="S307" s="509"/>
      <c r="T307" s="509"/>
      <c r="U307" s="509"/>
      <c r="V307" s="509"/>
      <c r="W307" s="509"/>
      <c r="X307" s="509"/>
      <c r="Y307" s="509"/>
      <c r="Z307" s="509"/>
      <c r="AA307" s="509"/>
      <c r="AB307" s="509"/>
      <c r="AC307" s="509"/>
      <c r="AD307" s="509"/>
    </row>
    <row r="308" spans="3:30">
      <c r="C308" s="509"/>
      <c r="D308" s="509"/>
      <c r="E308" s="509"/>
      <c r="F308" s="509"/>
      <c r="G308" s="509"/>
      <c r="H308" s="509"/>
      <c r="I308" s="509"/>
      <c r="J308" s="509"/>
      <c r="K308" s="509"/>
      <c r="L308" s="509"/>
      <c r="M308" s="509"/>
      <c r="N308" s="509"/>
      <c r="O308" s="509"/>
      <c r="P308" s="509"/>
      <c r="Q308" s="509"/>
      <c r="R308" s="509"/>
      <c r="S308" s="509"/>
      <c r="T308" s="509"/>
      <c r="U308" s="509"/>
      <c r="V308" s="509"/>
      <c r="W308" s="509"/>
      <c r="X308" s="509"/>
      <c r="Y308" s="509"/>
      <c r="Z308" s="509"/>
      <c r="AA308" s="509"/>
      <c r="AB308" s="509"/>
      <c r="AC308" s="509"/>
      <c r="AD308" s="509"/>
    </row>
    <row r="309" spans="3:30">
      <c r="C309" s="509"/>
      <c r="D309" s="509"/>
      <c r="E309" s="509"/>
      <c r="F309" s="509"/>
      <c r="G309" s="509"/>
      <c r="H309" s="509"/>
      <c r="I309" s="509"/>
      <c r="J309" s="509"/>
      <c r="K309" s="509"/>
      <c r="L309" s="509"/>
      <c r="M309" s="509"/>
      <c r="N309" s="509"/>
      <c r="O309" s="509"/>
      <c r="P309" s="509"/>
      <c r="Q309" s="509"/>
      <c r="R309" s="509"/>
      <c r="S309" s="509"/>
      <c r="T309" s="509"/>
      <c r="U309" s="509"/>
      <c r="V309" s="509"/>
      <c r="W309" s="509"/>
      <c r="X309" s="509"/>
      <c r="Y309" s="509"/>
      <c r="Z309" s="509"/>
      <c r="AA309" s="509"/>
      <c r="AB309" s="509"/>
      <c r="AC309" s="509"/>
      <c r="AD309" s="509"/>
    </row>
    <row r="310" spans="3:30">
      <c r="C310" s="509"/>
      <c r="D310" s="509"/>
      <c r="E310" s="509"/>
      <c r="F310" s="509"/>
      <c r="G310" s="509"/>
      <c r="H310" s="509"/>
      <c r="I310" s="509"/>
      <c r="J310" s="509"/>
      <c r="K310" s="509"/>
      <c r="L310" s="509"/>
      <c r="M310" s="509"/>
      <c r="N310" s="509"/>
      <c r="O310" s="509"/>
      <c r="P310" s="509"/>
      <c r="Q310" s="509"/>
      <c r="R310" s="509"/>
      <c r="S310" s="509"/>
      <c r="T310" s="509"/>
      <c r="U310" s="509"/>
      <c r="V310" s="509"/>
      <c r="W310" s="509"/>
      <c r="X310" s="509"/>
      <c r="Y310" s="509"/>
      <c r="Z310" s="509"/>
      <c r="AA310" s="509"/>
      <c r="AB310" s="509"/>
      <c r="AC310" s="509"/>
      <c r="AD310" s="509"/>
    </row>
    <row r="311" spans="3:30">
      <c r="C311" s="509"/>
      <c r="D311" s="509"/>
      <c r="E311" s="509"/>
      <c r="F311" s="509"/>
      <c r="G311" s="509"/>
      <c r="H311" s="509"/>
      <c r="I311" s="509"/>
      <c r="J311" s="509"/>
      <c r="K311" s="509"/>
      <c r="L311" s="509"/>
      <c r="M311" s="509"/>
      <c r="N311" s="509"/>
      <c r="O311" s="509"/>
      <c r="P311" s="509"/>
      <c r="Q311" s="509"/>
      <c r="R311" s="509"/>
      <c r="S311" s="509"/>
      <c r="T311" s="509"/>
      <c r="U311" s="509"/>
      <c r="V311" s="509"/>
      <c r="W311" s="509"/>
      <c r="X311" s="509"/>
      <c r="Y311" s="509"/>
      <c r="Z311" s="509"/>
      <c r="AA311" s="509"/>
      <c r="AB311" s="509"/>
      <c r="AC311" s="509"/>
      <c r="AD311" s="509"/>
    </row>
    <row r="312" spans="3:30">
      <c r="C312" s="509"/>
      <c r="D312" s="509"/>
      <c r="E312" s="509"/>
      <c r="F312" s="509"/>
      <c r="G312" s="509"/>
      <c r="H312" s="509"/>
      <c r="I312" s="509"/>
      <c r="J312" s="509"/>
      <c r="K312" s="509"/>
      <c r="L312" s="509"/>
      <c r="M312" s="509"/>
      <c r="N312" s="509"/>
      <c r="O312" s="509"/>
      <c r="P312" s="509"/>
      <c r="Q312" s="509"/>
      <c r="R312" s="509"/>
      <c r="S312" s="509"/>
      <c r="T312" s="509"/>
      <c r="U312" s="509"/>
      <c r="V312" s="509"/>
      <c r="W312" s="509"/>
      <c r="X312" s="509"/>
      <c r="Y312" s="509"/>
      <c r="Z312" s="509"/>
      <c r="AA312" s="509"/>
      <c r="AB312" s="509"/>
      <c r="AC312" s="509"/>
      <c r="AD312" s="509"/>
    </row>
    <row r="313" spans="3:30">
      <c r="C313" s="509"/>
      <c r="D313" s="509"/>
      <c r="E313" s="509"/>
      <c r="F313" s="509"/>
      <c r="G313" s="509"/>
      <c r="H313" s="509"/>
      <c r="I313" s="509"/>
      <c r="J313" s="509"/>
      <c r="K313" s="509"/>
      <c r="L313" s="509"/>
      <c r="M313" s="509"/>
      <c r="N313" s="509"/>
      <c r="O313" s="509"/>
      <c r="P313" s="509"/>
      <c r="Q313" s="509"/>
      <c r="R313" s="509"/>
      <c r="S313" s="509"/>
      <c r="T313" s="509"/>
      <c r="U313" s="509"/>
      <c r="V313" s="509"/>
      <c r="W313" s="509"/>
      <c r="X313" s="509"/>
      <c r="Y313" s="509"/>
      <c r="Z313" s="509"/>
      <c r="AA313" s="509"/>
      <c r="AB313" s="509"/>
      <c r="AC313" s="509"/>
      <c r="AD313" s="509"/>
    </row>
    <row r="314" spans="3:30">
      <c r="C314" s="509"/>
      <c r="D314" s="509"/>
      <c r="E314" s="509"/>
      <c r="F314" s="509"/>
      <c r="G314" s="509"/>
      <c r="H314" s="509"/>
      <c r="I314" s="509"/>
      <c r="J314" s="509"/>
      <c r="K314" s="509"/>
      <c r="L314" s="509"/>
      <c r="M314" s="509"/>
      <c r="N314" s="509"/>
      <c r="O314" s="509"/>
      <c r="P314" s="509"/>
      <c r="Q314" s="509"/>
      <c r="R314" s="509"/>
      <c r="S314" s="509"/>
      <c r="T314" s="509"/>
      <c r="U314" s="509"/>
      <c r="V314" s="509"/>
      <c r="W314" s="509"/>
      <c r="X314" s="509"/>
      <c r="Y314" s="509"/>
      <c r="Z314" s="509"/>
      <c r="AA314" s="509"/>
      <c r="AB314" s="509"/>
      <c r="AC314" s="509"/>
      <c r="AD314" s="509"/>
    </row>
    <row r="315" spans="3:30">
      <c r="C315" s="509"/>
      <c r="D315" s="509"/>
      <c r="E315" s="509"/>
      <c r="F315" s="509"/>
      <c r="G315" s="509"/>
      <c r="H315" s="509"/>
      <c r="I315" s="509"/>
      <c r="J315" s="509"/>
      <c r="K315" s="509"/>
      <c r="L315" s="509"/>
      <c r="M315" s="509"/>
      <c r="N315" s="509"/>
      <c r="O315" s="509"/>
      <c r="P315" s="509"/>
      <c r="Q315" s="509"/>
      <c r="R315" s="509"/>
      <c r="S315" s="509"/>
      <c r="T315" s="509"/>
      <c r="U315" s="509"/>
      <c r="V315" s="509"/>
      <c r="W315" s="509"/>
      <c r="X315" s="509"/>
      <c r="Y315" s="509"/>
      <c r="Z315" s="509"/>
      <c r="AA315" s="509"/>
      <c r="AB315" s="509"/>
      <c r="AC315" s="509"/>
      <c r="AD315" s="509"/>
    </row>
    <row r="316" spans="3:30">
      <c r="C316" s="509"/>
      <c r="D316" s="509"/>
      <c r="E316" s="509"/>
      <c r="F316" s="509"/>
      <c r="G316" s="509"/>
      <c r="H316" s="509"/>
      <c r="I316" s="509"/>
      <c r="J316" s="509"/>
      <c r="K316" s="509"/>
      <c r="L316" s="509"/>
      <c r="M316" s="509"/>
      <c r="N316" s="509"/>
      <c r="O316" s="509"/>
      <c r="P316" s="509"/>
      <c r="Q316" s="509"/>
      <c r="R316" s="509"/>
      <c r="S316" s="509"/>
      <c r="T316" s="509"/>
      <c r="U316" s="509"/>
      <c r="V316" s="509"/>
      <c r="W316" s="509"/>
      <c r="X316" s="509"/>
      <c r="Y316" s="509"/>
      <c r="Z316" s="509"/>
      <c r="AA316" s="509"/>
      <c r="AB316" s="509"/>
      <c r="AC316" s="509"/>
      <c r="AD316" s="509"/>
    </row>
    <row r="317" spans="3:30">
      <c r="C317" s="509"/>
      <c r="D317" s="509"/>
      <c r="E317" s="509"/>
      <c r="F317" s="509"/>
      <c r="G317" s="509"/>
      <c r="H317" s="509"/>
      <c r="I317" s="509"/>
      <c r="J317" s="509"/>
      <c r="K317" s="509"/>
      <c r="L317" s="509"/>
      <c r="M317" s="509"/>
      <c r="N317" s="509"/>
      <c r="O317" s="509"/>
      <c r="P317" s="509"/>
      <c r="Q317" s="509"/>
      <c r="R317" s="509"/>
      <c r="S317" s="509"/>
      <c r="T317" s="509"/>
      <c r="U317" s="509"/>
      <c r="V317" s="509"/>
      <c r="W317" s="509"/>
      <c r="X317" s="509"/>
      <c r="Y317" s="509"/>
      <c r="Z317" s="509"/>
      <c r="AA317" s="509"/>
      <c r="AB317" s="509"/>
      <c r="AC317" s="509"/>
      <c r="AD317" s="509"/>
    </row>
    <row r="318" spans="3:30">
      <c r="C318" s="509"/>
      <c r="D318" s="509"/>
      <c r="E318" s="509"/>
      <c r="F318" s="509"/>
      <c r="G318" s="509"/>
      <c r="H318" s="509"/>
      <c r="I318" s="509"/>
      <c r="J318" s="509"/>
      <c r="K318" s="509"/>
      <c r="L318" s="509"/>
      <c r="M318" s="509"/>
      <c r="N318" s="509"/>
      <c r="O318" s="509"/>
      <c r="P318" s="509"/>
      <c r="Q318" s="509"/>
      <c r="R318" s="509"/>
      <c r="S318" s="509"/>
      <c r="T318" s="509"/>
      <c r="U318" s="509"/>
      <c r="V318" s="509"/>
      <c r="W318" s="509"/>
      <c r="X318" s="509"/>
      <c r="Y318" s="509"/>
      <c r="Z318" s="509"/>
      <c r="AA318" s="509"/>
      <c r="AB318" s="509"/>
      <c r="AC318" s="509"/>
      <c r="AD318" s="509"/>
    </row>
    <row r="319" spans="3:30">
      <c r="C319" s="509"/>
      <c r="D319" s="509"/>
      <c r="E319" s="509"/>
      <c r="F319" s="509"/>
      <c r="G319" s="509"/>
      <c r="H319" s="509"/>
      <c r="I319" s="509"/>
      <c r="J319" s="509"/>
      <c r="K319" s="509"/>
      <c r="L319" s="509"/>
      <c r="M319" s="509"/>
      <c r="N319" s="509"/>
      <c r="O319" s="509"/>
      <c r="P319" s="509"/>
      <c r="Q319" s="509"/>
      <c r="R319" s="509"/>
      <c r="S319" s="509"/>
      <c r="T319" s="509"/>
      <c r="U319" s="509"/>
      <c r="V319" s="509"/>
      <c r="W319" s="509"/>
      <c r="X319" s="509"/>
      <c r="Y319" s="509"/>
      <c r="Z319" s="509"/>
      <c r="AA319" s="509"/>
      <c r="AB319" s="509"/>
      <c r="AC319" s="509"/>
      <c r="AD319" s="509"/>
    </row>
    <row r="320" spans="3:30">
      <c r="C320" s="509"/>
      <c r="D320" s="509"/>
      <c r="E320" s="509"/>
      <c r="F320" s="509"/>
      <c r="G320" s="509"/>
      <c r="H320" s="509"/>
      <c r="I320" s="509"/>
      <c r="J320" s="509"/>
      <c r="K320" s="509"/>
      <c r="L320" s="509"/>
      <c r="M320" s="509"/>
      <c r="N320" s="509"/>
      <c r="O320" s="509"/>
      <c r="P320" s="509"/>
      <c r="Q320" s="509"/>
      <c r="R320" s="509"/>
      <c r="S320" s="509"/>
      <c r="T320" s="509"/>
      <c r="U320" s="509"/>
      <c r="V320" s="509"/>
      <c r="W320" s="509"/>
      <c r="X320" s="509"/>
      <c r="Y320" s="509"/>
      <c r="Z320" s="509"/>
      <c r="AA320" s="509"/>
      <c r="AB320" s="509"/>
      <c r="AC320" s="509"/>
      <c r="AD320" s="509"/>
    </row>
    <row r="321" spans="3:30">
      <c r="C321" s="509"/>
      <c r="D321" s="509"/>
      <c r="E321" s="509"/>
      <c r="F321" s="509"/>
      <c r="G321" s="509"/>
      <c r="H321" s="509"/>
      <c r="I321" s="509"/>
      <c r="J321" s="509"/>
      <c r="K321" s="509"/>
      <c r="L321" s="509"/>
      <c r="M321" s="509"/>
      <c r="N321" s="509"/>
      <c r="O321" s="509"/>
      <c r="P321" s="509"/>
      <c r="Q321" s="509"/>
      <c r="R321" s="509"/>
      <c r="S321" s="509"/>
      <c r="T321" s="509"/>
      <c r="U321" s="509"/>
      <c r="V321" s="509"/>
      <c r="W321" s="509"/>
      <c r="X321" s="509"/>
      <c r="Y321" s="509"/>
      <c r="Z321" s="509"/>
      <c r="AA321" s="509"/>
      <c r="AB321" s="509"/>
      <c r="AC321" s="509"/>
      <c r="AD321" s="509"/>
    </row>
    <row r="322" spans="3:30">
      <c r="C322" s="509"/>
      <c r="D322" s="509"/>
      <c r="E322" s="509"/>
      <c r="F322" s="509"/>
      <c r="G322" s="509"/>
      <c r="H322" s="509"/>
      <c r="I322" s="509"/>
      <c r="J322" s="509"/>
      <c r="K322" s="509"/>
      <c r="L322" s="509"/>
      <c r="M322" s="509"/>
      <c r="N322" s="509"/>
      <c r="O322" s="509"/>
      <c r="P322" s="509"/>
      <c r="Q322" s="509"/>
      <c r="R322" s="509"/>
      <c r="S322" s="509"/>
      <c r="T322" s="509"/>
      <c r="U322" s="509"/>
      <c r="V322" s="509"/>
      <c r="W322" s="509"/>
      <c r="X322" s="509"/>
      <c r="Y322" s="509"/>
      <c r="Z322" s="509"/>
      <c r="AA322" s="509"/>
      <c r="AB322" s="509"/>
      <c r="AC322" s="509"/>
      <c r="AD322" s="509"/>
    </row>
    <row r="323" spans="3:30">
      <c r="C323" s="509"/>
      <c r="D323" s="509"/>
      <c r="E323" s="509"/>
      <c r="F323" s="509"/>
      <c r="G323" s="509"/>
      <c r="H323" s="509"/>
      <c r="I323" s="509"/>
      <c r="J323" s="509"/>
      <c r="K323" s="509"/>
      <c r="L323" s="509"/>
      <c r="M323" s="509"/>
      <c r="N323" s="509"/>
      <c r="O323" s="509"/>
      <c r="P323" s="509"/>
      <c r="Q323" s="509"/>
      <c r="R323" s="509"/>
      <c r="S323" s="509"/>
      <c r="T323" s="509"/>
      <c r="U323" s="509"/>
      <c r="V323" s="509"/>
      <c r="W323" s="509"/>
      <c r="X323" s="509"/>
      <c r="Y323" s="509"/>
      <c r="Z323" s="509"/>
      <c r="AA323" s="509"/>
      <c r="AB323" s="509"/>
      <c r="AC323" s="509"/>
      <c r="AD323" s="509"/>
    </row>
    <row r="324" spans="3:30">
      <c r="C324" s="509"/>
      <c r="D324" s="509"/>
      <c r="E324" s="509"/>
      <c r="F324" s="509"/>
      <c r="G324" s="509"/>
      <c r="H324" s="509"/>
      <c r="I324" s="509"/>
      <c r="J324" s="509"/>
      <c r="K324" s="509"/>
      <c r="L324" s="509"/>
      <c r="M324" s="509"/>
      <c r="N324" s="509"/>
      <c r="O324" s="509"/>
      <c r="P324" s="509"/>
      <c r="Q324" s="509"/>
      <c r="R324" s="509"/>
      <c r="S324" s="509"/>
      <c r="T324" s="509"/>
      <c r="U324" s="509"/>
      <c r="V324" s="509"/>
      <c r="W324" s="509"/>
      <c r="X324" s="509"/>
      <c r="Y324" s="509"/>
      <c r="Z324" s="509"/>
      <c r="AA324" s="509"/>
      <c r="AB324" s="509"/>
      <c r="AC324" s="509"/>
      <c r="AD324" s="509"/>
    </row>
    <row r="325" spans="3:30">
      <c r="C325" s="509"/>
      <c r="D325" s="509"/>
      <c r="E325" s="509"/>
      <c r="F325" s="509"/>
      <c r="G325" s="509"/>
      <c r="H325" s="509"/>
      <c r="I325" s="509"/>
      <c r="J325" s="509"/>
      <c r="K325" s="509"/>
      <c r="L325" s="509"/>
      <c r="M325" s="509"/>
      <c r="N325" s="509"/>
      <c r="O325" s="509"/>
      <c r="P325" s="509"/>
      <c r="Q325" s="509"/>
      <c r="R325" s="509"/>
      <c r="S325" s="509"/>
      <c r="T325" s="509"/>
      <c r="U325" s="509"/>
      <c r="V325" s="509"/>
      <c r="W325" s="509"/>
      <c r="X325" s="509"/>
      <c r="Y325" s="509"/>
      <c r="Z325" s="509"/>
      <c r="AA325" s="509"/>
      <c r="AB325" s="509"/>
      <c r="AC325" s="509"/>
      <c r="AD325" s="509"/>
    </row>
    <row r="326" spans="3:30">
      <c r="C326" s="509"/>
      <c r="D326" s="509"/>
      <c r="E326" s="509"/>
      <c r="F326" s="509"/>
      <c r="G326" s="509"/>
      <c r="H326" s="509"/>
      <c r="I326" s="509"/>
      <c r="J326" s="509"/>
      <c r="K326" s="509"/>
      <c r="L326" s="509"/>
      <c r="M326" s="509"/>
      <c r="N326" s="509"/>
      <c r="O326" s="509"/>
      <c r="P326" s="509"/>
      <c r="Q326" s="509"/>
      <c r="R326" s="509"/>
      <c r="S326" s="509"/>
      <c r="T326" s="509"/>
      <c r="U326" s="509"/>
      <c r="V326" s="509"/>
      <c r="W326" s="509"/>
      <c r="X326" s="509"/>
      <c r="Y326" s="509"/>
      <c r="Z326" s="509"/>
      <c r="AA326" s="509"/>
      <c r="AB326" s="509"/>
      <c r="AC326" s="509"/>
      <c r="AD326" s="509"/>
    </row>
    <row r="327" spans="3:30">
      <c r="C327" s="509"/>
      <c r="D327" s="509"/>
      <c r="E327" s="509"/>
      <c r="F327" s="509"/>
      <c r="G327" s="509"/>
      <c r="H327" s="509"/>
      <c r="I327" s="509"/>
      <c r="J327" s="509"/>
      <c r="K327" s="509"/>
      <c r="L327" s="509"/>
      <c r="M327" s="509"/>
      <c r="N327" s="509"/>
      <c r="O327" s="509"/>
      <c r="P327" s="509"/>
      <c r="Q327" s="509"/>
      <c r="R327" s="509"/>
      <c r="S327" s="509"/>
      <c r="T327" s="509"/>
      <c r="U327" s="509"/>
      <c r="V327" s="509"/>
      <c r="W327" s="509"/>
      <c r="X327" s="509"/>
      <c r="Y327" s="509"/>
      <c r="Z327" s="509"/>
      <c r="AA327" s="509"/>
      <c r="AB327" s="509"/>
      <c r="AC327" s="509"/>
      <c r="AD327" s="509"/>
    </row>
    <row r="328" spans="3:30">
      <c r="C328" s="509"/>
      <c r="D328" s="509"/>
      <c r="E328" s="509"/>
      <c r="F328" s="509"/>
      <c r="G328" s="509"/>
      <c r="H328" s="509"/>
      <c r="I328" s="509"/>
      <c r="J328" s="509"/>
      <c r="K328" s="509"/>
      <c r="L328" s="509"/>
      <c r="M328" s="509"/>
      <c r="N328" s="509"/>
      <c r="O328" s="509"/>
      <c r="P328" s="509"/>
      <c r="Q328" s="509"/>
      <c r="R328" s="509"/>
      <c r="S328" s="509"/>
      <c r="T328" s="509"/>
      <c r="U328" s="509"/>
      <c r="V328" s="509"/>
      <c r="W328" s="509"/>
      <c r="X328" s="509"/>
      <c r="Y328" s="509"/>
      <c r="Z328" s="509"/>
      <c r="AA328" s="509"/>
      <c r="AB328" s="509"/>
      <c r="AC328" s="509"/>
      <c r="AD328" s="509"/>
    </row>
    <row r="329" spans="3:30">
      <c r="C329" s="509"/>
      <c r="D329" s="509"/>
      <c r="E329" s="509"/>
      <c r="F329" s="509"/>
      <c r="G329" s="509"/>
      <c r="H329" s="509"/>
      <c r="I329" s="509"/>
      <c r="J329" s="509"/>
      <c r="K329" s="509"/>
      <c r="L329" s="509"/>
      <c r="M329" s="509"/>
      <c r="N329" s="509"/>
      <c r="O329" s="509"/>
      <c r="P329" s="509"/>
      <c r="Q329" s="509"/>
      <c r="R329" s="509"/>
      <c r="S329" s="509"/>
      <c r="T329" s="509"/>
      <c r="U329" s="509"/>
      <c r="V329" s="509"/>
      <c r="W329" s="509"/>
      <c r="X329" s="509"/>
      <c r="Y329" s="509"/>
      <c r="Z329" s="509"/>
      <c r="AA329" s="509"/>
      <c r="AB329" s="509"/>
      <c r="AC329" s="509"/>
      <c r="AD329" s="509"/>
    </row>
    <row r="330" spans="3:30">
      <c r="C330" s="509"/>
      <c r="D330" s="509"/>
      <c r="E330" s="509"/>
      <c r="F330" s="509"/>
      <c r="G330" s="509"/>
      <c r="H330" s="509"/>
      <c r="I330" s="509"/>
      <c r="J330" s="509"/>
      <c r="K330" s="509"/>
      <c r="L330" s="509"/>
      <c r="M330" s="509"/>
      <c r="N330" s="509"/>
      <c r="O330" s="509"/>
      <c r="P330" s="509"/>
      <c r="Q330" s="509"/>
      <c r="R330" s="509"/>
      <c r="S330" s="509"/>
      <c r="T330" s="509"/>
      <c r="U330" s="509"/>
      <c r="V330" s="509"/>
      <c r="W330" s="509"/>
      <c r="X330" s="509"/>
      <c r="Y330" s="509"/>
      <c r="Z330" s="509"/>
      <c r="AA330" s="509"/>
      <c r="AB330" s="509"/>
      <c r="AC330" s="509"/>
      <c r="AD330" s="509"/>
    </row>
    <row r="331" spans="3:30">
      <c r="C331" s="509"/>
      <c r="D331" s="509"/>
      <c r="E331" s="509"/>
      <c r="F331" s="509"/>
      <c r="G331" s="509"/>
      <c r="H331" s="509"/>
      <c r="I331" s="509"/>
      <c r="J331" s="509"/>
      <c r="K331" s="509"/>
      <c r="L331" s="509"/>
      <c r="M331" s="509"/>
      <c r="N331" s="509"/>
      <c r="O331" s="509"/>
      <c r="P331" s="509"/>
      <c r="Q331" s="509"/>
      <c r="R331" s="509"/>
      <c r="S331" s="509"/>
      <c r="T331" s="509"/>
      <c r="U331" s="509"/>
      <c r="V331" s="509"/>
      <c r="W331" s="509"/>
      <c r="X331" s="509"/>
      <c r="Y331" s="509"/>
      <c r="Z331" s="509"/>
      <c r="AA331" s="509"/>
      <c r="AB331" s="509"/>
      <c r="AC331" s="509"/>
      <c r="AD331" s="509"/>
    </row>
    <row r="332" spans="3:30">
      <c r="C332" s="509"/>
      <c r="D332" s="509"/>
      <c r="E332" s="509"/>
      <c r="F332" s="509"/>
      <c r="G332" s="509"/>
      <c r="H332" s="509"/>
      <c r="I332" s="509"/>
      <c r="J332" s="509"/>
      <c r="K332" s="509"/>
      <c r="L332" s="509"/>
      <c r="M332" s="509"/>
      <c r="N332" s="509"/>
      <c r="O332" s="509"/>
      <c r="P332" s="509"/>
      <c r="Q332" s="509"/>
      <c r="R332" s="509"/>
      <c r="S332" s="509"/>
      <c r="T332" s="509"/>
      <c r="U332" s="509"/>
      <c r="V332" s="509"/>
      <c r="W332" s="509"/>
      <c r="X332" s="509"/>
      <c r="Y332" s="509"/>
      <c r="Z332" s="509"/>
      <c r="AA332" s="509"/>
      <c r="AB332" s="509"/>
      <c r="AC332" s="509"/>
      <c r="AD332" s="509"/>
    </row>
    <row r="333" spans="3:30">
      <c r="C333" s="509"/>
      <c r="D333" s="509"/>
      <c r="E333" s="509"/>
      <c r="F333" s="509"/>
      <c r="G333" s="509"/>
      <c r="H333" s="509"/>
      <c r="I333" s="509"/>
      <c r="J333" s="509"/>
      <c r="K333" s="509"/>
      <c r="L333" s="509"/>
      <c r="M333" s="509"/>
      <c r="N333" s="509"/>
      <c r="O333" s="509"/>
      <c r="P333" s="509"/>
      <c r="Q333" s="509"/>
      <c r="R333" s="509"/>
      <c r="S333" s="509"/>
      <c r="T333" s="509"/>
      <c r="U333" s="509"/>
      <c r="V333" s="509"/>
      <c r="W333" s="509"/>
      <c r="X333" s="509"/>
      <c r="Y333" s="509"/>
      <c r="Z333" s="509"/>
      <c r="AA333" s="509"/>
      <c r="AB333" s="509"/>
      <c r="AC333" s="509"/>
      <c r="AD333" s="509"/>
    </row>
    <row r="334" spans="3:30">
      <c r="C334" s="509"/>
      <c r="D334" s="509"/>
      <c r="E334" s="509"/>
      <c r="F334" s="509"/>
      <c r="G334" s="509"/>
      <c r="H334" s="509"/>
      <c r="I334" s="509"/>
      <c r="J334" s="509"/>
      <c r="K334" s="509"/>
      <c r="L334" s="509"/>
      <c r="M334" s="509"/>
      <c r="N334" s="509"/>
      <c r="O334" s="509"/>
      <c r="P334" s="509"/>
      <c r="Q334" s="509"/>
      <c r="R334" s="509"/>
      <c r="S334" s="509"/>
      <c r="T334" s="509"/>
      <c r="U334" s="509"/>
      <c r="V334" s="509"/>
      <c r="W334" s="509"/>
      <c r="X334" s="509"/>
      <c r="Y334" s="509"/>
      <c r="Z334" s="509"/>
      <c r="AA334" s="509"/>
      <c r="AB334" s="509"/>
      <c r="AC334" s="509"/>
      <c r="AD334" s="509"/>
    </row>
    <row r="335" spans="3:30">
      <c r="C335" s="509"/>
      <c r="D335" s="509"/>
      <c r="E335" s="509"/>
      <c r="F335" s="509"/>
      <c r="G335" s="509"/>
      <c r="H335" s="509"/>
      <c r="I335" s="509"/>
      <c r="J335" s="509"/>
      <c r="K335" s="509"/>
      <c r="L335" s="509"/>
      <c r="M335" s="509"/>
      <c r="N335" s="509"/>
      <c r="O335" s="509"/>
      <c r="P335" s="509"/>
      <c r="Q335" s="509"/>
      <c r="R335" s="509"/>
      <c r="S335" s="509"/>
      <c r="T335" s="509"/>
      <c r="U335" s="509"/>
      <c r="V335" s="509"/>
      <c r="W335" s="509"/>
      <c r="X335" s="509"/>
      <c r="Y335" s="509"/>
      <c r="Z335" s="509"/>
      <c r="AA335" s="509"/>
      <c r="AB335" s="509"/>
      <c r="AC335" s="509"/>
      <c r="AD335" s="509"/>
    </row>
    <row r="336" spans="3:30">
      <c r="C336" s="509"/>
      <c r="D336" s="509"/>
      <c r="E336" s="509"/>
      <c r="F336" s="509"/>
      <c r="G336" s="509"/>
      <c r="H336" s="509"/>
      <c r="I336" s="509"/>
      <c r="J336" s="509"/>
      <c r="K336" s="509"/>
      <c r="L336" s="509"/>
      <c r="M336" s="509"/>
      <c r="N336" s="509"/>
      <c r="O336" s="509"/>
      <c r="P336" s="509"/>
      <c r="Q336" s="509"/>
      <c r="R336" s="509"/>
      <c r="S336" s="509"/>
      <c r="T336" s="509"/>
      <c r="U336" s="509"/>
      <c r="V336" s="509"/>
      <c r="W336" s="509"/>
      <c r="X336" s="509"/>
      <c r="Y336" s="509"/>
      <c r="Z336" s="509"/>
      <c r="AA336" s="509"/>
      <c r="AB336" s="509"/>
      <c r="AC336" s="509"/>
      <c r="AD336" s="509"/>
    </row>
    <row r="337" spans="3:30">
      <c r="C337" s="509"/>
      <c r="D337" s="509"/>
      <c r="E337" s="509"/>
      <c r="F337" s="509"/>
      <c r="G337" s="509"/>
      <c r="H337" s="509"/>
      <c r="I337" s="509"/>
      <c r="J337" s="509"/>
      <c r="K337" s="509"/>
      <c r="L337" s="509"/>
      <c r="M337" s="509"/>
      <c r="N337" s="509"/>
      <c r="O337" s="509"/>
      <c r="P337" s="509"/>
      <c r="Q337" s="509"/>
      <c r="R337" s="509"/>
      <c r="S337" s="509"/>
      <c r="T337" s="509"/>
      <c r="U337" s="509"/>
      <c r="V337" s="509"/>
      <c r="W337" s="509"/>
      <c r="X337" s="509"/>
      <c r="Y337" s="509"/>
      <c r="Z337" s="509"/>
      <c r="AA337" s="509"/>
      <c r="AB337" s="509"/>
      <c r="AC337" s="509"/>
      <c r="AD337" s="509"/>
    </row>
    <row r="338" spans="3:30">
      <c r="C338" s="509"/>
      <c r="D338" s="509"/>
      <c r="E338" s="509"/>
      <c r="F338" s="509"/>
      <c r="G338" s="509"/>
      <c r="H338" s="509"/>
      <c r="I338" s="509"/>
      <c r="J338" s="509"/>
      <c r="K338" s="509"/>
      <c r="L338" s="509"/>
      <c r="M338" s="509"/>
      <c r="N338" s="509"/>
      <c r="O338" s="509"/>
      <c r="P338" s="509"/>
      <c r="Q338" s="509"/>
      <c r="R338" s="509"/>
      <c r="S338" s="509"/>
      <c r="T338" s="509"/>
      <c r="U338" s="509"/>
      <c r="V338" s="509"/>
      <c r="W338" s="509"/>
      <c r="X338" s="509"/>
      <c r="Y338" s="509"/>
      <c r="Z338" s="509"/>
      <c r="AA338" s="509"/>
      <c r="AB338" s="509"/>
      <c r="AC338" s="509"/>
      <c r="AD338" s="509"/>
    </row>
    <row r="339" spans="3:30">
      <c r="C339" s="509"/>
      <c r="D339" s="509"/>
      <c r="E339" s="509"/>
      <c r="F339" s="509"/>
      <c r="G339" s="509"/>
      <c r="H339" s="509"/>
      <c r="I339" s="509"/>
      <c r="J339" s="509"/>
      <c r="K339" s="509"/>
      <c r="L339" s="509"/>
      <c r="M339" s="509"/>
      <c r="N339" s="509"/>
      <c r="O339" s="509"/>
      <c r="P339" s="509"/>
      <c r="Q339" s="509"/>
      <c r="R339" s="509"/>
      <c r="S339" s="509"/>
      <c r="T339" s="509"/>
      <c r="U339" s="509"/>
      <c r="V339" s="509"/>
      <c r="W339" s="509"/>
      <c r="X339" s="509"/>
      <c r="Y339" s="509"/>
      <c r="Z339" s="509"/>
      <c r="AA339" s="509"/>
      <c r="AB339" s="509"/>
      <c r="AC339" s="509"/>
      <c r="AD339" s="509"/>
    </row>
    <row r="340" spans="3:30">
      <c r="C340" s="509"/>
      <c r="D340" s="509"/>
      <c r="E340" s="509"/>
      <c r="F340" s="509"/>
      <c r="G340" s="509"/>
      <c r="H340" s="509"/>
      <c r="I340" s="509"/>
      <c r="J340" s="509"/>
      <c r="K340" s="509"/>
      <c r="L340" s="509"/>
      <c r="M340" s="509"/>
      <c r="N340" s="509"/>
      <c r="O340" s="509"/>
      <c r="P340" s="509"/>
      <c r="Q340" s="509"/>
      <c r="R340" s="509"/>
      <c r="S340" s="509"/>
      <c r="T340" s="509"/>
      <c r="U340" s="509"/>
      <c r="V340" s="509"/>
      <c r="W340" s="509"/>
      <c r="X340" s="509"/>
      <c r="Y340" s="509"/>
      <c r="Z340" s="509"/>
      <c r="AA340" s="509"/>
      <c r="AB340" s="509"/>
      <c r="AC340" s="509"/>
      <c r="AD340" s="509"/>
    </row>
    <row r="341" spans="3:30">
      <c r="C341" s="509"/>
      <c r="D341" s="509"/>
      <c r="E341" s="509"/>
      <c r="F341" s="509"/>
      <c r="G341" s="509"/>
      <c r="H341" s="509"/>
      <c r="I341" s="509"/>
      <c r="J341" s="509"/>
      <c r="K341" s="509"/>
      <c r="L341" s="509"/>
      <c r="M341" s="509"/>
      <c r="N341" s="509"/>
      <c r="O341" s="509"/>
      <c r="P341" s="509"/>
      <c r="Q341" s="509"/>
      <c r="R341" s="509"/>
      <c r="S341" s="509"/>
      <c r="T341" s="509"/>
      <c r="U341" s="509"/>
      <c r="V341" s="509"/>
      <c r="W341" s="509"/>
      <c r="X341" s="509"/>
      <c r="Y341" s="509"/>
      <c r="Z341" s="509"/>
      <c r="AA341" s="509"/>
      <c r="AB341" s="509"/>
      <c r="AC341" s="509"/>
      <c r="AD341" s="509"/>
    </row>
    <row r="342" spans="3:30">
      <c r="C342" s="509"/>
      <c r="D342" s="509"/>
      <c r="E342" s="509"/>
      <c r="F342" s="509"/>
      <c r="G342" s="509"/>
      <c r="H342" s="509"/>
      <c r="I342" s="509"/>
      <c r="J342" s="509"/>
      <c r="K342" s="509"/>
      <c r="L342" s="509"/>
      <c r="M342" s="509"/>
      <c r="N342" s="509"/>
      <c r="O342" s="509"/>
      <c r="P342" s="509"/>
      <c r="Q342" s="509"/>
      <c r="R342" s="509"/>
      <c r="S342" s="509"/>
      <c r="T342" s="509"/>
      <c r="U342" s="509"/>
      <c r="V342" s="509"/>
      <c r="W342" s="509"/>
      <c r="X342" s="509"/>
      <c r="Y342" s="509"/>
      <c r="Z342" s="509"/>
      <c r="AA342" s="509"/>
      <c r="AB342" s="509"/>
      <c r="AC342" s="509"/>
      <c r="AD342" s="509"/>
    </row>
    <row r="343" spans="3:30">
      <c r="C343" s="509"/>
      <c r="D343" s="509"/>
      <c r="E343" s="509"/>
      <c r="F343" s="509"/>
      <c r="G343" s="509"/>
      <c r="H343" s="509"/>
      <c r="I343" s="509"/>
      <c r="J343" s="509"/>
      <c r="K343" s="509"/>
      <c r="L343" s="509"/>
      <c r="M343" s="509"/>
      <c r="N343" s="509"/>
      <c r="O343" s="509"/>
      <c r="P343" s="509"/>
      <c r="Q343" s="509"/>
      <c r="R343" s="509"/>
      <c r="S343" s="509"/>
      <c r="T343" s="509"/>
      <c r="U343" s="509"/>
      <c r="V343" s="509"/>
      <c r="W343" s="509"/>
      <c r="X343" s="509"/>
      <c r="Y343" s="509"/>
      <c r="Z343" s="509"/>
      <c r="AA343" s="509"/>
      <c r="AB343" s="509"/>
      <c r="AC343" s="509"/>
      <c r="AD343" s="509"/>
    </row>
    <row r="344" spans="3:30">
      <c r="C344" s="509"/>
      <c r="D344" s="509"/>
      <c r="E344" s="509"/>
      <c r="F344" s="509"/>
      <c r="G344" s="509"/>
      <c r="H344" s="509"/>
      <c r="I344" s="509"/>
      <c r="J344" s="509"/>
      <c r="K344" s="509"/>
      <c r="L344" s="509"/>
      <c r="M344" s="509"/>
      <c r="N344" s="509"/>
      <c r="O344" s="509"/>
      <c r="P344" s="509"/>
      <c r="Q344" s="509"/>
      <c r="R344" s="509"/>
      <c r="S344" s="509"/>
      <c r="T344" s="509"/>
      <c r="U344" s="509"/>
      <c r="V344" s="509"/>
      <c r="W344" s="509"/>
      <c r="X344" s="509"/>
      <c r="Y344" s="509"/>
      <c r="Z344" s="509"/>
      <c r="AA344" s="509"/>
      <c r="AB344" s="509"/>
      <c r="AC344" s="509"/>
      <c r="AD344" s="509"/>
    </row>
    <row r="345" spans="3:30">
      <c r="C345" s="509"/>
      <c r="D345" s="509"/>
      <c r="E345" s="509"/>
      <c r="F345" s="509"/>
      <c r="G345" s="509"/>
      <c r="H345" s="509"/>
      <c r="I345" s="509"/>
      <c r="J345" s="509"/>
      <c r="K345" s="509"/>
      <c r="L345" s="509"/>
      <c r="M345" s="509"/>
      <c r="N345" s="509"/>
      <c r="O345" s="509"/>
      <c r="P345" s="509"/>
      <c r="Q345" s="509"/>
      <c r="R345" s="509"/>
      <c r="S345" s="509"/>
      <c r="T345" s="509"/>
      <c r="U345" s="509"/>
      <c r="V345" s="509"/>
      <c r="W345" s="509"/>
      <c r="X345" s="509"/>
      <c r="Y345" s="509"/>
      <c r="Z345" s="509"/>
      <c r="AA345" s="509"/>
      <c r="AB345" s="509"/>
      <c r="AC345" s="509"/>
      <c r="AD345" s="509"/>
    </row>
    <row r="346" spans="3:30">
      <c r="C346" s="509"/>
      <c r="D346" s="509"/>
      <c r="E346" s="509"/>
      <c r="F346" s="509"/>
      <c r="G346" s="509"/>
      <c r="H346" s="509"/>
      <c r="I346" s="509"/>
      <c r="J346" s="509"/>
      <c r="K346" s="509"/>
      <c r="L346" s="509"/>
      <c r="M346" s="509"/>
      <c r="N346" s="509"/>
      <c r="O346" s="509"/>
      <c r="P346" s="509"/>
      <c r="Q346" s="509"/>
      <c r="R346" s="509"/>
      <c r="S346" s="509"/>
      <c r="T346" s="509"/>
      <c r="U346" s="509"/>
      <c r="V346" s="509"/>
      <c r="W346" s="509"/>
      <c r="X346" s="509"/>
      <c r="Y346" s="509"/>
      <c r="Z346" s="509"/>
      <c r="AA346" s="509"/>
      <c r="AB346" s="509"/>
      <c r="AC346" s="509"/>
      <c r="AD346" s="509"/>
    </row>
    <row r="347" spans="3:30">
      <c r="C347" s="509"/>
      <c r="D347" s="509"/>
      <c r="E347" s="509"/>
      <c r="F347" s="509"/>
      <c r="G347" s="509"/>
      <c r="H347" s="509"/>
      <c r="I347" s="509"/>
      <c r="J347" s="509"/>
      <c r="K347" s="509"/>
      <c r="L347" s="509"/>
      <c r="M347" s="509"/>
      <c r="N347" s="509"/>
      <c r="O347" s="509"/>
      <c r="P347" s="509"/>
      <c r="Q347" s="509"/>
      <c r="R347" s="509"/>
      <c r="S347" s="509"/>
      <c r="T347" s="509"/>
      <c r="U347" s="509"/>
      <c r="V347" s="509"/>
      <c r="W347" s="509"/>
      <c r="X347" s="509"/>
      <c r="Y347" s="509"/>
      <c r="Z347" s="509"/>
      <c r="AA347" s="509"/>
      <c r="AB347" s="509"/>
      <c r="AC347" s="509"/>
      <c r="AD347" s="509"/>
    </row>
    <row r="348" spans="3:30">
      <c r="C348" s="509"/>
      <c r="D348" s="509"/>
      <c r="E348" s="509"/>
      <c r="F348" s="509"/>
      <c r="G348" s="509"/>
      <c r="H348" s="509"/>
      <c r="I348" s="509"/>
      <c r="J348" s="509"/>
      <c r="K348" s="509"/>
      <c r="L348" s="509"/>
      <c r="M348" s="509"/>
      <c r="N348" s="509"/>
      <c r="O348" s="509"/>
      <c r="P348" s="509"/>
      <c r="Q348" s="509"/>
      <c r="R348" s="509"/>
      <c r="S348" s="509"/>
      <c r="T348" s="509"/>
      <c r="U348" s="509"/>
      <c r="V348" s="509"/>
      <c r="W348" s="509"/>
      <c r="X348" s="509"/>
      <c r="Y348" s="509"/>
      <c r="Z348" s="509"/>
      <c r="AA348" s="509"/>
      <c r="AB348" s="509"/>
      <c r="AC348" s="509"/>
      <c r="AD348" s="509"/>
    </row>
    <row r="349" spans="3:30">
      <c r="C349" s="509"/>
      <c r="D349" s="509"/>
      <c r="E349" s="509"/>
      <c r="F349" s="509"/>
      <c r="G349" s="509"/>
      <c r="H349" s="509"/>
      <c r="I349" s="509"/>
      <c r="J349" s="509"/>
      <c r="K349" s="509"/>
      <c r="L349" s="509"/>
      <c r="M349" s="509"/>
      <c r="N349" s="509"/>
      <c r="O349" s="509"/>
      <c r="P349" s="509"/>
      <c r="Q349" s="509"/>
      <c r="R349" s="509"/>
      <c r="S349" s="509"/>
      <c r="T349" s="509"/>
      <c r="U349" s="509"/>
      <c r="V349" s="509"/>
      <c r="W349" s="509"/>
      <c r="X349" s="509"/>
      <c r="Y349" s="509"/>
      <c r="Z349" s="509"/>
      <c r="AA349" s="509"/>
      <c r="AB349" s="509"/>
      <c r="AC349" s="509"/>
      <c r="AD349" s="509"/>
    </row>
    <row r="350" spans="3:30">
      <c r="C350" s="509"/>
      <c r="D350" s="509"/>
      <c r="E350" s="509"/>
      <c r="F350" s="509"/>
      <c r="G350" s="509"/>
      <c r="H350" s="509"/>
      <c r="I350" s="509"/>
      <c r="J350" s="509"/>
      <c r="K350" s="509"/>
      <c r="L350" s="509"/>
      <c r="M350" s="509"/>
      <c r="N350" s="509"/>
      <c r="O350" s="509"/>
      <c r="P350" s="509"/>
      <c r="Q350" s="509"/>
      <c r="R350" s="509"/>
      <c r="S350" s="509"/>
      <c r="T350" s="509"/>
      <c r="U350" s="509"/>
      <c r="V350" s="509"/>
      <c r="W350" s="509"/>
      <c r="X350" s="509"/>
      <c r="Y350" s="509"/>
      <c r="Z350" s="509"/>
      <c r="AA350" s="509"/>
      <c r="AB350" s="509"/>
      <c r="AC350" s="509"/>
      <c r="AD350" s="509"/>
    </row>
    <row r="351" spans="3:30">
      <c r="C351" s="509"/>
      <c r="D351" s="509"/>
      <c r="E351" s="509"/>
      <c r="F351" s="509"/>
      <c r="G351" s="509"/>
      <c r="H351" s="509"/>
      <c r="I351" s="509"/>
      <c r="J351" s="509"/>
      <c r="K351" s="509"/>
      <c r="L351" s="509"/>
      <c r="M351" s="509"/>
      <c r="N351" s="509"/>
      <c r="O351" s="509"/>
      <c r="P351" s="509"/>
      <c r="Q351" s="509"/>
      <c r="R351" s="509"/>
      <c r="S351" s="509"/>
      <c r="T351" s="509"/>
      <c r="U351" s="509"/>
      <c r="V351" s="509"/>
      <c r="W351" s="509"/>
      <c r="X351" s="509"/>
      <c r="Y351" s="509"/>
      <c r="Z351" s="509"/>
      <c r="AA351" s="509"/>
      <c r="AB351" s="509"/>
      <c r="AC351" s="509"/>
      <c r="AD351" s="509"/>
    </row>
    <row r="352" spans="3:30">
      <c r="C352" s="509"/>
      <c r="D352" s="509"/>
      <c r="E352" s="509"/>
      <c r="F352" s="509"/>
      <c r="G352" s="509"/>
      <c r="H352" s="509"/>
      <c r="I352" s="509"/>
      <c r="J352" s="509"/>
      <c r="K352" s="509"/>
      <c r="L352" s="509"/>
      <c r="M352" s="509"/>
      <c r="N352" s="509"/>
      <c r="O352" s="509"/>
      <c r="P352" s="509"/>
      <c r="Q352" s="509"/>
      <c r="R352" s="509"/>
      <c r="S352" s="509"/>
      <c r="T352" s="509"/>
      <c r="U352" s="509"/>
      <c r="V352" s="509"/>
      <c r="W352" s="509"/>
      <c r="X352" s="509"/>
      <c r="Y352" s="509"/>
      <c r="Z352" s="509"/>
      <c r="AA352" s="509"/>
      <c r="AB352" s="509"/>
      <c r="AC352" s="509"/>
      <c r="AD352" s="509"/>
    </row>
    <row r="353" spans="3:30">
      <c r="C353" s="509"/>
      <c r="D353" s="509"/>
      <c r="E353" s="509"/>
      <c r="F353" s="509"/>
      <c r="G353" s="509"/>
      <c r="H353" s="509"/>
      <c r="I353" s="509"/>
      <c r="J353" s="509"/>
      <c r="K353" s="509"/>
      <c r="L353" s="509"/>
      <c r="M353" s="509"/>
      <c r="N353" s="509"/>
      <c r="O353" s="509"/>
      <c r="P353" s="509"/>
      <c r="Q353" s="509"/>
      <c r="R353" s="509"/>
      <c r="S353" s="509"/>
      <c r="T353" s="509"/>
      <c r="U353" s="509"/>
      <c r="V353" s="509"/>
      <c r="W353" s="509"/>
      <c r="X353" s="509"/>
      <c r="Y353" s="509"/>
      <c r="Z353" s="509"/>
      <c r="AA353" s="509"/>
      <c r="AB353" s="509"/>
      <c r="AC353" s="509"/>
      <c r="AD353" s="509"/>
    </row>
    <row r="354" spans="3:30">
      <c r="C354" s="509"/>
      <c r="D354" s="509"/>
      <c r="E354" s="509"/>
      <c r="F354" s="509"/>
      <c r="G354" s="509"/>
      <c r="H354" s="509"/>
      <c r="I354" s="509"/>
      <c r="J354" s="509"/>
      <c r="K354" s="509"/>
      <c r="L354" s="509"/>
      <c r="M354" s="509"/>
      <c r="N354" s="509"/>
      <c r="O354" s="509"/>
      <c r="P354" s="509"/>
      <c r="Q354" s="509"/>
      <c r="R354" s="509"/>
      <c r="S354" s="509"/>
      <c r="T354" s="509"/>
      <c r="U354" s="509"/>
      <c r="V354" s="509"/>
      <c r="W354" s="509"/>
      <c r="X354" s="509"/>
      <c r="Y354" s="509"/>
      <c r="Z354" s="509"/>
      <c r="AA354" s="509"/>
      <c r="AB354" s="509"/>
      <c r="AC354" s="509"/>
      <c r="AD354" s="509"/>
    </row>
    <row r="355" spans="3:30">
      <c r="C355" s="509"/>
      <c r="D355" s="509"/>
      <c r="E355" s="509"/>
      <c r="F355" s="509"/>
      <c r="G355" s="509"/>
      <c r="H355" s="509"/>
      <c r="I355" s="509"/>
      <c r="J355" s="509"/>
      <c r="K355" s="509"/>
      <c r="L355" s="509"/>
      <c r="M355" s="509"/>
      <c r="N355" s="509"/>
      <c r="O355" s="509"/>
      <c r="P355" s="509"/>
      <c r="Q355" s="509"/>
      <c r="R355" s="509"/>
      <c r="S355" s="509"/>
      <c r="T355" s="509"/>
      <c r="U355" s="509"/>
      <c r="V355" s="509"/>
      <c r="W355" s="509"/>
      <c r="X355" s="509"/>
      <c r="Y355" s="509"/>
      <c r="Z355" s="509"/>
      <c r="AA355" s="509"/>
      <c r="AB355" s="509"/>
      <c r="AC355" s="509"/>
      <c r="AD355" s="509"/>
    </row>
    <row r="356" spans="3:30">
      <c r="C356" s="509"/>
      <c r="D356" s="509"/>
      <c r="E356" s="509"/>
      <c r="F356" s="509"/>
      <c r="G356" s="509"/>
      <c r="H356" s="509"/>
      <c r="I356" s="509"/>
      <c r="J356" s="509"/>
      <c r="K356" s="509"/>
      <c r="L356" s="509"/>
      <c r="M356" s="509"/>
      <c r="N356" s="509"/>
      <c r="O356" s="509"/>
      <c r="P356" s="509"/>
      <c r="Q356" s="509"/>
      <c r="R356" s="509"/>
      <c r="S356" s="509"/>
      <c r="T356" s="509"/>
      <c r="U356" s="509"/>
      <c r="V356" s="509"/>
      <c r="W356" s="509"/>
      <c r="X356" s="509"/>
      <c r="Y356" s="509"/>
      <c r="Z356" s="509"/>
      <c r="AA356" s="509"/>
      <c r="AB356" s="509"/>
      <c r="AC356" s="509"/>
      <c r="AD356" s="509"/>
    </row>
    <row r="357" spans="3:30">
      <c r="C357" s="509"/>
      <c r="D357" s="509"/>
      <c r="E357" s="509"/>
      <c r="F357" s="509"/>
      <c r="G357" s="509"/>
      <c r="H357" s="509"/>
      <c r="I357" s="509"/>
      <c r="J357" s="509"/>
      <c r="K357" s="509"/>
      <c r="L357" s="509"/>
      <c r="M357" s="509"/>
      <c r="N357" s="509"/>
      <c r="O357" s="509"/>
      <c r="P357" s="509"/>
      <c r="Q357" s="509"/>
      <c r="R357" s="509"/>
      <c r="S357" s="509"/>
      <c r="T357" s="509"/>
      <c r="U357" s="509"/>
      <c r="V357" s="509"/>
      <c r="W357" s="509"/>
      <c r="X357" s="509"/>
      <c r="Y357" s="509"/>
      <c r="Z357" s="509"/>
      <c r="AA357" s="509"/>
      <c r="AB357" s="509"/>
      <c r="AC357" s="509"/>
      <c r="AD357" s="509"/>
    </row>
    <row r="358" spans="3:30">
      <c r="C358" s="509"/>
      <c r="D358" s="509"/>
      <c r="E358" s="509"/>
      <c r="F358" s="509"/>
      <c r="G358" s="509"/>
      <c r="H358" s="509"/>
      <c r="I358" s="509"/>
      <c r="J358" s="509"/>
      <c r="K358" s="509"/>
      <c r="L358" s="509"/>
      <c r="M358" s="509"/>
      <c r="N358" s="509"/>
      <c r="O358" s="509"/>
      <c r="P358" s="509"/>
      <c r="Q358" s="509"/>
      <c r="R358" s="509"/>
      <c r="S358" s="509"/>
      <c r="T358" s="509"/>
      <c r="U358" s="509"/>
      <c r="V358" s="509"/>
      <c r="W358" s="509"/>
      <c r="X358" s="509"/>
      <c r="Y358" s="509"/>
      <c r="Z358" s="509"/>
      <c r="AA358" s="509"/>
      <c r="AB358" s="509"/>
      <c r="AC358" s="509"/>
      <c r="AD358" s="509"/>
    </row>
    <row r="359" spans="3:30">
      <c r="C359" s="509"/>
      <c r="D359" s="509"/>
      <c r="E359" s="509"/>
      <c r="F359" s="509"/>
      <c r="G359" s="509"/>
      <c r="H359" s="509"/>
      <c r="I359" s="509"/>
      <c r="J359" s="509"/>
      <c r="K359" s="509"/>
      <c r="L359" s="509"/>
      <c r="M359" s="509"/>
      <c r="N359" s="509"/>
      <c r="O359" s="509"/>
      <c r="P359" s="509"/>
      <c r="Q359" s="509"/>
      <c r="R359" s="509"/>
      <c r="S359" s="509"/>
      <c r="T359" s="509"/>
      <c r="U359" s="509"/>
      <c r="V359" s="509"/>
      <c r="W359" s="509"/>
      <c r="X359" s="509"/>
      <c r="Y359" s="509"/>
      <c r="Z359" s="509"/>
      <c r="AA359" s="509"/>
      <c r="AB359" s="509"/>
      <c r="AC359" s="509"/>
      <c r="AD359" s="509"/>
    </row>
    <row r="360" spans="3:30">
      <c r="C360" s="509"/>
      <c r="D360" s="509"/>
      <c r="E360" s="509"/>
      <c r="F360" s="509"/>
      <c r="G360" s="509"/>
      <c r="H360" s="509"/>
      <c r="I360" s="509"/>
      <c r="J360" s="509"/>
      <c r="K360" s="509"/>
      <c r="L360" s="509"/>
      <c r="M360" s="509"/>
      <c r="N360" s="509"/>
      <c r="O360" s="509"/>
      <c r="P360" s="509"/>
      <c r="Q360" s="509"/>
      <c r="R360" s="509"/>
      <c r="S360" s="509"/>
      <c r="T360" s="509"/>
      <c r="U360" s="509"/>
      <c r="V360" s="509"/>
      <c r="W360" s="509"/>
      <c r="X360" s="509"/>
      <c r="Y360" s="509"/>
      <c r="Z360" s="509"/>
      <c r="AA360" s="509"/>
      <c r="AB360" s="509"/>
      <c r="AC360" s="509"/>
      <c r="AD360" s="509"/>
    </row>
    <row r="361" spans="3:30">
      <c r="C361" s="509"/>
      <c r="D361" s="509"/>
      <c r="E361" s="509"/>
      <c r="F361" s="509"/>
      <c r="G361" s="509"/>
      <c r="H361" s="509"/>
      <c r="I361" s="509"/>
      <c r="J361" s="509"/>
      <c r="K361" s="509"/>
      <c r="L361" s="509"/>
      <c r="M361" s="509"/>
      <c r="N361" s="509"/>
      <c r="O361" s="509"/>
      <c r="P361" s="509"/>
      <c r="Q361" s="509"/>
      <c r="R361" s="509"/>
      <c r="S361" s="509"/>
      <c r="T361" s="509"/>
      <c r="U361" s="509"/>
      <c r="V361" s="509"/>
      <c r="W361" s="509"/>
      <c r="X361" s="509"/>
      <c r="Y361" s="509"/>
      <c r="Z361" s="509"/>
      <c r="AA361" s="509"/>
      <c r="AB361" s="509"/>
      <c r="AC361" s="509"/>
      <c r="AD361" s="509"/>
    </row>
    <row r="362" spans="3:30">
      <c r="C362" s="509"/>
      <c r="D362" s="509"/>
      <c r="E362" s="509"/>
      <c r="F362" s="509"/>
      <c r="G362" s="509"/>
      <c r="H362" s="509"/>
      <c r="I362" s="509"/>
      <c r="J362" s="509"/>
      <c r="K362" s="509"/>
      <c r="L362" s="509"/>
      <c r="M362" s="509"/>
      <c r="N362" s="509"/>
      <c r="O362" s="509"/>
      <c r="P362" s="509"/>
      <c r="Q362" s="509"/>
      <c r="R362" s="509"/>
      <c r="S362" s="509"/>
      <c r="T362" s="509"/>
      <c r="U362" s="509"/>
      <c r="V362" s="509"/>
      <c r="W362" s="509"/>
      <c r="X362" s="509"/>
      <c r="Y362" s="509"/>
      <c r="Z362" s="509"/>
      <c r="AA362" s="509"/>
      <c r="AB362" s="509"/>
      <c r="AC362" s="509"/>
      <c r="AD362" s="509"/>
    </row>
    <row r="363" spans="3:30">
      <c r="C363" s="509"/>
      <c r="D363" s="509"/>
      <c r="E363" s="509"/>
      <c r="F363" s="509"/>
      <c r="G363" s="509"/>
      <c r="H363" s="509"/>
      <c r="I363" s="509"/>
      <c r="J363" s="509"/>
      <c r="K363" s="509"/>
      <c r="L363" s="509"/>
      <c r="M363" s="509"/>
      <c r="N363" s="509"/>
      <c r="O363" s="509"/>
      <c r="P363" s="509"/>
      <c r="Q363" s="509"/>
      <c r="R363" s="509"/>
      <c r="S363" s="509"/>
      <c r="T363" s="509"/>
      <c r="U363" s="509"/>
      <c r="V363" s="509"/>
      <c r="W363" s="509"/>
      <c r="X363" s="509"/>
      <c r="Y363" s="509"/>
      <c r="Z363" s="509"/>
      <c r="AA363" s="509"/>
      <c r="AB363" s="509"/>
      <c r="AC363" s="509"/>
      <c r="AD363" s="509"/>
    </row>
    <row r="364" spans="3:30">
      <c r="C364" s="509"/>
      <c r="D364" s="509"/>
      <c r="E364" s="509"/>
      <c r="F364" s="509"/>
      <c r="G364" s="509"/>
      <c r="H364" s="509"/>
      <c r="I364" s="509"/>
      <c r="J364" s="509"/>
      <c r="K364" s="509"/>
      <c r="L364" s="509"/>
      <c r="M364" s="509"/>
      <c r="N364" s="509"/>
      <c r="O364" s="509"/>
      <c r="P364" s="509"/>
      <c r="Q364" s="509"/>
      <c r="R364" s="509"/>
      <c r="S364" s="509"/>
      <c r="T364" s="509"/>
      <c r="U364" s="509"/>
      <c r="V364" s="509"/>
      <c r="W364" s="509"/>
      <c r="X364" s="509"/>
      <c r="Y364" s="509"/>
      <c r="Z364" s="509"/>
      <c r="AA364" s="509"/>
      <c r="AB364" s="509"/>
      <c r="AC364" s="509"/>
      <c r="AD364" s="509"/>
    </row>
    <row r="365" spans="3:30">
      <c r="C365" s="509"/>
      <c r="D365" s="509"/>
      <c r="E365" s="509"/>
      <c r="F365" s="509"/>
      <c r="G365" s="509"/>
      <c r="H365" s="509"/>
      <c r="I365" s="509"/>
      <c r="J365" s="509"/>
      <c r="K365" s="509"/>
      <c r="L365" s="509"/>
      <c r="M365" s="509"/>
      <c r="N365" s="509"/>
      <c r="O365" s="509"/>
      <c r="P365" s="509"/>
      <c r="Q365" s="509"/>
      <c r="R365" s="509"/>
      <c r="S365" s="509"/>
      <c r="T365" s="509"/>
      <c r="U365" s="509"/>
      <c r="V365" s="509"/>
      <c r="W365" s="509"/>
      <c r="X365" s="509"/>
      <c r="Y365" s="509"/>
      <c r="Z365" s="509"/>
      <c r="AA365" s="509"/>
      <c r="AB365" s="509"/>
      <c r="AC365" s="509"/>
      <c r="AD365" s="509"/>
    </row>
    <row r="366" spans="3:30">
      <c r="C366" s="509"/>
      <c r="D366" s="509"/>
      <c r="E366" s="509"/>
      <c r="F366" s="509"/>
      <c r="G366" s="509"/>
      <c r="H366" s="509"/>
      <c r="I366" s="509"/>
      <c r="J366" s="509"/>
      <c r="K366" s="509"/>
      <c r="L366" s="509"/>
      <c r="M366" s="509"/>
      <c r="N366" s="509"/>
      <c r="O366" s="509"/>
      <c r="P366" s="509"/>
      <c r="Q366" s="509"/>
      <c r="R366" s="509"/>
      <c r="S366" s="509"/>
      <c r="T366" s="509"/>
      <c r="U366" s="509"/>
      <c r="V366" s="509"/>
      <c r="W366" s="509"/>
      <c r="X366" s="509"/>
      <c r="Y366" s="509"/>
      <c r="Z366" s="509"/>
      <c r="AA366" s="509"/>
      <c r="AB366" s="509"/>
      <c r="AC366" s="509"/>
      <c r="AD366" s="509"/>
    </row>
    <row r="367" spans="3:30">
      <c r="C367" s="509"/>
      <c r="D367" s="509"/>
      <c r="E367" s="509"/>
      <c r="F367" s="509"/>
      <c r="G367" s="509"/>
      <c r="H367" s="509"/>
      <c r="I367" s="509"/>
      <c r="J367" s="509"/>
      <c r="K367" s="509"/>
      <c r="L367" s="509"/>
      <c r="M367" s="509"/>
      <c r="N367" s="509"/>
      <c r="O367" s="509"/>
      <c r="P367" s="509"/>
      <c r="Q367" s="509"/>
      <c r="R367" s="509"/>
      <c r="S367" s="509"/>
      <c r="T367" s="509"/>
      <c r="U367" s="509"/>
      <c r="V367" s="509"/>
      <c r="W367" s="509"/>
      <c r="X367" s="509"/>
      <c r="Y367" s="509"/>
      <c r="Z367" s="509"/>
      <c r="AA367" s="509"/>
      <c r="AB367" s="509"/>
      <c r="AC367" s="509"/>
      <c r="AD367" s="509"/>
    </row>
    <row r="368" spans="3:30">
      <c r="C368" s="509"/>
      <c r="D368" s="509"/>
      <c r="E368" s="509"/>
      <c r="F368" s="509"/>
      <c r="G368" s="509"/>
      <c r="H368" s="509"/>
      <c r="I368" s="509"/>
      <c r="J368" s="509"/>
      <c r="K368" s="509"/>
      <c r="L368" s="509"/>
      <c r="M368" s="509"/>
      <c r="N368" s="509"/>
      <c r="O368" s="509"/>
      <c r="P368" s="509"/>
      <c r="Q368" s="509"/>
      <c r="R368" s="509"/>
      <c r="S368" s="509"/>
      <c r="T368" s="509"/>
      <c r="U368" s="509"/>
      <c r="V368" s="509"/>
      <c r="W368" s="509"/>
      <c r="X368" s="509"/>
      <c r="Y368" s="509"/>
      <c r="Z368" s="509"/>
      <c r="AA368" s="509"/>
      <c r="AB368" s="509"/>
      <c r="AC368" s="509"/>
      <c r="AD368" s="509"/>
    </row>
    <row r="369" spans="3:30">
      <c r="C369" s="509"/>
      <c r="D369" s="509"/>
      <c r="E369" s="509"/>
      <c r="F369" s="509"/>
      <c r="G369" s="509"/>
      <c r="H369" s="509"/>
      <c r="I369" s="509"/>
      <c r="J369" s="509"/>
      <c r="K369" s="509"/>
      <c r="L369" s="509"/>
      <c r="M369" s="509"/>
      <c r="N369" s="509"/>
      <c r="O369" s="509"/>
      <c r="P369" s="509"/>
      <c r="Q369" s="509"/>
      <c r="R369" s="509"/>
      <c r="S369" s="509"/>
      <c r="T369" s="509"/>
      <c r="U369" s="509"/>
      <c r="V369" s="509"/>
      <c r="W369" s="509"/>
      <c r="X369" s="509"/>
      <c r="Y369" s="509"/>
      <c r="Z369" s="509"/>
      <c r="AA369" s="509"/>
      <c r="AB369" s="509"/>
      <c r="AC369" s="509"/>
      <c r="AD369" s="509"/>
    </row>
    <row r="370" spans="3:30">
      <c r="C370" s="509"/>
      <c r="D370" s="509"/>
      <c r="E370" s="509"/>
      <c r="F370" s="509"/>
      <c r="G370" s="509"/>
      <c r="H370" s="509"/>
      <c r="I370" s="509"/>
      <c r="J370" s="509"/>
      <c r="K370" s="509"/>
      <c r="L370" s="509"/>
      <c r="M370" s="509"/>
      <c r="N370" s="509"/>
      <c r="O370" s="509"/>
      <c r="P370" s="509"/>
      <c r="Q370" s="509"/>
      <c r="R370" s="509"/>
      <c r="S370" s="509"/>
      <c r="T370" s="509"/>
      <c r="U370" s="509"/>
      <c r="V370" s="509"/>
      <c r="W370" s="509"/>
      <c r="X370" s="509"/>
      <c r="Y370" s="509"/>
      <c r="Z370" s="509"/>
      <c r="AA370" s="509"/>
      <c r="AB370" s="509"/>
      <c r="AC370" s="509"/>
      <c r="AD370" s="509"/>
    </row>
    <row r="371" spans="3:30">
      <c r="C371" s="509"/>
      <c r="D371" s="509"/>
      <c r="E371" s="509"/>
      <c r="F371" s="509"/>
      <c r="G371" s="509"/>
      <c r="H371" s="509"/>
      <c r="I371" s="509"/>
      <c r="J371" s="509"/>
      <c r="K371" s="509"/>
      <c r="L371" s="509"/>
      <c r="M371" s="509"/>
      <c r="N371" s="509"/>
      <c r="O371" s="509"/>
      <c r="P371" s="509"/>
      <c r="Q371" s="509"/>
      <c r="R371" s="509"/>
      <c r="S371" s="509"/>
      <c r="T371" s="509"/>
      <c r="U371" s="509"/>
      <c r="V371" s="509"/>
      <c r="W371" s="509"/>
      <c r="X371" s="509"/>
      <c r="Y371" s="509"/>
      <c r="Z371" s="509"/>
      <c r="AA371" s="509"/>
      <c r="AB371" s="509"/>
      <c r="AC371" s="509"/>
      <c r="AD371" s="509"/>
    </row>
    <row r="372" spans="3:30">
      <c r="C372" s="509"/>
      <c r="D372" s="509"/>
      <c r="E372" s="509"/>
      <c r="F372" s="509"/>
      <c r="G372" s="509"/>
      <c r="H372" s="509"/>
      <c r="I372" s="509"/>
      <c r="J372" s="509"/>
      <c r="K372" s="509"/>
      <c r="L372" s="509"/>
      <c r="M372" s="509"/>
      <c r="N372" s="509"/>
      <c r="O372" s="509"/>
      <c r="P372" s="509"/>
      <c r="Q372" s="509"/>
      <c r="R372" s="509"/>
      <c r="S372" s="509"/>
      <c r="T372" s="509"/>
      <c r="U372" s="509"/>
      <c r="V372" s="509"/>
      <c r="W372" s="509"/>
      <c r="X372" s="509"/>
      <c r="Y372" s="509"/>
      <c r="Z372" s="509"/>
      <c r="AA372" s="509"/>
      <c r="AB372" s="509"/>
      <c r="AC372" s="509"/>
      <c r="AD372" s="509"/>
    </row>
    <row r="373" spans="3:30">
      <c r="C373" s="509"/>
      <c r="D373" s="509"/>
      <c r="E373" s="509"/>
      <c r="F373" s="509"/>
      <c r="G373" s="509"/>
      <c r="H373" s="509"/>
      <c r="I373" s="509"/>
      <c r="J373" s="509"/>
      <c r="K373" s="509"/>
      <c r="L373" s="509"/>
      <c r="M373" s="509"/>
      <c r="N373" s="509"/>
      <c r="O373" s="509"/>
      <c r="P373" s="509"/>
      <c r="Q373" s="509"/>
      <c r="R373" s="509"/>
      <c r="S373" s="509"/>
      <c r="T373" s="509"/>
      <c r="U373" s="509"/>
      <c r="V373" s="509"/>
      <c r="W373" s="509"/>
      <c r="X373" s="509"/>
      <c r="Y373" s="509"/>
      <c r="Z373" s="509"/>
      <c r="AA373" s="509"/>
      <c r="AB373" s="509"/>
      <c r="AC373" s="509"/>
      <c r="AD373" s="509"/>
    </row>
    <row r="374" spans="3:30">
      <c r="C374" s="509"/>
      <c r="D374" s="509"/>
      <c r="E374" s="509"/>
      <c r="F374" s="509"/>
      <c r="G374" s="509"/>
      <c r="H374" s="509"/>
      <c r="I374" s="509"/>
      <c r="J374" s="509"/>
      <c r="K374" s="509"/>
      <c r="L374" s="509"/>
      <c r="M374" s="509"/>
      <c r="N374" s="509"/>
      <c r="O374" s="509"/>
      <c r="P374" s="509"/>
      <c r="Q374" s="509"/>
      <c r="R374" s="509"/>
      <c r="S374" s="509"/>
      <c r="T374" s="509"/>
      <c r="U374" s="509"/>
      <c r="V374" s="509"/>
      <c r="W374" s="509"/>
      <c r="X374" s="509"/>
      <c r="Y374" s="509"/>
      <c r="Z374" s="509"/>
      <c r="AA374" s="509"/>
      <c r="AB374" s="509"/>
      <c r="AC374" s="509"/>
      <c r="AD374" s="509"/>
    </row>
    <row r="375" spans="3:30">
      <c r="C375" s="509"/>
      <c r="D375" s="509"/>
      <c r="E375" s="509"/>
      <c r="F375" s="509"/>
      <c r="G375" s="509"/>
      <c r="H375" s="509"/>
      <c r="I375" s="509"/>
      <c r="J375" s="509"/>
      <c r="K375" s="509"/>
      <c r="L375" s="509"/>
      <c r="M375" s="509"/>
      <c r="N375" s="509"/>
      <c r="O375" s="509"/>
      <c r="P375" s="509"/>
      <c r="Q375" s="509"/>
      <c r="R375" s="509"/>
      <c r="S375" s="509"/>
      <c r="T375" s="509"/>
      <c r="U375" s="509"/>
      <c r="V375" s="509"/>
      <c r="W375" s="509"/>
      <c r="X375" s="509"/>
      <c r="Y375" s="509"/>
      <c r="Z375" s="509"/>
      <c r="AA375" s="509"/>
      <c r="AB375" s="509"/>
      <c r="AC375" s="509"/>
      <c r="AD375" s="509"/>
    </row>
    <row r="376" spans="3:30">
      <c r="C376" s="509"/>
      <c r="D376" s="509"/>
      <c r="E376" s="509"/>
      <c r="F376" s="509"/>
      <c r="G376" s="509"/>
      <c r="H376" s="509"/>
      <c r="I376" s="509"/>
      <c r="J376" s="509"/>
      <c r="K376" s="509"/>
      <c r="L376" s="509"/>
      <c r="M376" s="509"/>
      <c r="N376" s="509"/>
      <c r="O376" s="509"/>
      <c r="P376" s="509"/>
      <c r="Q376" s="509"/>
      <c r="R376" s="509"/>
      <c r="S376" s="509"/>
      <c r="T376" s="509"/>
      <c r="U376" s="509"/>
      <c r="V376" s="509"/>
      <c r="W376" s="509"/>
      <c r="X376" s="509"/>
      <c r="Y376" s="509"/>
      <c r="Z376" s="509"/>
      <c r="AA376" s="509"/>
      <c r="AB376" s="509"/>
      <c r="AC376" s="509"/>
      <c r="AD376" s="509"/>
    </row>
    <row r="377" spans="3:30">
      <c r="C377" s="509"/>
      <c r="D377" s="509"/>
      <c r="E377" s="509"/>
      <c r="F377" s="509"/>
      <c r="G377" s="509"/>
      <c r="H377" s="509"/>
      <c r="I377" s="509"/>
      <c r="J377" s="509"/>
      <c r="K377" s="509"/>
      <c r="L377" s="509"/>
      <c r="M377" s="509"/>
      <c r="N377" s="509"/>
      <c r="O377" s="509"/>
      <c r="P377" s="509"/>
      <c r="Q377" s="509"/>
      <c r="R377" s="509"/>
      <c r="S377" s="509"/>
      <c r="T377" s="509"/>
      <c r="U377" s="509"/>
      <c r="V377" s="509"/>
      <c r="W377" s="509"/>
      <c r="X377" s="509"/>
      <c r="Y377" s="509"/>
      <c r="Z377" s="509"/>
      <c r="AA377" s="509"/>
      <c r="AB377" s="509"/>
      <c r="AC377" s="509"/>
      <c r="AD377" s="509"/>
    </row>
    <row r="378" spans="3:30">
      <c r="C378" s="509"/>
      <c r="D378" s="509"/>
      <c r="E378" s="509"/>
      <c r="F378" s="509"/>
      <c r="G378" s="509"/>
      <c r="H378" s="509"/>
      <c r="I378" s="509"/>
      <c r="J378" s="509"/>
      <c r="K378" s="509"/>
      <c r="L378" s="509"/>
      <c r="M378" s="509"/>
      <c r="N378" s="509"/>
      <c r="O378" s="509"/>
      <c r="P378" s="509"/>
      <c r="Q378" s="509"/>
      <c r="R378" s="509"/>
      <c r="S378" s="509"/>
      <c r="T378" s="509"/>
      <c r="U378" s="509"/>
      <c r="V378" s="509"/>
      <c r="W378" s="509"/>
      <c r="X378" s="509"/>
      <c r="Y378" s="509"/>
      <c r="Z378" s="509"/>
      <c r="AA378" s="509"/>
      <c r="AB378" s="509"/>
      <c r="AC378" s="509"/>
      <c r="AD378" s="509"/>
    </row>
    <row r="379" spans="3:30">
      <c r="C379" s="509"/>
      <c r="D379" s="509"/>
      <c r="E379" s="509"/>
      <c r="F379" s="509"/>
      <c r="G379" s="509"/>
      <c r="H379" s="509"/>
      <c r="I379" s="509"/>
      <c r="J379" s="509"/>
      <c r="K379" s="509"/>
      <c r="L379" s="509"/>
      <c r="M379" s="509"/>
      <c r="N379" s="509"/>
      <c r="O379" s="509"/>
      <c r="P379" s="509"/>
      <c r="Q379" s="509"/>
      <c r="R379" s="509"/>
      <c r="S379" s="509"/>
      <c r="T379" s="509"/>
      <c r="U379" s="509"/>
      <c r="V379" s="509"/>
      <c r="W379" s="509"/>
      <c r="X379" s="509"/>
      <c r="Y379" s="509"/>
      <c r="Z379" s="509"/>
      <c r="AA379" s="509"/>
      <c r="AB379" s="509"/>
      <c r="AC379" s="509"/>
      <c r="AD379" s="509"/>
    </row>
    <row r="380" spans="3:30">
      <c r="C380" s="509"/>
      <c r="D380" s="509"/>
      <c r="E380" s="509"/>
      <c r="F380" s="509"/>
      <c r="G380" s="509"/>
      <c r="H380" s="509"/>
      <c r="I380" s="509"/>
      <c r="J380" s="509"/>
      <c r="K380" s="509"/>
      <c r="L380" s="509"/>
      <c r="M380" s="509"/>
      <c r="N380" s="509"/>
      <c r="O380" s="509"/>
      <c r="P380" s="509"/>
      <c r="Q380" s="509"/>
      <c r="R380" s="509"/>
      <c r="S380" s="509"/>
      <c r="T380" s="509"/>
      <c r="U380" s="509"/>
      <c r="V380" s="509"/>
      <c r="W380" s="509"/>
      <c r="X380" s="509"/>
      <c r="Y380" s="509"/>
      <c r="Z380" s="509"/>
      <c r="AA380" s="509"/>
      <c r="AB380" s="509"/>
      <c r="AC380" s="509"/>
      <c r="AD380" s="509"/>
    </row>
  </sheetData>
  <mergeCells count="12">
    <mergeCell ref="A1:AD1"/>
    <mergeCell ref="A2:AD2"/>
    <mergeCell ref="A3:AD3"/>
    <mergeCell ref="A4:AD4"/>
    <mergeCell ref="S7:V7"/>
    <mergeCell ref="W7:Z7"/>
    <mergeCell ref="AA7:AD7"/>
    <mergeCell ref="A44:B44"/>
    <mergeCell ref="C7:F7"/>
    <mergeCell ref="G7:J7"/>
    <mergeCell ref="K7:N7"/>
    <mergeCell ref="O7:R7"/>
  </mergeCells>
  <phoneticPr fontId="19" type="noConversion"/>
  <pageMargins left="0.39370078740157483" right="0" top="0.98425196850393704" bottom="0.98425196850393704" header="0" footer="0"/>
  <pageSetup paperSize="5" scale="69" orientation="landscape"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68"/>
  <sheetViews>
    <sheetView topLeftCell="P41" workbookViewId="0">
      <selection activeCell="G19" sqref="G19"/>
    </sheetView>
  </sheetViews>
  <sheetFormatPr baseColWidth="10" defaultColWidth="11.42578125" defaultRowHeight="12"/>
  <cols>
    <col min="1" max="1" width="12.28515625" style="398" customWidth="1"/>
    <col min="2" max="2" width="17.42578125" style="398" customWidth="1"/>
    <col min="3" max="30" width="7.140625" style="398" customWidth="1"/>
    <col min="31" max="31" width="9.7109375" style="398" customWidth="1"/>
    <col min="32" max="16384" width="11.42578125" style="398"/>
  </cols>
  <sheetData>
    <row r="1" spans="1:30">
      <c r="A1" s="1393" t="s">
        <v>954</v>
      </c>
      <c r="B1" s="1393"/>
      <c r="C1" s="1393"/>
      <c r="D1" s="1393"/>
      <c r="E1" s="1393"/>
      <c r="F1" s="1393"/>
      <c r="G1" s="1393"/>
      <c r="H1" s="1393"/>
      <c r="I1" s="1393"/>
      <c r="J1" s="1393"/>
      <c r="K1" s="1393"/>
      <c r="L1" s="1393"/>
      <c r="M1" s="1393"/>
      <c r="N1" s="1393"/>
      <c r="O1" s="1393"/>
      <c r="P1" s="1393"/>
      <c r="Q1" s="1393"/>
      <c r="R1" s="1393"/>
      <c r="S1" s="1393"/>
      <c r="T1" s="1393"/>
      <c r="U1" s="1393"/>
      <c r="V1" s="1393"/>
      <c r="W1" s="1393"/>
      <c r="X1" s="1393"/>
      <c r="Y1" s="1393"/>
      <c r="Z1" s="1393"/>
      <c r="AA1" s="1393"/>
      <c r="AB1" s="1393"/>
      <c r="AC1" s="1393"/>
      <c r="AD1" s="1393"/>
    </row>
    <row r="2" spans="1:30">
      <c r="A2" s="1393" t="s">
        <v>971</v>
      </c>
      <c r="B2" s="1393"/>
      <c r="C2" s="1393"/>
      <c r="D2" s="1393"/>
      <c r="E2" s="1393"/>
      <c r="F2" s="1393"/>
      <c r="G2" s="1393"/>
      <c r="H2" s="1393"/>
      <c r="I2" s="1393"/>
      <c r="J2" s="1393"/>
      <c r="K2" s="1393"/>
      <c r="L2" s="1393"/>
      <c r="M2" s="1393"/>
      <c r="N2" s="1393"/>
      <c r="O2" s="1393"/>
      <c r="P2" s="1393"/>
      <c r="Q2" s="1393"/>
      <c r="R2" s="1393"/>
      <c r="S2" s="1393"/>
      <c r="T2" s="1393"/>
      <c r="U2" s="1393"/>
      <c r="V2" s="1393"/>
      <c r="W2" s="1393"/>
      <c r="X2" s="1393"/>
      <c r="Y2" s="1393"/>
      <c r="Z2" s="1393"/>
      <c r="AA2" s="1393"/>
      <c r="AB2" s="1393"/>
      <c r="AC2" s="1393"/>
      <c r="AD2" s="1393"/>
    </row>
    <row r="3" spans="1:30">
      <c r="A3" s="1393" t="s">
        <v>910</v>
      </c>
      <c r="B3" s="1393"/>
      <c r="C3" s="1393"/>
      <c r="D3" s="1393"/>
      <c r="E3" s="1393"/>
      <c r="F3" s="1393"/>
      <c r="G3" s="1393"/>
      <c r="H3" s="1393"/>
      <c r="I3" s="1393"/>
      <c r="J3" s="1393"/>
      <c r="K3" s="1393"/>
      <c r="L3" s="1393"/>
      <c r="M3" s="1393"/>
      <c r="N3" s="1393"/>
      <c r="O3" s="1393"/>
      <c r="P3" s="1393"/>
      <c r="Q3" s="1393"/>
      <c r="R3" s="1393"/>
      <c r="S3" s="1393"/>
      <c r="T3" s="1393"/>
      <c r="U3" s="1393"/>
      <c r="V3" s="1393"/>
      <c r="W3" s="1393"/>
      <c r="X3" s="1393"/>
      <c r="Y3" s="1393"/>
      <c r="Z3" s="1393"/>
      <c r="AA3" s="1393"/>
      <c r="AB3" s="1393"/>
      <c r="AC3" s="1393"/>
      <c r="AD3" s="1393"/>
    </row>
    <row r="4" spans="1:30">
      <c r="A4" s="1393" t="str">
        <f>+'43'!A4:AD4</f>
        <v>2012 - 2015</v>
      </c>
      <c r="B4" s="1393"/>
      <c r="C4" s="1393"/>
      <c r="D4" s="1393"/>
      <c r="E4" s="1393"/>
      <c r="F4" s="1393"/>
      <c r="G4" s="1393"/>
      <c r="H4" s="1393"/>
      <c r="I4" s="1393"/>
      <c r="J4" s="1393"/>
      <c r="K4" s="1393"/>
      <c r="L4" s="1393"/>
      <c r="M4" s="1393"/>
      <c r="N4" s="1393"/>
      <c r="O4" s="1393"/>
      <c r="P4" s="1393"/>
      <c r="Q4" s="1393"/>
      <c r="R4" s="1393"/>
      <c r="S4" s="1393"/>
      <c r="T4" s="1393"/>
      <c r="U4" s="1393"/>
      <c r="V4" s="1393"/>
      <c r="W4" s="1393"/>
      <c r="X4" s="1393"/>
      <c r="Y4" s="1393"/>
      <c r="Z4" s="1393"/>
      <c r="AA4" s="1393"/>
      <c r="AB4" s="1393"/>
      <c r="AC4" s="1393"/>
      <c r="AD4" s="1393"/>
    </row>
    <row r="7" spans="1:30" s="507" customFormat="1" ht="22.5" customHeight="1">
      <c r="A7" s="465" t="s">
        <v>554</v>
      </c>
      <c r="B7" s="506" t="s">
        <v>866</v>
      </c>
      <c r="C7" s="1384" t="s">
        <v>956</v>
      </c>
      <c r="D7" s="1385"/>
      <c r="E7" s="1385"/>
      <c r="F7" s="1386"/>
      <c r="G7" s="1385" t="s">
        <v>957</v>
      </c>
      <c r="H7" s="1385"/>
      <c r="I7" s="1385"/>
      <c r="J7" s="1385"/>
      <c r="K7" s="1384" t="s">
        <v>958</v>
      </c>
      <c r="L7" s="1385"/>
      <c r="M7" s="1385"/>
      <c r="N7" s="1386"/>
      <c r="O7" s="1385" t="s">
        <v>959</v>
      </c>
      <c r="P7" s="1385"/>
      <c r="Q7" s="1385"/>
      <c r="R7" s="1385"/>
      <c r="S7" s="1384" t="s">
        <v>960</v>
      </c>
      <c r="T7" s="1385"/>
      <c r="U7" s="1385"/>
      <c r="V7" s="1386"/>
      <c r="W7" s="1385" t="s">
        <v>961</v>
      </c>
      <c r="X7" s="1385"/>
      <c r="Y7" s="1385"/>
      <c r="Z7" s="1385"/>
      <c r="AA7" s="1384" t="s">
        <v>656</v>
      </c>
      <c r="AB7" s="1385"/>
      <c r="AC7" s="1385"/>
      <c r="AD7" s="1386"/>
    </row>
    <row r="8" spans="1:30" s="507" customFormat="1" ht="22.5" customHeight="1">
      <c r="A8" s="487"/>
      <c r="B8" s="487"/>
      <c r="C8" s="488">
        <f>+'41'!C8</f>
        <v>2012</v>
      </c>
      <c r="D8" s="489">
        <f>+'41'!D8</f>
        <v>2013</v>
      </c>
      <c r="E8" s="489">
        <f>+'41'!E8</f>
        <v>2014</v>
      </c>
      <c r="F8" s="490">
        <f>+'41'!F8</f>
        <v>2015</v>
      </c>
      <c r="G8" s="488">
        <f>+'41'!G8</f>
        <v>2012</v>
      </c>
      <c r="H8" s="489">
        <f>+'41'!H8</f>
        <v>2013</v>
      </c>
      <c r="I8" s="489">
        <f>+'41'!I8</f>
        <v>2014</v>
      </c>
      <c r="J8" s="490">
        <f>+'41'!J8</f>
        <v>2015</v>
      </c>
      <c r="K8" s="489">
        <f>+'41'!K8</f>
        <v>2012</v>
      </c>
      <c r="L8" s="489">
        <f>+'41'!L8</f>
        <v>2013</v>
      </c>
      <c r="M8" s="489">
        <f>+'41'!M8</f>
        <v>2014</v>
      </c>
      <c r="N8" s="489">
        <f>+'41'!N8</f>
        <v>2015</v>
      </c>
      <c r="O8" s="488">
        <f>+'41'!O8</f>
        <v>2012</v>
      </c>
      <c r="P8" s="489">
        <f>+'41'!P8</f>
        <v>2013</v>
      </c>
      <c r="Q8" s="489">
        <f>+'41'!Q8</f>
        <v>2014</v>
      </c>
      <c r="R8" s="490">
        <f>+'41'!R8</f>
        <v>2015</v>
      </c>
      <c r="S8" s="489">
        <f>+'41'!S8</f>
        <v>2012</v>
      </c>
      <c r="T8" s="489">
        <f>+'41'!T8</f>
        <v>2013</v>
      </c>
      <c r="U8" s="489">
        <f>+'41'!U8</f>
        <v>2014</v>
      </c>
      <c r="V8" s="490">
        <f>+'41'!V8</f>
        <v>2015</v>
      </c>
      <c r="W8" s="488">
        <f>+'41'!W8</f>
        <v>2012</v>
      </c>
      <c r="X8" s="489">
        <f>+'41'!X8</f>
        <v>2013</v>
      </c>
      <c r="Y8" s="489">
        <f>+'41'!Y8</f>
        <v>2014</v>
      </c>
      <c r="Z8" s="490">
        <f>+'41'!Z8</f>
        <v>2015</v>
      </c>
      <c r="AA8" s="488">
        <f>+'41'!AA8</f>
        <v>2012</v>
      </c>
      <c r="AB8" s="489">
        <f>+'41'!AB8</f>
        <v>2013</v>
      </c>
      <c r="AC8" s="489">
        <f>+'41'!AC8</f>
        <v>2014</v>
      </c>
      <c r="AD8" s="490">
        <f>+'41'!AD8</f>
        <v>2015</v>
      </c>
    </row>
    <row r="9" spans="1:30" s="507" customFormat="1" ht="22.5" customHeight="1">
      <c r="A9" s="491" t="s">
        <v>962</v>
      </c>
      <c r="B9" s="299" t="s">
        <v>1480</v>
      </c>
      <c r="C9" s="370">
        <v>10914</v>
      </c>
      <c r="D9" s="370">
        <v>9009</v>
      </c>
      <c r="E9" s="370">
        <v>9485</v>
      </c>
      <c r="F9" s="492">
        <v>10827</v>
      </c>
      <c r="G9" s="370">
        <v>2312</v>
      </c>
      <c r="H9" s="370">
        <v>2065</v>
      </c>
      <c r="I9" s="370">
        <v>1352</v>
      </c>
      <c r="J9" s="492">
        <v>1003</v>
      </c>
      <c r="K9" s="370">
        <v>1559</v>
      </c>
      <c r="L9" s="370">
        <v>1109</v>
      </c>
      <c r="M9" s="370">
        <v>615</v>
      </c>
      <c r="N9" s="492">
        <v>446</v>
      </c>
      <c r="O9" s="370">
        <v>2625</v>
      </c>
      <c r="P9" s="370">
        <v>2066</v>
      </c>
      <c r="Q9" s="370">
        <v>1824</v>
      </c>
      <c r="R9" s="492">
        <v>1907</v>
      </c>
      <c r="S9" s="370">
        <v>376</v>
      </c>
      <c r="T9" s="370">
        <v>396</v>
      </c>
      <c r="U9" s="370">
        <v>348</v>
      </c>
      <c r="V9" s="492">
        <v>447</v>
      </c>
      <c r="W9" s="370">
        <v>258</v>
      </c>
      <c r="X9" s="370">
        <v>255</v>
      </c>
      <c r="Y9" s="370">
        <v>52</v>
      </c>
      <c r="Z9" s="370">
        <v>10</v>
      </c>
      <c r="AA9" s="369">
        <f t="shared" ref="AA9:AD12" si="0">+W9+S9+O9+K9+G9+C9</f>
        <v>18044</v>
      </c>
      <c r="AB9" s="370">
        <f t="shared" si="0"/>
        <v>14900</v>
      </c>
      <c r="AC9" s="370">
        <f t="shared" si="0"/>
        <v>13676</v>
      </c>
      <c r="AD9" s="492">
        <f t="shared" si="0"/>
        <v>14640</v>
      </c>
    </row>
    <row r="10" spans="1:30" s="507" customFormat="1" ht="22.5" customHeight="1">
      <c r="A10" s="491"/>
      <c r="B10" s="299" t="s">
        <v>1481</v>
      </c>
      <c r="C10" s="370">
        <v>16030</v>
      </c>
      <c r="D10" s="370">
        <v>12264</v>
      </c>
      <c r="E10" s="370">
        <v>10633</v>
      </c>
      <c r="F10" s="492">
        <v>9075</v>
      </c>
      <c r="G10" s="370">
        <v>1019</v>
      </c>
      <c r="H10" s="370">
        <v>1010</v>
      </c>
      <c r="I10" s="370">
        <v>1094</v>
      </c>
      <c r="J10" s="492">
        <v>1000</v>
      </c>
      <c r="K10" s="370">
        <v>297</v>
      </c>
      <c r="L10" s="370">
        <v>250</v>
      </c>
      <c r="M10" s="370">
        <v>252</v>
      </c>
      <c r="N10" s="492">
        <v>244</v>
      </c>
      <c r="O10" s="370">
        <v>3273</v>
      </c>
      <c r="P10" s="370">
        <v>3827</v>
      </c>
      <c r="Q10" s="370">
        <v>3105</v>
      </c>
      <c r="R10" s="492">
        <v>2120</v>
      </c>
      <c r="S10" s="370">
        <v>513</v>
      </c>
      <c r="T10" s="370">
        <v>393</v>
      </c>
      <c r="U10" s="370">
        <v>510</v>
      </c>
      <c r="V10" s="492">
        <v>558</v>
      </c>
      <c r="W10" s="370">
        <v>552</v>
      </c>
      <c r="X10" s="370">
        <v>53</v>
      </c>
      <c r="Y10" s="370"/>
      <c r="Z10" s="370"/>
      <c r="AA10" s="369">
        <f t="shared" si="0"/>
        <v>21684</v>
      </c>
      <c r="AB10" s="370">
        <f t="shared" si="0"/>
        <v>17797</v>
      </c>
      <c r="AC10" s="370">
        <f t="shared" si="0"/>
        <v>15594</v>
      </c>
      <c r="AD10" s="492">
        <f t="shared" si="0"/>
        <v>12997</v>
      </c>
    </row>
    <row r="11" spans="1:30" s="507" customFormat="1" ht="22.5" customHeight="1">
      <c r="A11" s="491"/>
      <c r="B11" s="343" t="s">
        <v>829</v>
      </c>
      <c r="C11" s="370">
        <v>2240</v>
      </c>
      <c r="D11" s="370">
        <v>1701</v>
      </c>
      <c r="E11" s="370">
        <v>2196</v>
      </c>
      <c r="F11" s="492">
        <v>2205</v>
      </c>
      <c r="G11" s="370">
        <v>367</v>
      </c>
      <c r="H11" s="370">
        <v>319</v>
      </c>
      <c r="I11" s="370">
        <v>182</v>
      </c>
      <c r="J11" s="492">
        <v>150</v>
      </c>
      <c r="K11" s="370">
        <v>132</v>
      </c>
      <c r="L11" s="370">
        <v>76</v>
      </c>
      <c r="M11" s="370">
        <v>78</v>
      </c>
      <c r="N11" s="492">
        <v>72</v>
      </c>
      <c r="O11" s="370">
        <v>485</v>
      </c>
      <c r="P11" s="370">
        <v>357</v>
      </c>
      <c r="Q11" s="370">
        <v>593</v>
      </c>
      <c r="R11" s="492">
        <v>490</v>
      </c>
      <c r="S11" s="370">
        <v>26</v>
      </c>
      <c r="T11" s="370">
        <v>61</v>
      </c>
      <c r="U11" s="370">
        <v>128</v>
      </c>
      <c r="V11" s="492">
        <v>50</v>
      </c>
      <c r="W11" s="370">
        <v>45</v>
      </c>
      <c r="X11" s="370">
        <v>44</v>
      </c>
      <c r="Y11" s="370">
        <v>30</v>
      </c>
      <c r="Z11" s="370"/>
      <c r="AA11" s="369">
        <f t="shared" si="0"/>
        <v>3295</v>
      </c>
      <c r="AB11" s="370">
        <f t="shared" si="0"/>
        <v>2558</v>
      </c>
      <c r="AC11" s="370">
        <f t="shared" si="0"/>
        <v>3207</v>
      </c>
      <c r="AD11" s="492">
        <f t="shared" si="0"/>
        <v>2967</v>
      </c>
    </row>
    <row r="12" spans="1:30" s="507" customFormat="1" ht="22.5" customHeight="1">
      <c r="A12" s="491"/>
      <c r="B12" s="299" t="s">
        <v>1282</v>
      </c>
      <c r="C12" s="370">
        <v>525</v>
      </c>
      <c r="D12" s="370">
        <v>428</v>
      </c>
      <c r="E12" s="370">
        <v>508</v>
      </c>
      <c r="F12" s="492">
        <v>423</v>
      </c>
      <c r="G12" s="370">
        <v>81</v>
      </c>
      <c r="H12" s="370">
        <v>110</v>
      </c>
      <c r="I12" s="370">
        <v>71</v>
      </c>
      <c r="J12" s="492">
        <v>48</v>
      </c>
      <c r="K12" s="370">
        <v>7</v>
      </c>
      <c r="L12" s="370">
        <v>33</v>
      </c>
      <c r="M12" s="370">
        <v>34</v>
      </c>
      <c r="N12" s="492">
        <v>27</v>
      </c>
      <c r="O12" s="370">
        <v>119</v>
      </c>
      <c r="P12" s="370">
        <v>77</v>
      </c>
      <c r="Q12" s="370">
        <v>105</v>
      </c>
      <c r="R12" s="492">
        <v>67</v>
      </c>
      <c r="S12" s="370">
        <v>8</v>
      </c>
      <c r="T12" s="370">
        <v>11</v>
      </c>
      <c r="U12" s="370">
        <v>14</v>
      </c>
      <c r="V12" s="492">
        <v>5</v>
      </c>
      <c r="W12" s="370">
        <v>8</v>
      </c>
      <c r="X12" s="370">
        <v>40</v>
      </c>
      <c r="Y12" s="370">
        <v>5</v>
      </c>
      <c r="Z12" s="370">
        <v>5</v>
      </c>
      <c r="AA12" s="369">
        <f t="shared" si="0"/>
        <v>748</v>
      </c>
      <c r="AB12" s="370">
        <f t="shared" si="0"/>
        <v>699</v>
      </c>
      <c r="AC12" s="370">
        <f t="shared" si="0"/>
        <v>737</v>
      </c>
      <c r="AD12" s="492">
        <f>+Z12+V12+R12+N12+J12+F12</f>
        <v>575</v>
      </c>
    </row>
    <row r="13" spans="1:30" s="507" customFormat="1" ht="22.5" customHeight="1">
      <c r="A13" s="491"/>
      <c r="B13" s="343" t="s">
        <v>644</v>
      </c>
      <c r="C13" s="370">
        <f t="shared" ref="C13" si="1">SUM(C9:C12)</f>
        <v>29709</v>
      </c>
      <c r="D13" s="370">
        <f>SUM(D9:D12)</f>
        <v>23402</v>
      </c>
      <c r="E13" s="370">
        <f>SUM(E9:E12)</f>
        <v>22822</v>
      </c>
      <c r="F13" s="492">
        <f>SUM(F9:F12)</f>
        <v>22530</v>
      </c>
      <c r="G13" s="370">
        <f t="shared" ref="G13:I13" si="2">SUM(G9:G12)</f>
        <v>3779</v>
      </c>
      <c r="H13" s="370">
        <f t="shared" si="2"/>
        <v>3504</v>
      </c>
      <c r="I13" s="370">
        <f t="shared" si="2"/>
        <v>2699</v>
      </c>
      <c r="J13" s="492">
        <f t="shared" ref="J13:AD13" si="3">SUM(J9:J12)</f>
        <v>2201</v>
      </c>
      <c r="K13" s="370">
        <f t="shared" ref="K13:M13" si="4">SUM(K9:K12)</f>
        <v>1995</v>
      </c>
      <c r="L13" s="370">
        <f t="shared" si="4"/>
        <v>1468</v>
      </c>
      <c r="M13" s="370">
        <f t="shared" si="4"/>
        <v>979</v>
      </c>
      <c r="N13" s="492">
        <f t="shared" si="3"/>
        <v>789</v>
      </c>
      <c r="O13" s="370">
        <f t="shared" ref="O13:Q13" si="5">SUM(O9:O12)</f>
        <v>6502</v>
      </c>
      <c r="P13" s="370">
        <f t="shared" si="5"/>
        <v>6327</v>
      </c>
      <c r="Q13" s="370">
        <f t="shared" si="5"/>
        <v>5627</v>
      </c>
      <c r="R13" s="492">
        <f t="shared" si="3"/>
        <v>4584</v>
      </c>
      <c r="S13" s="370">
        <f t="shared" ref="S13:U13" si="6">SUM(S9:S12)</f>
        <v>923</v>
      </c>
      <c r="T13" s="370">
        <f t="shared" si="6"/>
        <v>861</v>
      </c>
      <c r="U13" s="370">
        <f t="shared" si="6"/>
        <v>1000</v>
      </c>
      <c r="V13" s="492">
        <f t="shared" si="3"/>
        <v>1060</v>
      </c>
      <c r="W13" s="370">
        <f t="shared" ref="W13:Y13" si="7">SUM(W9:W12)</f>
        <v>863</v>
      </c>
      <c r="X13" s="370">
        <f t="shared" si="7"/>
        <v>392</v>
      </c>
      <c r="Y13" s="370">
        <f t="shared" si="7"/>
        <v>87</v>
      </c>
      <c r="Z13" s="492">
        <f t="shared" si="3"/>
        <v>15</v>
      </c>
      <c r="AA13" s="369">
        <f t="shared" si="3"/>
        <v>43771</v>
      </c>
      <c r="AB13" s="370">
        <f t="shared" si="3"/>
        <v>35954</v>
      </c>
      <c r="AC13" s="370">
        <f t="shared" si="3"/>
        <v>33214</v>
      </c>
      <c r="AD13" s="492">
        <f t="shared" si="3"/>
        <v>31179</v>
      </c>
    </row>
    <row r="14" spans="1:30" s="507" customFormat="1" ht="22.5" customHeight="1">
      <c r="A14" s="491" t="s">
        <v>540</v>
      </c>
      <c r="B14" s="343" t="s">
        <v>830</v>
      </c>
      <c r="C14" s="370">
        <v>7803</v>
      </c>
      <c r="D14" s="370">
        <v>6414</v>
      </c>
      <c r="E14" s="370">
        <v>8330</v>
      </c>
      <c r="F14" s="492">
        <v>7952</v>
      </c>
      <c r="G14" s="370">
        <v>1100</v>
      </c>
      <c r="H14" s="370">
        <v>1467</v>
      </c>
      <c r="I14" s="370">
        <v>841</v>
      </c>
      <c r="J14" s="492">
        <v>654</v>
      </c>
      <c r="K14" s="370">
        <v>423</v>
      </c>
      <c r="L14" s="370">
        <v>476</v>
      </c>
      <c r="M14" s="370">
        <v>314</v>
      </c>
      <c r="N14" s="492">
        <v>423</v>
      </c>
      <c r="O14" s="370">
        <v>937</v>
      </c>
      <c r="P14" s="370">
        <v>1030</v>
      </c>
      <c r="Q14" s="370">
        <v>913</v>
      </c>
      <c r="R14" s="492">
        <v>579</v>
      </c>
      <c r="S14" s="370">
        <v>379</v>
      </c>
      <c r="T14" s="370">
        <v>656</v>
      </c>
      <c r="U14" s="370">
        <v>954</v>
      </c>
      <c r="V14" s="492">
        <v>1326</v>
      </c>
      <c r="W14" s="370"/>
      <c r="X14" s="370">
        <v>2</v>
      </c>
      <c r="Y14" s="370"/>
      <c r="Z14" s="492"/>
      <c r="AA14" s="369">
        <f>+W14+S14+O14+K14+G14+C14</f>
        <v>10642</v>
      </c>
      <c r="AB14" s="370">
        <f>+X14+T14+P14+L14+H14+D14</f>
        <v>10045</v>
      </c>
      <c r="AC14" s="370">
        <f>+Y14+U14+Q14+M14+I14+E14</f>
        <v>11352</v>
      </c>
      <c r="AD14" s="492">
        <f>+Z14+V14+R14+N14+J14+F14</f>
        <v>10934</v>
      </c>
    </row>
    <row r="15" spans="1:30" s="507" customFormat="1" ht="22.5" customHeight="1">
      <c r="A15" s="491"/>
      <c r="B15" s="251" t="s">
        <v>1287</v>
      </c>
      <c r="C15" s="370">
        <v>2240</v>
      </c>
      <c r="D15" s="370">
        <v>961</v>
      </c>
      <c r="E15" s="370">
        <v>1069</v>
      </c>
      <c r="F15" s="492">
        <v>1167</v>
      </c>
      <c r="G15" s="370">
        <v>367</v>
      </c>
      <c r="H15" s="370">
        <v>319</v>
      </c>
      <c r="I15" s="370">
        <v>229</v>
      </c>
      <c r="J15" s="492">
        <v>132</v>
      </c>
      <c r="K15" s="370">
        <v>132</v>
      </c>
      <c r="L15" s="370">
        <v>174</v>
      </c>
      <c r="M15" s="370">
        <v>175</v>
      </c>
      <c r="N15" s="492">
        <v>106</v>
      </c>
      <c r="O15" s="370">
        <v>485</v>
      </c>
      <c r="P15" s="370">
        <v>123</v>
      </c>
      <c r="Q15" s="370">
        <v>176</v>
      </c>
      <c r="R15" s="492">
        <v>81</v>
      </c>
      <c r="S15" s="370">
        <v>26</v>
      </c>
      <c r="T15" s="370"/>
      <c r="U15" s="370"/>
      <c r="V15" s="492"/>
      <c r="W15" s="370">
        <v>45</v>
      </c>
      <c r="X15" s="370"/>
      <c r="Y15" s="370"/>
      <c r="Z15" s="492"/>
      <c r="AA15" s="369">
        <f t="shared" ref="AA15:AA16" si="8">+W15+S15+O15+K15+G15+C15</f>
        <v>3295</v>
      </c>
      <c r="AB15" s="370">
        <f t="shared" ref="AB15:AD16" si="9">+X15+T15+P15+L15+H15+D15</f>
        <v>1577</v>
      </c>
      <c r="AC15" s="370">
        <f t="shared" si="9"/>
        <v>1649</v>
      </c>
      <c r="AD15" s="492">
        <f t="shared" si="9"/>
        <v>1486</v>
      </c>
    </row>
    <row r="16" spans="1:30" s="507" customFormat="1" ht="22.5" customHeight="1">
      <c r="A16" s="491"/>
      <c r="B16" s="299" t="s">
        <v>1284</v>
      </c>
      <c r="C16" s="370">
        <v>1092</v>
      </c>
      <c r="D16" s="370">
        <v>791</v>
      </c>
      <c r="E16" s="370">
        <v>964</v>
      </c>
      <c r="F16" s="492">
        <v>912</v>
      </c>
      <c r="G16" s="370">
        <v>294</v>
      </c>
      <c r="H16" s="370">
        <v>231</v>
      </c>
      <c r="I16" s="370">
        <v>155</v>
      </c>
      <c r="J16" s="492">
        <v>123</v>
      </c>
      <c r="K16" s="370">
        <v>63</v>
      </c>
      <c r="L16" s="370">
        <v>86</v>
      </c>
      <c r="M16" s="370">
        <v>93</v>
      </c>
      <c r="N16" s="492">
        <v>89</v>
      </c>
      <c r="O16" s="370">
        <v>172</v>
      </c>
      <c r="P16" s="370">
        <v>114</v>
      </c>
      <c r="Q16" s="370">
        <v>89</v>
      </c>
      <c r="R16" s="492">
        <v>74</v>
      </c>
      <c r="S16" s="370">
        <v>3</v>
      </c>
      <c r="T16" s="370"/>
      <c r="U16" s="370"/>
      <c r="V16" s="492"/>
      <c r="W16" s="370">
        <v>2</v>
      </c>
      <c r="X16" s="370">
        <v>5</v>
      </c>
      <c r="Y16" s="370"/>
      <c r="Z16" s="492"/>
      <c r="AA16" s="369">
        <f t="shared" si="8"/>
        <v>1626</v>
      </c>
      <c r="AB16" s="370">
        <f t="shared" si="9"/>
        <v>1227</v>
      </c>
      <c r="AC16" s="370">
        <f t="shared" si="9"/>
        <v>1301</v>
      </c>
      <c r="AD16" s="492">
        <f t="shared" si="9"/>
        <v>1198</v>
      </c>
    </row>
    <row r="17" spans="1:30" s="507" customFormat="1" ht="22.5" customHeight="1">
      <c r="A17" s="491"/>
      <c r="B17" s="343" t="s">
        <v>644</v>
      </c>
      <c r="C17" s="370">
        <f t="shared" ref="C17" si="10">SUM(C14:C16)</f>
        <v>11135</v>
      </c>
      <c r="D17" s="370">
        <f>SUM(D14:D16)</f>
        <v>8166</v>
      </c>
      <c r="E17" s="370">
        <f>SUM(E14:E16)</f>
        <v>10363</v>
      </c>
      <c r="F17" s="492">
        <f>SUM(F14:F16)</f>
        <v>10031</v>
      </c>
      <c r="G17" s="370">
        <f t="shared" ref="G17:I17" si="11">SUM(G14:G16)</f>
        <v>1761</v>
      </c>
      <c r="H17" s="370">
        <f t="shared" si="11"/>
        <v>2017</v>
      </c>
      <c r="I17" s="370">
        <f t="shared" si="11"/>
        <v>1225</v>
      </c>
      <c r="J17" s="492">
        <f t="shared" ref="J17:AD17" si="12">SUM(J14:J16)</f>
        <v>909</v>
      </c>
      <c r="K17" s="370">
        <f t="shared" ref="K17:M17" si="13">SUM(K14:K16)</f>
        <v>618</v>
      </c>
      <c r="L17" s="370">
        <f t="shared" si="13"/>
        <v>736</v>
      </c>
      <c r="M17" s="370">
        <f t="shared" si="13"/>
        <v>582</v>
      </c>
      <c r="N17" s="492">
        <f t="shared" si="12"/>
        <v>618</v>
      </c>
      <c r="O17" s="370">
        <f t="shared" ref="O17:Q17" si="14">SUM(O14:O16)</f>
        <v>1594</v>
      </c>
      <c r="P17" s="370">
        <f t="shared" si="14"/>
        <v>1267</v>
      </c>
      <c r="Q17" s="370">
        <f t="shared" si="14"/>
        <v>1178</v>
      </c>
      <c r="R17" s="492">
        <f t="shared" si="12"/>
        <v>734</v>
      </c>
      <c r="S17" s="370">
        <f t="shared" ref="S17:U17" si="15">SUM(S14:S16)</f>
        <v>408</v>
      </c>
      <c r="T17" s="370">
        <f t="shared" si="15"/>
        <v>656</v>
      </c>
      <c r="U17" s="370">
        <f t="shared" si="15"/>
        <v>954</v>
      </c>
      <c r="V17" s="492">
        <f t="shared" si="12"/>
        <v>1326</v>
      </c>
      <c r="W17" s="370">
        <f t="shared" ref="W17:Y17" si="16">SUM(W14:W16)</f>
        <v>47</v>
      </c>
      <c r="X17" s="370">
        <f t="shared" si="16"/>
        <v>7</v>
      </c>
      <c r="Y17" s="370">
        <f t="shared" si="16"/>
        <v>0</v>
      </c>
      <c r="Z17" s="492">
        <f t="shared" si="12"/>
        <v>0</v>
      </c>
      <c r="AA17" s="369">
        <f t="shared" si="12"/>
        <v>15563</v>
      </c>
      <c r="AB17" s="370">
        <f t="shared" si="12"/>
        <v>12849</v>
      </c>
      <c r="AC17" s="370">
        <f t="shared" si="12"/>
        <v>14302</v>
      </c>
      <c r="AD17" s="492">
        <f t="shared" si="12"/>
        <v>13618</v>
      </c>
    </row>
    <row r="18" spans="1:30" s="507" customFormat="1" ht="22.5" customHeight="1">
      <c r="A18" s="491" t="s">
        <v>963</v>
      </c>
      <c r="B18" s="343" t="s">
        <v>832</v>
      </c>
      <c r="C18" s="370">
        <v>6455</v>
      </c>
      <c r="D18" s="370">
        <v>4956</v>
      </c>
      <c r="E18" s="370">
        <v>7434</v>
      </c>
      <c r="F18" s="492">
        <v>6518</v>
      </c>
      <c r="G18" s="370">
        <v>1196</v>
      </c>
      <c r="H18" s="370">
        <v>1047</v>
      </c>
      <c r="I18" s="370">
        <v>235</v>
      </c>
      <c r="J18" s="492">
        <v>259</v>
      </c>
      <c r="K18" s="370">
        <v>460</v>
      </c>
      <c r="L18" s="370">
        <v>351</v>
      </c>
      <c r="M18" s="370">
        <v>884</v>
      </c>
      <c r="N18" s="492">
        <v>782</v>
      </c>
      <c r="O18" s="370">
        <v>984</v>
      </c>
      <c r="P18" s="370">
        <v>831</v>
      </c>
      <c r="Q18" s="370">
        <v>823</v>
      </c>
      <c r="R18" s="492">
        <v>1019</v>
      </c>
      <c r="S18" s="370">
        <v>145</v>
      </c>
      <c r="T18" s="370">
        <v>76</v>
      </c>
      <c r="U18" s="370">
        <v>437</v>
      </c>
      <c r="V18" s="492">
        <v>643</v>
      </c>
      <c r="W18" s="370"/>
      <c r="X18" s="370"/>
      <c r="Y18" s="370"/>
      <c r="Z18" s="492"/>
      <c r="AA18" s="369">
        <f t="shared" ref="AA18:AD19" si="17">+W18+S18+O18+K18+G18+C18</f>
        <v>9240</v>
      </c>
      <c r="AB18" s="370">
        <f t="shared" si="17"/>
        <v>7261</v>
      </c>
      <c r="AC18" s="370">
        <f t="shared" si="17"/>
        <v>9813</v>
      </c>
      <c r="AD18" s="492">
        <f t="shared" si="17"/>
        <v>9221</v>
      </c>
    </row>
    <row r="19" spans="1:30" s="507" customFormat="1" ht="22.5" customHeight="1">
      <c r="A19" s="491"/>
      <c r="B19" s="299" t="s">
        <v>1286</v>
      </c>
      <c r="C19" s="370">
        <v>855</v>
      </c>
      <c r="D19" s="370">
        <v>739</v>
      </c>
      <c r="E19" s="370">
        <v>729</v>
      </c>
      <c r="F19" s="492">
        <v>740</v>
      </c>
      <c r="G19" s="370">
        <v>179</v>
      </c>
      <c r="H19" s="370">
        <v>149</v>
      </c>
      <c r="I19" s="370">
        <v>105</v>
      </c>
      <c r="J19" s="492">
        <v>62</v>
      </c>
      <c r="K19" s="370">
        <v>35</v>
      </c>
      <c r="L19" s="370">
        <v>22</v>
      </c>
      <c r="M19" s="370">
        <v>50</v>
      </c>
      <c r="N19" s="492">
        <v>82</v>
      </c>
      <c r="O19" s="370">
        <v>132</v>
      </c>
      <c r="P19" s="370">
        <v>128</v>
      </c>
      <c r="Q19" s="370">
        <v>152</v>
      </c>
      <c r="R19" s="492">
        <v>140</v>
      </c>
      <c r="S19" s="370"/>
      <c r="T19" s="370"/>
      <c r="U19" s="370"/>
      <c r="V19" s="492"/>
      <c r="W19" s="370"/>
      <c r="X19" s="370"/>
      <c r="Y19" s="370">
        <v>14</v>
      </c>
      <c r="Z19" s="492"/>
      <c r="AA19" s="369">
        <f t="shared" si="17"/>
        <v>1201</v>
      </c>
      <c r="AB19" s="370">
        <f t="shared" si="17"/>
        <v>1038</v>
      </c>
      <c r="AC19" s="370">
        <f t="shared" si="17"/>
        <v>1050</v>
      </c>
      <c r="AD19" s="492">
        <f t="shared" si="17"/>
        <v>1024</v>
      </c>
    </row>
    <row r="20" spans="1:30" s="507" customFormat="1" ht="22.5" customHeight="1">
      <c r="A20" s="491"/>
      <c r="B20" s="343" t="s">
        <v>644</v>
      </c>
      <c r="C20" s="370">
        <f t="shared" ref="C20" si="18">SUM(C18:C19)</f>
        <v>7310</v>
      </c>
      <c r="D20" s="370">
        <f>SUM(D18:D19)</f>
        <v>5695</v>
      </c>
      <c r="E20" s="370">
        <f>SUM(E18:E19)</f>
        <v>8163</v>
      </c>
      <c r="F20" s="492">
        <f>SUM(F18:F19)</f>
        <v>7258</v>
      </c>
      <c r="G20" s="370">
        <f t="shared" ref="G20:I20" si="19">SUM(G18:G19)</f>
        <v>1375</v>
      </c>
      <c r="H20" s="370">
        <f t="shared" si="19"/>
        <v>1196</v>
      </c>
      <c r="I20" s="370">
        <f t="shared" si="19"/>
        <v>340</v>
      </c>
      <c r="J20" s="492">
        <f t="shared" ref="J20:AD20" si="20">SUM(J18:J19)</f>
        <v>321</v>
      </c>
      <c r="K20" s="370">
        <f t="shared" ref="K20:M20" si="21">SUM(K18:K19)</f>
        <v>495</v>
      </c>
      <c r="L20" s="370">
        <f t="shared" si="21"/>
        <v>373</v>
      </c>
      <c r="M20" s="370">
        <f t="shared" si="21"/>
        <v>934</v>
      </c>
      <c r="N20" s="492">
        <f t="shared" si="20"/>
        <v>864</v>
      </c>
      <c r="O20" s="370">
        <f t="shared" ref="O20:Q20" si="22">SUM(O18:O19)</f>
        <v>1116</v>
      </c>
      <c r="P20" s="370">
        <f t="shared" si="22"/>
        <v>959</v>
      </c>
      <c r="Q20" s="370">
        <f t="shared" si="22"/>
        <v>975</v>
      </c>
      <c r="R20" s="492">
        <f t="shared" si="20"/>
        <v>1159</v>
      </c>
      <c r="S20" s="370">
        <f t="shared" ref="S20:U20" si="23">SUM(S18:S19)</f>
        <v>145</v>
      </c>
      <c r="T20" s="370">
        <f t="shared" si="23"/>
        <v>76</v>
      </c>
      <c r="U20" s="370">
        <f t="shared" si="23"/>
        <v>437</v>
      </c>
      <c r="V20" s="492">
        <f t="shared" si="20"/>
        <v>643</v>
      </c>
      <c r="W20" s="370">
        <f t="shared" ref="W20:Y20" si="24">SUM(W18:W19)</f>
        <v>0</v>
      </c>
      <c r="X20" s="370">
        <f t="shared" si="24"/>
        <v>0</v>
      </c>
      <c r="Y20" s="370">
        <f t="shared" si="24"/>
        <v>14</v>
      </c>
      <c r="Z20" s="492">
        <f t="shared" si="20"/>
        <v>0</v>
      </c>
      <c r="AA20" s="369">
        <f t="shared" si="20"/>
        <v>10441</v>
      </c>
      <c r="AB20" s="370">
        <f t="shared" si="20"/>
        <v>8299</v>
      </c>
      <c r="AC20" s="370">
        <f t="shared" si="20"/>
        <v>10863</v>
      </c>
      <c r="AD20" s="492">
        <f t="shared" si="20"/>
        <v>10245</v>
      </c>
    </row>
    <row r="21" spans="1:30" s="507" customFormat="1" ht="22.5" customHeight="1">
      <c r="A21" s="491" t="s">
        <v>542</v>
      </c>
      <c r="B21" s="343" t="s">
        <v>833</v>
      </c>
      <c r="C21" s="370">
        <v>9025</v>
      </c>
      <c r="D21" s="370">
        <v>10092</v>
      </c>
      <c r="E21" s="370">
        <v>7865</v>
      </c>
      <c r="F21" s="492">
        <v>10053</v>
      </c>
      <c r="G21" s="370">
        <v>248</v>
      </c>
      <c r="H21" s="370">
        <v>244</v>
      </c>
      <c r="I21" s="370">
        <v>833</v>
      </c>
      <c r="J21" s="492">
        <v>609</v>
      </c>
      <c r="K21" s="370">
        <v>170</v>
      </c>
      <c r="L21" s="370">
        <v>779</v>
      </c>
      <c r="M21" s="370">
        <v>914</v>
      </c>
      <c r="N21" s="492">
        <v>822</v>
      </c>
      <c r="O21" s="370">
        <v>1436</v>
      </c>
      <c r="P21" s="370">
        <v>1428</v>
      </c>
      <c r="Q21" s="370">
        <v>1232</v>
      </c>
      <c r="R21" s="492">
        <v>1220</v>
      </c>
      <c r="S21" s="370">
        <v>286</v>
      </c>
      <c r="T21" s="370">
        <v>300</v>
      </c>
      <c r="U21" s="370">
        <v>430</v>
      </c>
      <c r="V21" s="492">
        <v>349</v>
      </c>
      <c r="W21" s="370"/>
      <c r="X21" s="370">
        <v>84</v>
      </c>
      <c r="Y21" s="370">
        <v>57</v>
      </c>
      <c r="Z21" s="492">
        <v>42</v>
      </c>
      <c r="AA21" s="369">
        <f>+W21+S21+O21+K21+G21+C21</f>
        <v>11165</v>
      </c>
      <c r="AB21" s="370">
        <f>+X21+T21+P21+L21+H21+D21</f>
        <v>12927</v>
      </c>
      <c r="AC21" s="370">
        <f>+Y21+U21+Q21+M21+I21+E21</f>
        <v>11331</v>
      </c>
      <c r="AD21" s="492">
        <f>+Z21+V21+R21+N21+J21+F21</f>
        <v>13095</v>
      </c>
    </row>
    <row r="22" spans="1:30" s="507" customFormat="1" ht="22.5" customHeight="1">
      <c r="A22" s="501" t="s">
        <v>964</v>
      </c>
      <c r="B22" s="1044"/>
      <c r="C22" s="499">
        <f t="shared" ref="C22" si="25">+C13+C17+C20+C21</f>
        <v>57179</v>
      </c>
      <c r="D22" s="499">
        <f>+D13+D17+D20+D21</f>
        <v>47355</v>
      </c>
      <c r="E22" s="499">
        <f>+E13+E17+E20+E21</f>
        <v>49213</v>
      </c>
      <c r="F22" s="500">
        <f>+F13+F17+F20+F21</f>
        <v>49872</v>
      </c>
      <c r="G22" s="499">
        <f t="shared" ref="G22:I22" si="26">+G13+G17+G20+G21</f>
        <v>7163</v>
      </c>
      <c r="H22" s="499">
        <f t="shared" si="26"/>
        <v>6961</v>
      </c>
      <c r="I22" s="499">
        <f t="shared" si="26"/>
        <v>5097</v>
      </c>
      <c r="J22" s="500">
        <f t="shared" ref="J22:AD22" si="27">+J13+J17+J20+J21</f>
        <v>4040</v>
      </c>
      <c r="K22" s="499">
        <f t="shared" ref="K22:M22" si="28">+K13+K17+K20+K21</f>
        <v>3278</v>
      </c>
      <c r="L22" s="499">
        <f t="shared" si="28"/>
        <v>3356</v>
      </c>
      <c r="M22" s="499">
        <f t="shared" si="28"/>
        <v>3409</v>
      </c>
      <c r="N22" s="500">
        <f t="shared" si="27"/>
        <v>3093</v>
      </c>
      <c r="O22" s="499">
        <f t="shared" ref="O22:Q22" si="29">+O13+O17+O20+O21</f>
        <v>10648</v>
      </c>
      <c r="P22" s="499">
        <f t="shared" si="29"/>
        <v>9981</v>
      </c>
      <c r="Q22" s="499">
        <f t="shared" si="29"/>
        <v>9012</v>
      </c>
      <c r="R22" s="500">
        <f t="shared" si="27"/>
        <v>7697</v>
      </c>
      <c r="S22" s="499">
        <f t="shared" ref="S22:U22" si="30">+S13+S17+S20+S21</f>
        <v>1762</v>
      </c>
      <c r="T22" s="499">
        <f t="shared" si="30"/>
        <v>1893</v>
      </c>
      <c r="U22" s="499">
        <f t="shared" si="30"/>
        <v>2821</v>
      </c>
      <c r="V22" s="500">
        <f t="shared" si="27"/>
        <v>3378</v>
      </c>
      <c r="W22" s="499">
        <f t="shared" ref="W22:Y22" si="31">+W13+W17+W20+W21</f>
        <v>910</v>
      </c>
      <c r="X22" s="499">
        <f t="shared" si="31"/>
        <v>483</v>
      </c>
      <c r="Y22" s="499">
        <f t="shared" si="31"/>
        <v>158</v>
      </c>
      <c r="Z22" s="500">
        <f t="shared" si="27"/>
        <v>57</v>
      </c>
      <c r="AA22" s="499">
        <f t="shared" si="27"/>
        <v>80940</v>
      </c>
      <c r="AB22" s="499">
        <f t="shared" si="27"/>
        <v>70029</v>
      </c>
      <c r="AC22" s="499">
        <f t="shared" si="27"/>
        <v>69710</v>
      </c>
      <c r="AD22" s="500">
        <f t="shared" si="27"/>
        <v>68137</v>
      </c>
    </row>
    <row r="23" spans="1:30" s="507" customFormat="1" ht="22.5" customHeight="1">
      <c r="A23" s="491" t="s">
        <v>965</v>
      </c>
      <c r="B23" s="299" t="s">
        <v>1483</v>
      </c>
      <c r="C23" s="370">
        <v>14492</v>
      </c>
      <c r="D23" s="370">
        <v>13833</v>
      </c>
      <c r="E23" s="370">
        <v>13473</v>
      </c>
      <c r="F23" s="492">
        <v>13315</v>
      </c>
      <c r="G23" s="370">
        <v>2012</v>
      </c>
      <c r="H23" s="370">
        <v>1928</v>
      </c>
      <c r="I23" s="370">
        <v>1090</v>
      </c>
      <c r="J23" s="492">
        <v>624</v>
      </c>
      <c r="K23" s="370">
        <v>801</v>
      </c>
      <c r="L23" s="370">
        <v>933</v>
      </c>
      <c r="M23" s="370">
        <v>872</v>
      </c>
      <c r="N23" s="492">
        <v>524</v>
      </c>
      <c r="O23" s="370">
        <v>3628</v>
      </c>
      <c r="P23" s="370">
        <v>2934</v>
      </c>
      <c r="Q23" s="370">
        <v>2611</v>
      </c>
      <c r="R23" s="492">
        <v>1994</v>
      </c>
      <c r="S23" s="370">
        <v>710</v>
      </c>
      <c r="T23" s="370">
        <v>484</v>
      </c>
      <c r="U23" s="370">
        <v>592</v>
      </c>
      <c r="V23" s="492">
        <v>907</v>
      </c>
      <c r="W23" s="370"/>
      <c r="X23" s="370"/>
      <c r="Y23" s="370"/>
      <c r="Z23" s="492"/>
      <c r="AA23" s="369">
        <f t="shared" ref="AA23:AB26" si="32">+W23+S23+O23+K23+G23+C23</f>
        <v>21643</v>
      </c>
      <c r="AB23" s="370">
        <f t="shared" si="32"/>
        <v>20112</v>
      </c>
      <c r="AC23" s="370">
        <f t="shared" ref="AC23:AD26" si="33">+Y23+U23+Q23+M23+I23+E23</f>
        <v>18638</v>
      </c>
      <c r="AD23" s="492">
        <f t="shared" si="33"/>
        <v>17364</v>
      </c>
    </row>
    <row r="24" spans="1:30" s="507" customFormat="1" ht="22.5" customHeight="1">
      <c r="A24" s="491"/>
      <c r="B24" s="299" t="s">
        <v>1482</v>
      </c>
      <c r="C24" s="370">
        <v>18389</v>
      </c>
      <c r="D24" s="370">
        <v>18981</v>
      </c>
      <c r="E24" s="370">
        <v>20959</v>
      </c>
      <c r="F24" s="492">
        <v>19842</v>
      </c>
      <c r="G24" s="370">
        <v>1985</v>
      </c>
      <c r="H24" s="370">
        <v>1671</v>
      </c>
      <c r="I24" s="370">
        <v>1499</v>
      </c>
      <c r="J24" s="492">
        <v>901</v>
      </c>
      <c r="K24" s="370">
        <v>8681</v>
      </c>
      <c r="L24" s="370">
        <v>8645</v>
      </c>
      <c r="M24" s="370">
        <v>1088</v>
      </c>
      <c r="N24" s="492">
        <v>1366</v>
      </c>
      <c r="O24" s="370">
        <v>1094</v>
      </c>
      <c r="P24" s="370">
        <v>2012</v>
      </c>
      <c r="Q24" s="370">
        <v>2518</v>
      </c>
      <c r="R24" s="492">
        <v>2223</v>
      </c>
      <c r="S24" s="370">
        <v>1109</v>
      </c>
      <c r="T24" s="370">
        <v>1478</v>
      </c>
      <c r="U24" s="370">
        <v>1595</v>
      </c>
      <c r="V24" s="492">
        <v>1544</v>
      </c>
      <c r="W24" s="370">
        <v>147</v>
      </c>
      <c r="X24" s="370">
        <v>115</v>
      </c>
      <c r="Y24" s="370">
        <v>75</v>
      </c>
      <c r="Z24" s="492"/>
      <c r="AA24" s="369">
        <f t="shared" si="32"/>
        <v>31405</v>
      </c>
      <c r="AB24" s="370">
        <f t="shared" si="32"/>
        <v>32902</v>
      </c>
      <c r="AC24" s="370">
        <f t="shared" si="33"/>
        <v>27734</v>
      </c>
      <c r="AD24" s="492">
        <f t="shared" si="33"/>
        <v>25876</v>
      </c>
    </row>
    <row r="25" spans="1:30" s="507" customFormat="1" ht="22.5" customHeight="1">
      <c r="A25" s="491"/>
      <c r="B25" s="343" t="s">
        <v>550</v>
      </c>
      <c r="C25" s="370">
        <v>1786</v>
      </c>
      <c r="D25" s="370">
        <v>1938</v>
      </c>
      <c r="E25" s="370">
        <v>2192</v>
      </c>
      <c r="F25" s="492">
        <v>1934</v>
      </c>
      <c r="G25" s="370">
        <v>530</v>
      </c>
      <c r="H25" s="370">
        <v>470</v>
      </c>
      <c r="I25" s="370">
        <v>220</v>
      </c>
      <c r="J25" s="492">
        <v>150</v>
      </c>
      <c r="K25" s="370">
        <v>817</v>
      </c>
      <c r="L25" s="370">
        <v>752</v>
      </c>
      <c r="M25" s="370">
        <v>140</v>
      </c>
      <c r="N25" s="492">
        <v>120</v>
      </c>
      <c r="O25" s="370">
        <v>238</v>
      </c>
      <c r="P25" s="370">
        <v>339</v>
      </c>
      <c r="Q25" s="370">
        <v>381</v>
      </c>
      <c r="R25" s="492">
        <v>301</v>
      </c>
      <c r="S25" s="370">
        <v>45</v>
      </c>
      <c r="T25" s="370">
        <v>89</v>
      </c>
      <c r="U25" s="370">
        <v>65</v>
      </c>
      <c r="V25" s="492">
        <v>111</v>
      </c>
      <c r="W25" s="370">
        <v>17</v>
      </c>
      <c r="X25" s="370"/>
      <c r="Y25" s="370"/>
      <c r="Z25" s="492">
        <v>1</v>
      </c>
      <c r="AA25" s="369">
        <f t="shared" si="32"/>
        <v>3433</v>
      </c>
      <c r="AB25" s="370">
        <f t="shared" si="32"/>
        <v>3588</v>
      </c>
      <c r="AC25" s="370">
        <f t="shared" si="33"/>
        <v>2998</v>
      </c>
      <c r="AD25" s="492">
        <f t="shared" si="33"/>
        <v>2617</v>
      </c>
    </row>
    <row r="26" spans="1:30" s="507" customFormat="1" ht="22.5" customHeight="1">
      <c r="A26" s="491"/>
      <c r="B26" s="343" t="s">
        <v>837</v>
      </c>
      <c r="C26" s="370">
        <v>4002</v>
      </c>
      <c r="D26" s="370">
        <v>4352</v>
      </c>
      <c r="E26" s="370">
        <v>4888</v>
      </c>
      <c r="F26" s="492">
        <v>4385</v>
      </c>
      <c r="G26" s="370">
        <v>401</v>
      </c>
      <c r="H26" s="370">
        <v>439</v>
      </c>
      <c r="I26" s="370">
        <v>438</v>
      </c>
      <c r="J26" s="492">
        <v>618</v>
      </c>
      <c r="K26" s="370">
        <v>244</v>
      </c>
      <c r="L26" s="370">
        <v>417</v>
      </c>
      <c r="M26" s="370">
        <v>92</v>
      </c>
      <c r="N26" s="492">
        <v>353</v>
      </c>
      <c r="O26" s="370">
        <v>528</v>
      </c>
      <c r="P26" s="370">
        <v>708</v>
      </c>
      <c r="Q26" s="370">
        <v>873</v>
      </c>
      <c r="R26" s="492">
        <v>1040</v>
      </c>
      <c r="S26" s="370">
        <v>279</v>
      </c>
      <c r="T26" s="370">
        <v>303</v>
      </c>
      <c r="U26" s="370">
        <v>351</v>
      </c>
      <c r="V26" s="492">
        <v>484</v>
      </c>
      <c r="W26" s="370">
        <v>18</v>
      </c>
      <c r="X26" s="370">
        <v>78</v>
      </c>
      <c r="Y26" s="370"/>
      <c r="Z26" s="492"/>
      <c r="AA26" s="369">
        <f t="shared" si="32"/>
        <v>5472</v>
      </c>
      <c r="AB26" s="370">
        <f t="shared" si="32"/>
        <v>6297</v>
      </c>
      <c r="AC26" s="370">
        <f t="shared" si="33"/>
        <v>6642</v>
      </c>
      <c r="AD26" s="492">
        <f t="shared" si="33"/>
        <v>6880</v>
      </c>
    </row>
    <row r="27" spans="1:30" s="507" customFormat="1" ht="22.5" customHeight="1">
      <c r="A27" s="491"/>
      <c r="B27" s="343" t="s">
        <v>644</v>
      </c>
      <c r="C27" s="370">
        <f t="shared" ref="C27" si="34">SUM(C23:C26)</f>
        <v>38669</v>
      </c>
      <c r="D27" s="370">
        <f>SUM(D23:D26)</f>
        <v>39104</v>
      </c>
      <c r="E27" s="370">
        <f>SUM(E23:E26)</f>
        <v>41512</v>
      </c>
      <c r="F27" s="492">
        <f>SUM(F23:F26)</f>
        <v>39476</v>
      </c>
      <c r="G27" s="370">
        <f t="shared" ref="G27:I27" si="35">SUM(G23:G26)</f>
        <v>4928</v>
      </c>
      <c r="H27" s="370">
        <f t="shared" si="35"/>
        <v>4508</v>
      </c>
      <c r="I27" s="370">
        <f t="shared" si="35"/>
        <v>3247</v>
      </c>
      <c r="J27" s="492">
        <f t="shared" ref="J27:AD27" si="36">SUM(J23:J26)</f>
        <v>2293</v>
      </c>
      <c r="K27" s="370">
        <f t="shared" ref="K27:M27" si="37">SUM(K23:K26)</f>
        <v>10543</v>
      </c>
      <c r="L27" s="370">
        <f t="shared" si="37"/>
        <v>10747</v>
      </c>
      <c r="M27" s="370">
        <f t="shared" si="37"/>
        <v>2192</v>
      </c>
      <c r="N27" s="492">
        <f t="shared" si="36"/>
        <v>2363</v>
      </c>
      <c r="O27" s="370">
        <f t="shared" ref="O27:Q27" si="38">SUM(O23:O26)</f>
        <v>5488</v>
      </c>
      <c r="P27" s="370">
        <f t="shared" si="38"/>
        <v>5993</v>
      </c>
      <c r="Q27" s="370">
        <f t="shared" si="38"/>
        <v>6383</v>
      </c>
      <c r="R27" s="492">
        <f t="shared" si="36"/>
        <v>5558</v>
      </c>
      <c r="S27" s="370">
        <f t="shared" ref="S27:U27" si="39">SUM(S23:S26)</f>
        <v>2143</v>
      </c>
      <c r="T27" s="370">
        <f t="shared" si="39"/>
        <v>2354</v>
      </c>
      <c r="U27" s="370">
        <f t="shared" si="39"/>
        <v>2603</v>
      </c>
      <c r="V27" s="492">
        <f t="shared" si="36"/>
        <v>3046</v>
      </c>
      <c r="W27" s="370">
        <f t="shared" ref="W27:Y27" si="40">SUM(W23:W26)</f>
        <v>182</v>
      </c>
      <c r="X27" s="370">
        <f t="shared" si="40"/>
        <v>193</v>
      </c>
      <c r="Y27" s="370">
        <f t="shared" si="40"/>
        <v>75</v>
      </c>
      <c r="Z27" s="492">
        <f t="shared" si="36"/>
        <v>1</v>
      </c>
      <c r="AA27" s="369">
        <f t="shared" si="36"/>
        <v>61953</v>
      </c>
      <c r="AB27" s="370">
        <f t="shared" si="36"/>
        <v>62899</v>
      </c>
      <c r="AC27" s="370">
        <f t="shared" si="36"/>
        <v>56012</v>
      </c>
      <c r="AD27" s="492">
        <f t="shared" si="36"/>
        <v>52737</v>
      </c>
    </row>
    <row r="28" spans="1:30" s="507" customFormat="1" ht="22.5" customHeight="1">
      <c r="A28" s="491" t="s">
        <v>545</v>
      </c>
      <c r="B28" s="343" t="s">
        <v>838</v>
      </c>
      <c r="C28" s="370">
        <v>12422</v>
      </c>
      <c r="D28" s="370">
        <v>9714</v>
      </c>
      <c r="E28" s="370">
        <v>10779</v>
      </c>
      <c r="F28" s="492">
        <v>9014</v>
      </c>
      <c r="G28" s="370">
        <v>978</v>
      </c>
      <c r="H28" s="370">
        <v>1914</v>
      </c>
      <c r="I28" s="370">
        <v>1217</v>
      </c>
      <c r="J28" s="492">
        <v>1467</v>
      </c>
      <c r="K28" s="370">
        <v>632</v>
      </c>
      <c r="L28" s="370">
        <v>669</v>
      </c>
      <c r="M28" s="370">
        <v>700</v>
      </c>
      <c r="N28" s="492">
        <v>669</v>
      </c>
      <c r="O28" s="370">
        <v>1628</v>
      </c>
      <c r="P28" s="370">
        <v>1689</v>
      </c>
      <c r="Q28" s="370">
        <v>1811</v>
      </c>
      <c r="R28" s="492">
        <v>1544</v>
      </c>
      <c r="S28" s="370">
        <v>1066</v>
      </c>
      <c r="T28" s="370">
        <v>635</v>
      </c>
      <c r="U28" s="370">
        <v>652</v>
      </c>
      <c r="V28" s="492">
        <v>802</v>
      </c>
      <c r="W28" s="370">
        <v>188</v>
      </c>
      <c r="X28" s="370">
        <v>216</v>
      </c>
      <c r="Y28" s="370">
        <v>300</v>
      </c>
      <c r="Z28" s="492">
        <v>66</v>
      </c>
      <c r="AA28" s="369">
        <f>+W28+S28+O28+K28+G28+C28</f>
        <v>16914</v>
      </c>
      <c r="AB28" s="370">
        <f>+X28+T28+P28+L28+H28+D28</f>
        <v>14837</v>
      </c>
      <c r="AC28" s="370">
        <f>+Y28+U28+Q28+M28+I28+E28</f>
        <v>15459</v>
      </c>
      <c r="AD28" s="492">
        <f>+Z28+V28+R28+N28+J28+F28</f>
        <v>13562</v>
      </c>
    </row>
    <row r="29" spans="1:30" s="507" customFormat="1" ht="22.5" customHeight="1">
      <c r="A29" s="491"/>
      <c r="B29" s="299" t="s">
        <v>1276</v>
      </c>
      <c r="C29" s="370">
        <v>1764</v>
      </c>
      <c r="D29" s="370">
        <v>1095</v>
      </c>
      <c r="E29" s="370">
        <v>1337</v>
      </c>
      <c r="F29" s="492">
        <v>1239</v>
      </c>
      <c r="G29" s="370">
        <v>5</v>
      </c>
      <c r="H29" s="370">
        <v>370</v>
      </c>
      <c r="I29" s="370">
        <v>200</v>
      </c>
      <c r="J29" s="492">
        <v>207</v>
      </c>
      <c r="K29" s="370">
        <v>35</v>
      </c>
      <c r="L29" s="370">
        <v>57</v>
      </c>
      <c r="M29" s="370">
        <v>49</v>
      </c>
      <c r="N29" s="492">
        <v>54</v>
      </c>
      <c r="O29" s="370">
        <v>323</v>
      </c>
      <c r="P29" s="370">
        <v>341</v>
      </c>
      <c r="Q29" s="370">
        <v>305</v>
      </c>
      <c r="R29" s="492">
        <v>255</v>
      </c>
      <c r="S29" s="370"/>
      <c r="T29" s="370">
        <v>6</v>
      </c>
      <c r="U29" s="370"/>
      <c r="V29" s="492"/>
      <c r="W29" s="370">
        <v>73</v>
      </c>
      <c r="X29" s="370">
        <v>103</v>
      </c>
      <c r="Y29" s="370">
        <v>453</v>
      </c>
      <c r="Z29" s="492">
        <v>119</v>
      </c>
      <c r="AA29" s="369">
        <f t="shared" ref="AA29:AA30" si="41">+W29+S29+O29+K29+G29+C29</f>
        <v>2200</v>
      </c>
      <c r="AB29" s="370">
        <f t="shared" ref="AB29:AD31" si="42">+X29+T29+P29+L29+H29+D29</f>
        <v>1972</v>
      </c>
      <c r="AC29" s="370">
        <f t="shared" si="42"/>
        <v>2344</v>
      </c>
      <c r="AD29" s="492">
        <f t="shared" si="42"/>
        <v>1874</v>
      </c>
    </row>
    <row r="30" spans="1:30" s="507" customFormat="1" ht="22.5" customHeight="1">
      <c r="A30" s="491"/>
      <c r="B30" s="299" t="s">
        <v>1340</v>
      </c>
      <c r="C30" s="370"/>
      <c r="D30" s="370"/>
      <c r="E30" s="370"/>
      <c r="F30" s="492"/>
      <c r="G30" s="370"/>
      <c r="H30" s="370"/>
      <c r="I30" s="370">
        <v>4</v>
      </c>
      <c r="J30" s="492"/>
      <c r="K30" s="370"/>
      <c r="L30" s="370"/>
      <c r="M30" s="370"/>
      <c r="N30" s="492"/>
      <c r="O30" s="370"/>
      <c r="P30" s="370"/>
      <c r="Q30" s="370">
        <v>5</v>
      </c>
      <c r="R30" s="492"/>
      <c r="S30" s="370"/>
      <c r="T30" s="370"/>
      <c r="U30" s="370">
        <v>605</v>
      </c>
      <c r="V30" s="492">
        <v>612</v>
      </c>
      <c r="W30" s="370"/>
      <c r="X30" s="370"/>
      <c r="Y30" s="370"/>
      <c r="Z30" s="492"/>
      <c r="AA30" s="369">
        <f t="shared" si="41"/>
        <v>0</v>
      </c>
      <c r="AB30" s="370">
        <f t="shared" si="42"/>
        <v>0</v>
      </c>
      <c r="AC30" s="370">
        <f t="shared" si="42"/>
        <v>614</v>
      </c>
      <c r="AD30" s="492">
        <f t="shared" si="42"/>
        <v>612</v>
      </c>
    </row>
    <row r="31" spans="1:30" s="507" customFormat="1" ht="22.5" customHeight="1">
      <c r="A31" s="491"/>
      <c r="B31" s="343" t="s">
        <v>966</v>
      </c>
      <c r="C31" s="370">
        <v>283</v>
      </c>
      <c r="D31" s="370">
        <v>379</v>
      </c>
      <c r="E31" s="370">
        <v>345</v>
      </c>
      <c r="F31" s="492">
        <v>267</v>
      </c>
      <c r="G31" s="370"/>
      <c r="H31" s="370"/>
      <c r="I31" s="370"/>
      <c r="J31" s="492"/>
      <c r="K31" s="370"/>
      <c r="L31" s="370"/>
      <c r="M31" s="370"/>
      <c r="N31" s="492"/>
      <c r="O31" s="370"/>
      <c r="P31" s="370"/>
      <c r="Q31" s="370"/>
      <c r="R31" s="492"/>
      <c r="S31" s="370"/>
      <c r="T31" s="370"/>
      <c r="U31" s="370"/>
      <c r="V31" s="492"/>
      <c r="W31" s="370"/>
      <c r="X31" s="370"/>
      <c r="Y31" s="370"/>
      <c r="Z31" s="492"/>
      <c r="AA31" s="369">
        <f>+W31+S31+O31+K31+G31+C31</f>
        <v>283</v>
      </c>
      <c r="AB31" s="370">
        <f t="shared" si="42"/>
        <v>379</v>
      </c>
      <c r="AC31" s="370">
        <f t="shared" si="42"/>
        <v>345</v>
      </c>
      <c r="AD31" s="492">
        <f t="shared" si="42"/>
        <v>267</v>
      </c>
    </row>
    <row r="32" spans="1:30" s="507" customFormat="1" ht="22.5" customHeight="1">
      <c r="A32" s="491"/>
      <c r="B32" s="343" t="s">
        <v>644</v>
      </c>
      <c r="C32" s="370">
        <f t="shared" ref="C32" si="43">SUM(C28:C31)</f>
        <v>14469</v>
      </c>
      <c r="D32" s="370">
        <f>SUM(D28:D31)</f>
        <v>11188</v>
      </c>
      <c r="E32" s="370">
        <f>SUM(E28:E31)</f>
        <v>12461</v>
      </c>
      <c r="F32" s="492">
        <f>SUM(F28:F31)</f>
        <v>10520</v>
      </c>
      <c r="G32" s="370">
        <f t="shared" ref="G32:I32" si="44">SUM(G28:G31)</f>
        <v>983</v>
      </c>
      <c r="H32" s="370">
        <f t="shared" si="44"/>
        <v>2284</v>
      </c>
      <c r="I32" s="370">
        <f t="shared" si="44"/>
        <v>1421</v>
      </c>
      <c r="J32" s="492">
        <f t="shared" ref="J32:AD32" si="45">SUM(J28:J31)</f>
        <v>1674</v>
      </c>
      <c r="K32" s="370">
        <f t="shared" ref="K32:M32" si="46">SUM(K28:K31)</f>
        <v>667</v>
      </c>
      <c r="L32" s="370">
        <f t="shared" si="46"/>
        <v>726</v>
      </c>
      <c r="M32" s="370">
        <f t="shared" si="46"/>
        <v>749</v>
      </c>
      <c r="N32" s="492">
        <f t="shared" si="45"/>
        <v>723</v>
      </c>
      <c r="O32" s="370">
        <f t="shared" ref="O32:Q32" si="47">SUM(O28:O31)</f>
        <v>1951</v>
      </c>
      <c r="P32" s="370">
        <f t="shared" si="47"/>
        <v>2030</v>
      </c>
      <c r="Q32" s="370">
        <f t="shared" si="47"/>
        <v>2121</v>
      </c>
      <c r="R32" s="492">
        <f t="shared" si="45"/>
        <v>1799</v>
      </c>
      <c r="S32" s="370">
        <f t="shared" ref="S32:U32" si="48">SUM(S28:S31)</f>
        <v>1066</v>
      </c>
      <c r="T32" s="370">
        <f t="shared" si="48"/>
        <v>641</v>
      </c>
      <c r="U32" s="370">
        <f t="shared" si="48"/>
        <v>1257</v>
      </c>
      <c r="V32" s="492">
        <f t="shared" si="45"/>
        <v>1414</v>
      </c>
      <c r="W32" s="370">
        <f t="shared" ref="W32:Y32" si="49">SUM(W28:W31)</f>
        <v>261</v>
      </c>
      <c r="X32" s="370">
        <f t="shared" si="49"/>
        <v>319</v>
      </c>
      <c r="Y32" s="370">
        <f t="shared" si="49"/>
        <v>753</v>
      </c>
      <c r="Z32" s="492">
        <f t="shared" si="45"/>
        <v>185</v>
      </c>
      <c r="AA32" s="369">
        <f t="shared" si="45"/>
        <v>19397</v>
      </c>
      <c r="AB32" s="370">
        <f t="shared" si="45"/>
        <v>17188</v>
      </c>
      <c r="AC32" s="370">
        <f t="shared" si="45"/>
        <v>18762</v>
      </c>
      <c r="AD32" s="492">
        <f t="shared" si="45"/>
        <v>16315</v>
      </c>
    </row>
    <row r="33" spans="1:46" s="507" customFormat="1" ht="22.5" customHeight="1">
      <c r="A33" s="491" t="s">
        <v>546</v>
      </c>
      <c r="B33" s="343" t="s">
        <v>648</v>
      </c>
      <c r="C33" s="370">
        <v>7241</v>
      </c>
      <c r="D33" s="370">
        <v>6826</v>
      </c>
      <c r="E33" s="370">
        <v>8584</v>
      </c>
      <c r="F33" s="492">
        <v>9948</v>
      </c>
      <c r="G33" s="370">
        <v>1144</v>
      </c>
      <c r="H33" s="370">
        <v>1786</v>
      </c>
      <c r="I33" s="370">
        <v>969</v>
      </c>
      <c r="J33" s="492">
        <v>690</v>
      </c>
      <c r="K33" s="370">
        <v>1052</v>
      </c>
      <c r="L33" s="370">
        <v>832</v>
      </c>
      <c r="M33" s="370">
        <v>895</v>
      </c>
      <c r="N33" s="492">
        <v>877</v>
      </c>
      <c r="O33" s="370">
        <v>1044</v>
      </c>
      <c r="P33" s="370">
        <v>866</v>
      </c>
      <c r="Q33" s="370">
        <v>960</v>
      </c>
      <c r="R33" s="492">
        <v>971</v>
      </c>
      <c r="S33" s="370">
        <v>213</v>
      </c>
      <c r="T33" s="370">
        <v>292</v>
      </c>
      <c r="U33" s="370">
        <v>318</v>
      </c>
      <c r="V33" s="492">
        <v>324</v>
      </c>
      <c r="W33" s="370">
        <v>102</v>
      </c>
      <c r="X33" s="370">
        <v>189</v>
      </c>
      <c r="Y33" s="370">
        <v>188</v>
      </c>
      <c r="Z33" s="492">
        <v>82</v>
      </c>
      <c r="AA33" s="369">
        <f t="shared" ref="AA33:AB41" si="50">+W33+S33+O33+K33+G33+C33</f>
        <v>10796</v>
      </c>
      <c r="AB33" s="370">
        <f t="shared" si="50"/>
        <v>10791</v>
      </c>
      <c r="AC33" s="370">
        <f t="shared" ref="AB33:AC41" si="51">+Y33+U33+Q33+M33+I33+E33</f>
        <v>11914</v>
      </c>
      <c r="AD33" s="492">
        <f>+Z33+V33+R33+N33+J33+F33</f>
        <v>12892</v>
      </c>
    </row>
    <row r="34" spans="1:46" s="507" customFormat="1" ht="22.5" customHeight="1">
      <c r="A34" s="491"/>
      <c r="B34" s="343" t="s">
        <v>840</v>
      </c>
      <c r="C34" s="370">
        <v>1304</v>
      </c>
      <c r="D34" s="370">
        <v>1289</v>
      </c>
      <c r="E34" s="370">
        <v>1413</v>
      </c>
      <c r="F34" s="492">
        <v>1782</v>
      </c>
      <c r="G34" s="370">
        <v>219</v>
      </c>
      <c r="H34" s="370">
        <v>228</v>
      </c>
      <c r="I34" s="370">
        <v>198</v>
      </c>
      <c r="J34" s="492">
        <v>109</v>
      </c>
      <c r="K34" s="370">
        <v>252</v>
      </c>
      <c r="L34" s="370">
        <v>152</v>
      </c>
      <c r="M34" s="370">
        <v>133</v>
      </c>
      <c r="N34" s="492">
        <v>145</v>
      </c>
      <c r="O34" s="370">
        <v>189</v>
      </c>
      <c r="P34" s="370">
        <v>175</v>
      </c>
      <c r="Q34" s="370">
        <v>148</v>
      </c>
      <c r="R34" s="492">
        <v>138</v>
      </c>
      <c r="S34" s="370">
        <v>70</v>
      </c>
      <c r="T34" s="370">
        <v>65</v>
      </c>
      <c r="U34" s="370">
        <v>100</v>
      </c>
      <c r="V34" s="492">
        <v>79</v>
      </c>
      <c r="W34" s="370">
        <v>27</v>
      </c>
      <c r="X34" s="370">
        <v>121</v>
      </c>
      <c r="Y34" s="370">
        <v>45</v>
      </c>
      <c r="Z34" s="492">
        <v>1</v>
      </c>
      <c r="AA34" s="369">
        <f t="shared" ref="AA34:AC35" si="52">+W34+S34+O34+K34+G34+C34</f>
        <v>2061</v>
      </c>
      <c r="AB34" s="370">
        <f t="shared" si="52"/>
        <v>2030</v>
      </c>
      <c r="AC34" s="370">
        <f t="shared" si="52"/>
        <v>2037</v>
      </c>
      <c r="AD34" s="492">
        <f>+Z34+V34+R34+N34+J34+F34</f>
        <v>2254</v>
      </c>
    </row>
    <row r="35" spans="1:46" s="507" customFormat="1" ht="22.5" customHeight="1">
      <c r="A35" s="491"/>
      <c r="B35" s="299" t="s">
        <v>1277</v>
      </c>
      <c r="C35" s="370">
        <v>387</v>
      </c>
      <c r="D35" s="370">
        <v>382</v>
      </c>
      <c r="E35" s="370">
        <v>310</v>
      </c>
      <c r="F35" s="492">
        <v>540</v>
      </c>
      <c r="G35" s="370">
        <v>110</v>
      </c>
      <c r="H35" s="370">
        <v>133</v>
      </c>
      <c r="I35" s="370">
        <v>107</v>
      </c>
      <c r="J35" s="492">
        <v>67</v>
      </c>
      <c r="K35" s="370">
        <v>102</v>
      </c>
      <c r="L35" s="370">
        <v>92</v>
      </c>
      <c r="M35" s="370">
        <v>45</v>
      </c>
      <c r="N35" s="492">
        <v>41</v>
      </c>
      <c r="O35" s="370">
        <v>74</v>
      </c>
      <c r="P35" s="370">
        <v>73</v>
      </c>
      <c r="Q35" s="370">
        <v>78</v>
      </c>
      <c r="R35" s="492">
        <v>67</v>
      </c>
      <c r="S35" s="370">
        <v>23</v>
      </c>
      <c r="T35" s="370">
        <v>42</v>
      </c>
      <c r="U35" s="370">
        <v>31</v>
      </c>
      <c r="V35" s="492">
        <v>15</v>
      </c>
      <c r="W35" s="370">
        <v>13</v>
      </c>
      <c r="X35" s="370">
        <v>19</v>
      </c>
      <c r="Y35" s="370">
        <v>21</v>
      </c>
      <c r="Z35" s="492"/>
      <c r="AA35" s="369">
        <f t="shared" si="52"/>
        <v>709</v>
      </c>
      <c r="AB35" s="370">
        <f t="shared" si="52"/>
        <v>741</v>
      </c>
      <c r="AC35" s="370">
        <f t="shared" si="52"/>
        <v>592</v>
      </c>
      <c r="AD35" s="492">
        <f>+Z35+V35+R35+N35+J35+F35</f>
        <v>730</v>
      </c>
    </row>
    <row r="36" spans="1:46" s="507" customFormat="1" ht="22.5" customHeight="1">
      <c r="A36" s="491"/>
      <c r="B36" s="343" t="s">
        <v>644</v>
      </c>
      <c r="C36" s="370">
        <f t="shared" ref="C36:E36" si="53">SUM(C33:C35)</f>
        <v>8932</v>
      </c>
      <c r="D36" s="370">
        <f t="shared" si="53"/>
        <v>8497</v>
      </c>
      <c r="E36" s="370">
        <f t="shared" si="53"/>
        <v>10307</v>
      </c>
      <c r="F36" s="492">
        <f t="shared" ref="F36:AD36" si="54">SUM(F33:F35)</f>
        <v>12270</v>
      </c>
      <c r="G36" s="370">
        <f t="shared" ref="G36:I36" si="55">SUM(G33:G35)</f>
        <v>1473</v>
      </c>
      <c r="H36" s="370">
        <f t="shared" si="55"/>
        <v>2147</v>
      </c>
      <c r="I36" s="370">
        <f t="shared" si="55"/>
        <v>1274</v>
      </c>
      <c r="J36" s="492">
        <f t="shared" si="54"/>
        <v>866</v>
      </c>
      <c r="K36" s="370">
        <f t="shared" ref="K36:M36" si="56">SUM(K33:K35)</f>
        <v>1406</v>
      </c>
      <c r="L36" s="370">
        <f t="shared" si="56"/>
        <v>1076</v>
      </c>
      <c r="M36" s="370">
        <f t="shared" si="56"/>
        <v>1073</v>
      </c>
      <c r="N36" s="492">
        <f t="shared" si="54"/>
        <v>1063</v>
      </c>
      <c r="O36" s="370">
        <f t="shared" ref="O36:Q36" si="57">SUM(O33:O35)</f>
        <v>1307</v>
      </c>
      <c r="P36" s="370">
        <f t="shared" si="57"/>
        <v>1114</v>
      </c>
      <c r="Q36" s="370">
        <f t="shared" si="57"/>
        <v>1186</v>
      </c>
      <c r="R36" s="492">
        <f t="shared" si="54"/>
        <v>1176</v>
      </c>
      <c r="S36" s="370">
        <f t="shared" ref="S36:U36" si="58">SUM(S33:S35)</f>
        <v>306</v>
      </c>
      <c r="T36" s="370">
        <f t="shared" si="58"/>
        <v>399</v>
      </c>
      <c r="U36" s="370">
        <f t="shared" si="58"/>
        <v>449</v>
      </c>
      <c r="V36" s="492">
        <f t="shared" si="54"/>
        <v>418</v>
      </c>
      <c r="W36" s="370">
        <f t="shared" ref="W36:Y36" si="59">SUM(W33:W35)</f>
        <v>142</v>
      </c>
      <c r="X36" s="370">
        <f t="shared" si="59"/>
        <v>329</v>
      </c>
      <c r="Y36" s="370">
        <f t="shared" si="59"/>
        <v>254</v>
      </c>
      <c r="Z36" s="492">
        <f t="shared" si="54"/>
        <v>83</v>
      </c>
      <c r="AA36" s="369">
        <f t="shared" si="54"/>
        <v>13566</v>
      </c>
      <c r="AB36" s="370">
        <f t="shared" si="54"/>
        <v>13562</v>
      </c>
      <c r="AC36" s="370">
        <f t="shared" si="54"/>
        <v>14543</v>
      </c>
      <c r="AD36" s="492">
        <f t="shared" si="54"/>
        <v>15876</v>
      </c>
      <c r="AE36" s="354"/>
    </row>
    <row r="37" spans="1:46" s="507" customFormat="1" ht="22.5" customHeight="1">
      <c r="A37" s="491" t="s">
        <v>547</v>
      </c>
      <c r="B37" s="343" t="s">
        <v>841</v>
      </c>
      <c r="C37" s="370">
        <v>6710</v>
      </c>
      <c r="D37" s="370">
        <v>7013</v>
      </c>
      <c r="E37" s="370">
        <v>8243</v>
      </c>
      <c r="F37" s="492">
        <v>5997</v>
      </c>
      <c r="G37" s="370">
        <v>446</v>
      </c>
      <c r="H37" s="370">
        <v>376</v>
      </c>
      <c r="I37" s="370">
        <v>368</v>
      </c>
      <c r="J37" s="492">
        <v>315</v>
      </c>
      <c r="K37" s="370">
        <v>695</v>
      </c>
      <c r="L37" s="370">
        <v>548</v>
      </c>
      <c r="M37" s="370">
        <v>429</v>
      </c>
      <c r="N37" s="492">
        <v>611</v>
      </c>
      <c r="O37" s="370">
        <v>1910</v>
      </c>
      <c r="P37" s="370">
        <v>1813</v>
      </c>
      <c r="Q37" s="370">
        <v>1656</v>
      </c>
      <c r="R37" s="492">
        <v>1345</v>
      </c>
      <c r="S37" s="370">
        <v>469</v>
      </c>
      <c r="T37" s="370">
        <v>334</v>
      </c>
      <c r="U37" s="370">
        <v>186</v>
      </c>
      <c r="V37" s="492">
        <v>202</v>
      </c>
      <c r="W37" s="370">
        <v>12</v>
      </c>
      <c r="X37" s="370">
        <v>27</v>
      </c>
      <c r="Y37" s="370"/>
      <c r="Z37" s="492"/>
      <c r="AA37" s="369">
        <f t="shared" si="50"/>
        <v>10242</v>
      </c>
      <c r="AB37" s="370">
        <f t="shared" si="50"/>
        <v>10111</v>
      </c>
      <c r="AC37" s="370">
        <f t="shared" si="51"/>
        <v>10882</v>
      </c>
      <c r="AD37" s="492">
        <f>+Z37+V37+R37+N37+J37+F37</f>
        <v>8470</v>
      </c>
      <c r="AE37" s="517"/>
    </row>
    <row r="38" spans="1:46" s="507" customFormat="1" ht="22.5" customHeight="1">
      <c r="A38" s="491" t="s">
        <v>967</v>
      </c>
      <c r="B38" s="343" t="s">
        <v>842</v>
      </c>
      <c r="C38" s="370">
        <v>15912</v>
      </c>
      <c r="D38" s="370">
        <v>15311</v>
      </c>
      <c r="E38" s="370">
        <v>14334</v>
      </c>
      <c r="F38" s="492">
        <v>14250</v>
      </c>
      <c r="G38" s="370">
        <v>1334</v>
      </c>
      <c r="H38" s="370">
        <v>1618</v>
      </c>
      <c r="I38" s="370">
        <v>866</v>
      </c>
      <c r="J38" s="492">
        <v>1070</v>
      </c>
      <c r="K38" s="370">
        <v>128</v>
      </c>
      <c r="L38" s="370">
        <v>114</v>
      </c>
      <c r="M38" s="370">
        <v>29</v>
      </c>
      <c r="N38" s="492">
        <v>22</v>
      </c>
      <c r="O38" s="370">
        <v>3291</v>
      </c>
      <c r="P38" s="370">
        <v>2723</v>
      </c>
      <c r="Q38" s="370">
        <v>2220</v>
      </c>
      <c r="R38" s="492">
        <v>1756</v>
      </c>
      <c r="S38" s="370">
        <v>877</v>
      </c>
      <c r="T38" s="370">
        <v>637</v>
      </c>
      <c r="U38" s="370">
        <v>549</v>
      </c>
      <c r="V38" s="492">
        <v>492</v>
      </c>
      <c r="W38" s="370"/>
      <c r="X38" s="370"/>
      <c r="Y38" s="370"/>
      <c r="Z38" s="492"/>
      <c r="AA38" s="369">
        <f t="shared" si="50"/>
        <v>21542</v>
      </c>
      <c r="AB38" s="370">
        <f t="shared" si="50"/>
        <v>20403</v>
      </c>
      <c r="AC38" s="370">
        <f t="shared" si="51"/>
        <v>17998</v>
      </c>
      <c r="AD38" s="492">
        <f>+Z38+V38+R38+N38+J38+F38</f>
        <v>17590</v>
      </c>
      <c r="AE38" s="517"/>
    </row>
    <row r="39" spans="1:46" s="507" customFormat="1" ht="22.5" customHeight="1">
      <c r="A39" s="491"/>
      <c r="B39" s="299" t="s">
        <v>1001</v>
      </c>
      <c r="C39" s="370"/>
      <c r="D39" s="370"/>
      <c r="E39" s="370">
        <v>291</v>
      </c>
      <c r="F39" s="492">
        <v>260</v>
      </c>
      <c r="G39" s="370"/>
      <c r="H39" s="370"/>
      <c r="I39" s="370">
        <v>3</v>
      </c>
      <c r="J39" s="492">
        <v>68</v>
      </c>
      <c r="K39" s="370"/>
      <c r="L39" s="370"/>
      <c r="M39" s="370"/>
      <c r="N39" s="492"/>
      <c r="O39" s="370"/>
      <c r="P39" s="370"/>
      <c r="Q39" s="370">
        <v>277</v>
      </c>
      <c r="R39" s="492">
        <v>280</v>
      </c>
      <c r="S39" s="370"/>
      <c r="T39" s="370"/>
      <c r="U39" s="370">
        <v>110</v>
      </c>
      <c r="V39" s="492">
        <v>363</v>
      </c>
      <c r="W39" s="370"/>
      <c r="X39" s="370"/>
      <c r="Y39" s="370"/>
      <c r="Z39" s="492"/>
      <c r="AA39" s="369">
        <f t="shared" ref="AA39" si="60">+W39+S39+O39+K39+G39+C39</f>
        <v>0</v>
      </c>
      <c r="AB39" s="370">
        <f t="shared" ref="AB39" si="61">+X39+T39+P39+L39+H39+D39</f>
        <v>0</v>
      </c>
      <c r="AC39" s="370">
        <f t="shared" si="51"/>
        <v>681</v>
      </c>
      <c r="AD39" s="492">
        <f>+Z39+V39+R39+N39+J39+F39</f>
        <v>971</v>
      </c>
      <c r="AE39" s="517"/>
    </row>
    <row r="40" spans="1:46" s="507" customFormat="1" ht="22.5" customHeight="1">
      <c r="A40" s="491" t="s">
        <v>549</v>
      </c>
      <c r="B40" s="343" t="s">
        <v>843</v>
      </c>
      <c r="C40" s="370">
        <v>11301</v>
      </c>
      <c r="D40" s="370">
        <v>9284</v>
      </c>
      <c r="E40" s="370">
        <v>8634</v>
      </c>
      <c r="F40" s="492">
        <v>9208</v>
      </c>
      <c r="G40" s="370">
        <v>1520</v>
      </c>
      <c r="H40" s="370">
        <v>1312</v>
      </c>
      <c r="I40" s="370">
        <v>786</v>
      </c>
      <c r="J40" s="492">
        <v>415</v>
      </c>
      <c r="K40" s="370">
        <v>207</v>
      </c>
      <c r="L40" s="370">
        <v>202</v>
      </c>
      <c r="M40" s="370">
        <v>606</v>
      </c>
      <c r="N40" s="492">
        <v>798</v>
      </c>
      <c r="O40" s="370">
        <v>1192</v>
      </c>
      <c r="P40" s="370">
        <v>1153</v>
      </c>
      <c r="Q40" s="370">
        <v>981</v>
      </c>
      <c r="R40" s="492">
        <v>1161</v>
      </c>
      <c r="S40" s="370">
        <v>465</v>
      </c>
      <c r="T40" s="370">
        <v>556</v>
      </c>
      <c r="U40" s="370">
        <v>431</v>
      </c>
      <c r="V40" s="492">
        <v>594</v>
      </c>
      <c r="W40" s="370">
        <v>36</v>
      </c>
      <c r="X40" s="370">
        <v>108</v>
      </c>
      <c r="Y40" s="370">
        <v>69</v>
      </c>
      <c r="Z40" s="492">
        <v>112</v>
      </c>
      <c r="AA40" s="369">
        <f t="shared" si="50"/>
        <v>14721</v>
      </c>
      <c r="AB40" s="370">
        <f t="shared" si="50"/>
        <v>12615</v>
      </c>
      <c r="AC40" s="370">
        <f t="shared" si="51"/>
        <v>11507</v>
      </c>
      <c r="AD40" s="492">
        <f>+Z40+V40+R40+N40+J40+F40</f>
        <v>12288</v>
      </c>
      <c r="AE40" s="517"/>
    </row>
    <row r="41" spans="1:46" s="507" customFormat="1" ht="22.5" customHeight="1">
      <c r="A41" s="491"/>
      <c r="B41" s="299" t="s">
        <v>1270</v>
      </c>
      <c r="C41" s="370">
        <v>1258</v>
      </c>
      <c r="D41" s="370">
        <v>1646</v>
      </c>
      <c r="E41" s="370">
        <v>658</v>
      </c>
      <c r="F41" s="492">
        <v>893</v>
      </c>
      <c r="G41" s="370">
        <v>178</v>
      </c>
      <c r="H41" s="370">
        <v>225</v>
      </c>
      <c r="I41" s="370">
        <v>130</v>
      </c>
      <c r="J41" s="492">
        <v>68</v>
      </c>
      <c r="K41" s="370">
        <v>76</v>
      </c>
      <c r="L41" s="370">
        <v>83</v>
      </c>
      <c r="M41" s="370">
        <v>30</v>
      </c>
      <c r="N41" s="492">
        <v>50</v>
      </c>
      <c r="O41" s="370">
        <v>113</v>
      </c>
      <c r="P41" s="370">
        <v>101</v>
      </c>
      <c r="Q41" s="370">
        <v>115</v>
      </c>
      <c r="R41" s="492">
        <v>119</v>
      </c>
      <c r="S41" s="370"/>
      <c r="T41" s="370"/>
      <c r="U41" s="370"/>
      <c r="V41" s="492"/>
      <c r="W41" s="370">
        <v>15</v>
      </c>
      <c r="X41" s="370">
        <v>83</v>
      </c>
      <c r="Y41" s="370">
        <v>45</v>
      </c>
      <c r="Z41" s="492">
        <v>50</v>
      </c>
      <c r="AA41" s="369">
        <f t="shared" si="50"/>
        <v>1640</v>
      </c>
      <c r="AB41" s="370">
        <f t="shared" si="51"/>
        <v>2138</v>
      </c>
      <c r="AC41" s="370">
        <f t="shared" si="51"/>
        <v>978</v>
      </c>
      <c r="AD41" s="492">
        <f>+Z41+V41+R41+N41+J41+F41</f>
        <v>1180</v>
      </c>
      <c r="AE41" s="517"/>
    </row>
    <row r="42" spans="1:46" s="507" customFormat="1" ht="22.5" customHeight="1">
      <c r="A42" s="491"/>
      <c r="B42" s="343" t="s">
        <v>644</v>
      </c>
      <c r="C42" s="370">
        <f t="shared" ref="C42" si="62">SUM(C40:C41)</f>
        <v>12559</v>
      </c>
      <c r="D42" s="370">
        <f>SUM(D40:D41)</f>
        <v>10930</v>
      </c>
      <c r="E42" s="370">
        <f>SUM(E40:E41)</f>
        <v>9292</v>
      </c>
      <c r="F42" s="492">
        <f>SUM(F40:F41)</f>
        <v>10101</v>
      </c>
      <c r="G42" s="370">
        <f t="shared" ref="G42:I42" si="63">SUM(G40:G41)</f>
        <v>1698</v>
      </c>
      <c r="H42" s="370">
        <f t="shared" si="63"/>
        <v>1537</v>
      </c>
      <c r="I42" s="370">
        <f t="shared" si="63"/>
        <v>916</v>
      </c>
      <c r="J42" s="492">
        <f t="shared" ref="J42:AD42" si="64">SUM(J40:J41)</f>
        <v>483</v>
      </c>
      <c r="K42" s="370">
        <f t="shared" ref="K42:M42" si="65">SUM(K40:K41)</f>
        <v>283</v>
      </c>
      <c r="L42" s="370">
        <f t="shared" si="65"/>
        <v>285</v>
      </c>
      <c r="M42" s="370">
        <f t="shared" si="65"/>
        <v>636</v>
      </c>
      <c r="N42" s="492">
        <f t="shared" si="64"/>
        <v>848</v>
      </c>
      <c r="O42" s="370">
        <f t="shared" ref="O42:Q42" si="66">SUM(O40:O41)</f>
        <v>1305</v>
      </c>
      <c r="P42" s="370">
        <f t="shared" si="66"/>
        <v>1254</v>
      </c>
      <c r="Q42" s="370">
        <f t="shared" si="66"/>
        <v>1096</v>
      </c>
      <c r="R42" s="492">
        <f t="shared" si="64"/>
        <v>1280</v>
      </c>
      <c r="S42" s="370">
        <f t="shared" ref="S42:U42" si="67">SUM(S40:S41)</f>
        <v>465</v>
      </c>
      <c r="T42" s="370">
        <f t="shared" si="67"/>
        <v>556</v>
      </c>
      <c r="U42" s="370">
        <f t="shared" si="67"/>
        <v>431</v>
      </c>
      <c r="V42" s="492">
        <f t="shared" si="64"/>
        <v>594</v>
      </c>
      <c r="W42" s="370">
        <f t="shared" ref="W42:Y42" si="68">SUM(W40:W41)</f>
        <v>51</v>
      </c>
      <c r="X42" s="370">
        <f t="shared" si="68"/>
        <v>191</v>
      </c>
      <c r="Y42" s="370">
        <f t="shared" si="68"/>
        <v>114</v>
      </c>
      <c r="Z42" s="492">
        <f t="shared" si="64"/>
        <v>162</v>
      </c>
      <c r="AA42" s="369">
        <f t="shared" si="64"/>
        <v>16361</v>
      </c>
      <c r="AB42" s="370">
        <f t="shared" si="64"/>
        <v>14753</v>
      </c>
      <c r="AC42" s="370">
        <f t="shared" si="64"/>
        <v>12485</v>
      </c>
      <c r="AD42" s="492">
        <f t="shared" si="64"/>
        <v>13468</v>
      </c>
      <c r="AE42" s="517"/>
    </row>
    <row r="43" spans="1:46" s="6" customFormat="1" ht="22.5" customHeight="1">
      <c r="A43" s="501" t="s">
        <v>968</v>
      </c>
      <c r="B43" s="1044"/>
      <c r="C43" s="499">
        <f t="shared" ref="C43" si="69">+C27+C32+C36+C37+C38+C42+C39</f>
        <v>97251</v>
      </c>
      <c r="D43" s="499">
        <f>+D27+D32+D36+D37+D38+D42+D39</f>
        <v>92043</v>
      </c>
      <c r="E43" s="499">
        <f>+E27+E32+E36+E37+E38+E42+E39</f>
        <v>96440</v>
      </c>
      <c r="F43" s="500">
        <f>+F27+F32+F36+F37+F38+F42+F39</f>
        <v>92874</v>
      </c>
      <c r="G43" s="499">
        <f t="shared" ref="G43:K43" si="70">+G27+G32+G36+G37+G38+G42+G39</f>
        <v>10862</v>
      </c>
      <c r="H43" s="499">
        <f t="shared" si="70"/>
        <v>12470</v>
      </c>
      <c r="I43" s="499">
        <f t="shared" si="70"/>
        <v>8095</v>
      </c>
      <c r="J43" s="500">
        <f t="shared" si="70"/>
        <v>6769</v>
      </c>
      <c r="K43" s="499">
        <f t="shared" si="70"/>
        <v>13722</v>
      </c>
      <c r="L43" s="499">
        <f>+L27+L32+L36+L37+L38+L42+L39</f>
        <v>13496</v>
      </c>
      <c r="M43" s="499">
        <f t="shared" ref="M43:AD43" si="71">+M27+M32+M36+M37+M38+M42+M39</f>
        <v>5108</v>
      </c>
      <c r="N43" s="500">
        <f t="shared" si="71"/>
        <v>5630</v>
      </c>
      <c r="O43" s="499">
        <f t="shared" si="71"/>
        <v>15252</v>
      </c>
      <c r="P43" s="499">
        <f t="shared" si="71"/>
        <v>14927</v>
      </c>
      <c r="Q43" s="499">
        <f t="shared" si="71"/>
        <v>14939</v>
      </c>
      <c r="R43" s="500">
        <f t="shared" si="71"/>
        <v>13194</v>
      </c>
      <c r="S43" s="499">
        <f t="shared" si="71"/>
        <v>5326</v>
      </c>
      <c r="T43" s="499">
        <f t="shared" si="71"/>
        <v>4921</v>
      </c>
      <c r="U43" s="499">
        <f t="shared" si="71"/>
        <v>5585</v>
      </c>
      <c r="V43" s="500">
        <f t="shared" si="71"/>
        <v>6529</v>
      </c>
      <c r="W43" s="499">
        <f t="shared" si="71"/>
        <v>648</v>
      </c>
      <c r="X43" s="499">
        <f t="shared" si="71"/>
        <v>1059</v>
      </c>
      <c r="Y43" s="499">
        <f t="shared" si="71"/>
        <v>1196</v>
      </c>
      <c r="Z43" s="500">
        <f t="shared" si="71"/>
        <v>431</v>
      </c>
      <c r="AA43" s="499">
        <f t="shared" si="71"/>
        <v>143061</v>
      </c>
      <c r="AB43" s="499">
        <f t="shared" si="71"/>
        <v>138916</v>
      </c>
      <c r="AC43" s="499">
        <f t="shared" si="71"/>
        <v>131363</v>
      </c>
      <c r="AD43" s="500">
        <f t="shared" si="71"/>
        <v>125427</v>
      </c>
      <c r="AE43" s="354"/>
      <c r="AF43" s="354"/>
    </row>
    <row r="44" spans="1:46" s="507" customFormat="1" ht="22.5" customHeight="1">
      <c r="A44" s="1407" t="s">
        <v>656</v>
      </c>
      <c r="B44" s="1409"/>
      <c r="C44" s="503">
        <f t="shared" ref="C44:AD44" si="72">+C22+C43</f>
        <v>154430</v>
      </c>
      <c r="D44" s="503">
        <f t="shared" si="72"/>
        <v>139398</v>
      </c>
      <c r="E44" s="503">
        <f t="shared" si="72"/>
        <v>145653</v>
      </c>
      <c r="F44" s="504">
        <f t="shared" si="72"/>
        <v>142746</v>
      </c>
      <c r="G44" s="502">
        <f t="shared" si="72"/>
        <v>18025</v>
      </c>
      <c r="H44" s="503">
        <f t="shared" si="72"/>
        <v>19431</v>
      </c>
      <c r="I44" s="503">
        <f t="shared" si="72"/>
        <v>13192</v>
      </c>
      <c r="J44" s="504">
        <f t="shared" si="72"/>
        <v>10809</v>
      </c>
      <c r="K44" s="503">
        <f t="shared" si="72"/>
        <v>17000</v>
      </c>
      <c r="L44" s="503">
        <f t="shared" si="72"/>
        <v>16852</v>
      </c>
      <c r="M44" s="503">
        <f t="shared" si="72"/>
        <v>8517</v>
      </c>
      <c r="N44" s="504">
        <f t="shared" si="72"/>
        <v>8723</v>
      </c>
      <c r="O44" s="502">
        <f t="shared" si="72"/>
        <v>25900</v>
      </c>
      <c r="P44" s="503">
        <f t="shared" si="72"/>
        <v>24908</v>
      </c>
      <c r="Q44" s="503">
        <f t="shared" si="72"/>
        <v>23951</v>
      </c>
      <c r="R44" s="504">
        <f t="shared" si="72"/>
        <v>20891</v>
      </c>
      <c r="S44" s="503">
        <f t="shared" si="72"/>
        <v>7088</v>
      </c>
      <c r="T44" s="503">
        <f t="shared" si="72"/>
        <v>6814</v>
      </c>
      <c r="U44" s="503">
        <f t="shared" si="72"/>
        <v>8406</v>
      </c>
      <c r="V44" s="504">
        <f t="shared" si="72"/>
        <v>9907</v>
      </c>
      <c r="W44" s="503">
        <f t="shared" si="72"/>
        <v>1558</v>
      </c>
      <c r="X44" s="503">
        <f t="shared" si="72"/>
        <v>1542</v>
      </c>
      <c r="Y44" s="503">
        <f t="shared" si="72"/>
        <v>1354</v>
      </c>
      <c r="Z44" s="504">
        <f t="shared" si="72"/>
        <v>488</v>
      </c>
      <c r="AA44" s="502">
        <f t="shared" si="72"/>
        <v>224001</v>
      </c>
      <c r="AB44" s="503">
        <f t="shared" si="72"/>
        <v>208945</v>
      </c>
      <c r="AC44" s="503">
        <f t="shared" si="72"/>
        <v>201073</v>
      </c>
      <c r="AD44" s="504">
        <f t="shared" si="72"/>
        <v>193564</v>
      </c>
      <c r="AE44" s="511"/>
      <c r="AF44" s="511"/>
      <c r="AG44" s="511"/>
      <c r="AH44" s="511"/>
      <c r="AI44" s="511"/>
      <c r="AJ44" s="511"/>
      <c r="AK44" s="511"/>
      <c r="AL44" s="511"/>
      <c r="AM44" s="511"/>
      <c r="AN44" s="511"/>
      <c r="AO44" s="511"/>
      <c r="AP44" s="511"/>
      <c r="AQ44" s="511"/>
      <c r="AR44" s="511"/>
      <c r="AS44" s="511"/>
      <c r="AT44" s="511"/>
    </row>
    <row r="45" spans="1:46">
      <c r="C45" s="512"/>
      <c r="D45" s="512"/>
      <c r="E45" s="512"/>
      <c r="F45" s="512"/>
      <c r="G45" s="512"/>
      <c r="H45" s="512"/>
      <c r="I45" s="512"/>
      <c r="J45" s="512"/>
      <c r="K45" s="512"/>
      <c r="L45" s="512"/>
      <c r="M45" s="512"/>
      <c r="N45" s="512"/>
      <c r="O45" s="512"/>
      <c r="P45" s="512"/>
      <c r="Q45" s="512"/>
      <c r="R45" s="512"/>
      <c r="S45" s="512"/>
      <c r="T45" s="512"/>
      <c r="U45" s="512"/>
      <c r="V45" s="512"/>
      <c r="W45" s="512"/>
      <c r="X45" s="512"/>
      <c r="Y45" s="512"/>
      <c r="Z45" s="512"/>
      <c r="AA45" s="512"/>
      <c r="AB45" s="512"/>
      <c r="AC45" s="512"/>
      <c r="AD45" s="512"/>
    </row>
    <row r="46" spans="1:46">
      <c r="C46" s="509"/>
      <c r="D46" s="509"/>
      <c r="E46" s="509"/>
      <c r="F46" s="512"/>
      <c r="G46" s="512"/>
      <c r="H46" s="512"/>
      <c r="I46" s="512"/>
      <c r="J46" s="512"/>
      <c r="K46" s="512"/>
      <c r="L46" s="512"/>
      <c r="M46" s="512"/>
      <c r="N46" s="512"/>
      <c r="O46" s="512"/>
      <c r="P46" s="512"/>
      <c r="Q46" s="512"/>
      <c r="R46" s="512"/>
      <c r="S46" s="512"/>
      <c r="T46" s="512"/>
      <c r="U46" s="512"/>
      <c r="V46" s="512"/>
      <c r="W46" s="512"/>
      <c r="X46" s="512"/>
      <c r="Y46" s="512"/>
      <c r="Z46" s="512"/>
      <c r="AA46" s="512"/>
      <c r="AB46" s="512"/>
      <c r="AC46" s="512"/>
      <c r="AD46" s="512"/>
    </row>
    <row r="47" spans="1:46">
      <c r="C47" s="509"/>
      <c r="D47" s="509"/>
      <c r="E47" s="509"/>
      <c r="F47" s="512"/>
      <c r="G47" s="512"/>
      <c r="H47" s="512"/>
      <c r="I47" s="512"/>
      <c r="J47" s="512"/>
      <c r="K47" s="512"/>
      <c r="L47" s="512"/>
      <c r="M47" s="512"/>
      <c r="N47" s="512"/>
      <c r="O47" s="512"/>
      <c r="P47" s="512"/>
      <c r="Q47" s="512"/>
      <c r="R47" s="512"/>
      <c r="S47" s="512"/>
      <c r="T47" s="512"/>
      <c r="U47" s="512"/>
      <c r="V47" s="512"/>
      <c r="W47" s="512"/>
      <c r="X47" s="512"/>
      <c r="Y47" s="512"/>
      <c r="Z47" s="512"/>
      <c r="AA47" s="512"/>
      <c r="AB47" s="512"/>
      <c r="AC47" s="512"/>
      <c r="AD47" s="512"/>
    </row>
    <row r="48" spans="1:46">
      <c r="C48" s="509"/>
      <c r="D48" s="509"/>
      <c r="E48" s="509"/>
      <c r="F48" s="512"/>
      <c r="G48" s="512"/>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row>
    <row r="49" spans="3:30">
      <c r="C49" s="509"/>
      <c r="D49" s="509"/>
      <c r="E49" s="509"/>
      <c r="F49" s="512"/>
      <c r="G49" s="509"/>
      <c r="H49" s="509"/>
      <c r="I49" s="509"/>
      <c r="J49" s="512"/>
      <c r="K49" s="509"/>
      <c r="L49" s="509"/>
      <c r="M49" s="509"/>
      <c r="N49" s="512"/>
      <c r="O49" s="509"/>
      <c r="P49" s="509"/>
      <c r="Q49" s="509"/>
      <c r="R49" s="512"/>
      <c r="S49" s="509"/>
      <c r="T49" s="509"/>
      <c r="U49" s="509"/>
      <c r="V49" s="512"/>
      <c r="W49" s="509"/>
      <c r="X49" s="509"/>
      <c r="Y49" s="509"/>
      <c r="Z49" s="512"/>
      <c r="AA49" s="509"/>
      <c r="AB49" s="509"/>
      <c r="AC49" s="509"/>
      <c r="AD49" s="512"/>
    </row>
    <row r="50" spans="3:30">
      <c r="C50" s="509"/>
      <c r="D50" s="509"/>
      <c r="E50" s="509"/>
      <c r="F50" s="509"/>
      <c r="G50" s="509"/>
      <c r="H50" s="509"/>
      <c r="I50" s="509"/>
      <c r="J50" s="509"/>
      <c r="K50" s="509"/>
      <c r="L50" s="509"/>
      <c r="M50" s="509"/>
      <c r="N50" s="509"/>
      <c r="O50" s="509"/>
      <c r="P50" s="509"/>
      <c r="Q50" s="509"/>
      <c r="R50" s="509"/>
      <c r="S50" s="509"/>
      <c r="T50" s="509"/>
      <c r="U50" s="509"/>
      <c r="V50" s="509"/>
      <c r="W50" s="509"/>
      <c r="X50" s="509"/>
      <c r="Y50" s="509"/>
      <c r="Z50" s="509"/>
      <c r="AA50" s="509"/>
      <c r="AB50" s="512"/>
      <c r="AC50" s="509"/>
      <c r="AD50" s="509"/>
    </row>
    <row r="51" spans="3:30">
      <c r="C51" s="509"/>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509"/>
      <c r="AC51" s="509"/>
      <c r="AD51" s="509"/>
    </row>
    <row r="52" spans="3:30">
      <c r="C52" s="509"/>
      <c r="D52" s="509"/>
      <c r="E52" s="509"/>
      <c r="F52" s="509"/>
      <c r="G52" s="509"/>
      <c r="H52" s="509"/>
      <c r="I52" s="509"/>
      <c r="J52" s="509"/>
      <c r="K52" s="509"/>
      <c r="L52" s="509"/>
      <c r="M52" s="509"/>
      <c r="N52" s="509"/>
      <c r="O52" s="509"/>
      <c r="P52" s="509"/>
      <c r="Q52" s="509"/>
      <c r="R52" s="509"/>
      <c r="S52" s="509"/>
      <c r="T52" s="509"/>
      <c r="U52" s="509"/>
      <c r="V52" s="509"/>
      <c r="W52" s="509"/>
      <c r="X52" s="509"/>
      <c r="Y52" s="509"/>
      <c r="Z52" s="521"/>
      <c r="AA52" s="509"/>
      <c r="AB52" s="509"/>
      <c r="AC52" s="509"/>
      <c r="AD52" s="509"/>
    </row>
    <row r="53" spans="3:30">
      <c r="C53" s="509"/>
      <c r="D53" s="509"/>
      <c r="E53" s="509"/>
      <c r="F53" s="509"/>
      <c r="G53" s="509"/>
      <c r="H53" s="509"/>
      <c r="I53" s="509"/>
      <c r="J53" s="521"/>
      <c r="K53" s="509"/>
      <c r="L53" s="509"/>
      <c r="M53" s="509"/>
      <c r="N53" s="509"/>
      <c r="O53" s="509"/>
      <c r="P53" s="509"/>
      <c r="Q53" s="509"/>
      <c r="R53" s="509"/>
      <c r="S53" s="509"/>
      <c r="T53" s="509"/>
      <c r="U53" s="509"/>
      <c r="V53" s="509"/>
      <c r="W53" s="509"/>
      <c r="X53" s="509"/>
      <c r="Y53" s="509"/>
      <c r="Z53" s="512"/>
      <c r="AA53" s="509"/>
      <c r="AB53" s="509"/>
      <c r="AC53" s="509"/>
      <c r="AD53" s="509"/>
    </row>
    <row r="54" spans="3:30">
      <c r="C54" s="509"/>
      <c r="D54" s="509"/>
      <c r="E54" s="509"/>
      <c r="F54" s="509"/>
      <c r="G54" s="509"/>
      <c r="H54" s="509"/>
      <c r="I54" s="509"/>
      <c r="J54" s="509"/>
      <c r="K54" s="509"/>
      <c r="L54" s="509"/>
      <c r="M54" s="509"/>
      <c r="N54" s="509"/>
      <c r="O54" s="509"/>
      <c r="P54" s="509"/>
      <c r="Q54" s="509"/>
      <c r="R54" s="509"/>
      <c r="S54" s="509"/>
      <c r="T54" s="509"/>
      <c r="U54" s="509"/>
      <c r="V54" s="509"/>
      <c r="W54" s="509"/>
      <c r="X54" s="509"/>
      <c r="Y54" s="509"/>
      <c r="Z54" s="509"/>
      <c r="AA54" s="509"/>
      <c r="AB54" s="509"/>
      <c r="AC54" s="509"/>
      <c r="AD54" s="509"/>
    </row>
    <row r="55" spans="3:30">
      <c r="C55" s="509"/>
      <c r="D55" s="509"/>
      <c r="E55" s="509"/>
      <c r="F55" s="509"/>
      <c r="G55" s="509"/>
      <c r="H55" s="509"/>
      <c r="I55" s="509"/>
      <c r="J55" s="509"/>
      <c r="K55" s="509"/>
      <c r="L55" s="509"/>
      <c r="M55" s="509"/>
      <c r="N55" s="509"/>
      <c r="O55" s="509"/>
      <c r="P55" s="509"/>
      <c r="Q55" s="509"/>
      <c r="R55" s="509"/>
      <c r="S55" s="509"/>
      <c r="T55" s="509"/>
      <c r="U55" s="509"/>
      <c r="V55" s="509"/>
      <c r="W55" s="509"/>
      <c r="X55" s="509"/>
      <c r="Y55" s="509"/>
      <c r="Z55" s="509"/>
      <c r="AA55" s="509"/>
      <c r="AB55" s="509"/>
      <c r="AC55" s="509"/>
      <c r="AD55" s="509"/>
    </row>
    <row r="56" spans="3:30">
      <c r="C56" s="509"/>
      <c r="D56" s="509"/>
      <c r="E56" s="509"/>
      <c r="F56" s="509"/>
      <c r="G56" s="509"/>
      <c r="H56" s="509"/>
      <c r="I56" s="509"/>
      <c r="J56" s="509"/>
      <c r="K56" s="509"/>
      <c r="L56" s="509"/>
      <c r="M56" s="509"/>
      <c r="N56" s="509"/>
      <c r="O56" s="509"/>
      <c r="P56" s="509"/>
      <c r="Q56" s="509"/>
      <c r="R56" s="509"/>
      <c r="S56" s="509"/>
      <c r="T56" s="509"/>
      <c r="U56" s="509"/>
      <c r="V56" s="509"/>
      <c r="W56" s="509"/>
      <c r="X56" s="509"/>
      <c r="Y56" s="509"/>
      <c r="Z56" s="509"/>
      <c r="AA56" s="509"/>
      <c r="AB56" s="509"/>
      <c r="AC56" s="509"/>
      <c r="AD56" s="509"/>
    </row>
    <row r="57" spans="3:30">
      <c r="C57" s="509"/>
      <c r="D57" s="509"/>
      <c r="E57" s="509"/>
      <c r="F57" s="509"/>
      <c r="G57" s="509"/>
      <c r="H57" s="509"/>
      <c r="I57" s="509"/>
      <c r="J57" s="509"/>
      <c r="K57" s="509"/>
      <c r="L57" s="509"/>
      <c r="M57" s="509"/>
      <c r="N57" s="509"/>
      <c r="O57" s="509"/>
      <c r="P57" s="509"/>
      <c r="Q57" s="509"/>
      <c r="R57" s="509"/>
      <c r="S57" s="509"/>
      <c r="T57" s="509"/>
      <c r="U57" s="509"/>
      <c r="V57" s="509"/>
      <c r="W57" s="509"/>
      <c r="X57" s="509"/>
      <c r="Y57" s="509"/>
      <c r="Z57" s="509"/>
      <c r="AA57" s="509"/>
      <c r="AB57" s="509"/>
      <c r="AC57" s="509"/>
      <c r="AD57" s="509"/>
    </row>
    <row r="58" spans="3:30">
      <c r="C58" s="509"/>
      <c r="D58" s="509"/>
      <c r="E58" s="509"/>
      <c r="F58" s="509"/>
      <c r="G58" s="509"/>
      <c r="H58" s="509"/>
      <c r="I58" s="509"/>
      <c r="J58" s="509"/>
      <c r="K58" s="509"/>
      <c r="L58" s="509"/>
      <c r="M58" s="509"/>
      <c r="N58" s="509"/>
      <c r="O58" s="509"/>
      <c r="P58" s="509"/>
      <c r="Q58" s="509"/>
      <c r="R58" s="509"/>
      <c r="S58" s="509"/>
      <c r="T58" s="509"/>
      <c r="U58" s="509"/>
      <c r="V58" s="509"/>
      <c r="W58" s="509"/>
      <c r="X58" s="509"/>
      <c r="Y58" s="509"/>
      <c r="Z58" s="509"/>
      <c r="AA58" s="509"/>
      <c r="AB58" s="509"/>
      <c r="AC58" s="509"/>
      <c r="AD58" s="509"/>
    </row>
    <row r="59" spans="3:30">
      <c r="C59" s="509"/>
      <c r="D59" s="509"/>
      <c r="E59" s="509"/>
      <c r="F59" s="509"/>
      <c r="G59" s="509"/>
      <c r="H59" s="509"/>
      <c r="I59" s="509"/>
      <c r="J59" s="509"/>
      <c r="K59" s="509"/>
      <c r="L59" s="509"/>
      <c r="M59" s="509"/>
      <c r="N59" s="509"/>
      <c r="O59" s="509"/>
      <c r="P59" s="509"/>
      <c r="Q59" s="509"/>
      <c r="R59" s="509"/>
      <c r="S59" s="509"/>
      <c r="T59" s="509"/>
      <c r="U59" s="509"/>
      <c r="V59" s="509"/>
      <c r="W59" s="509"/>
      <c r="X59" s="509"/>
      <c r="Y59" s="509"/>
      <c r="Z59" s="509"/>
      <c r="AA59" s="509"/>
      <c r="AB59" s="509"/>
      <c r="AC59" s="509"/>
      <c r="AD59" s="509"/>
    </row>
    <row r="60" spans="3:30">
      <c r="C60" s="509"/>
      <c r="D60" s="509"/>
      <c r="E60" s="509"/>
      <c r="F60" s="509"/>
      <c r="G60" s="509"/>
      <c r="H60" s="509"/>
      <c r="I60" s="509"/>
      <c r="J60" s="509"/>
      <c r="K60" s="509"/>
      <c r="L60" s="509"/>
      <c r="M60" s="509"/>
      <c r="N60" s="509"/>
      <c r="O60" s="509"/>
      <c r="P60" s="509"/>
      <c r="Q60" s="509"/>
      <c r="R60" s="509"/>
      <c r="S60" s="509"/>
      <c r="T60" s="509"/>
      <c r="U60" s="509"/>
      <c r="V60" s="509"/>
      <c r="W60" s="509"/>
      <c r="X60" s="509"/>
      <c r="Y60" s="509"/>
      <c r="Z60" s="509"/>
      <c r="AA60" s="509"/>
      <c r="AB60" s="509"/>
      <c r="AC60" s="509"/>
      <c r="AD60" s="509"/>
    </row>
    <row r="61" spans="3:30">
      <c r="C61" s="509"/>
      <c r="D61" s="509"/>
      <c r="E61" s="509"/>
      <c r="F61" s="509"/>
      <c r="G61" s="509"/>
      <c r="H61" s="509"/>
      <c r="I61" s="509"/>
      <c r="J61" s="509"/>
      <c r="K61" s="509"/>
      <c r="L61" s="509"/>
      <c r="M61" s="509"/>
      <c r="N61" s="509"/>
      <c r="O61" s="509"/>
      <c r="P61" s="509"/>
      <c r="Q61" s="509"/>
      <c r="R61" s="509"/>
      <c r="S61" s="509"/>
      <c r="T61" s="509"/>
      <c r="U61" s="509"/>
      <c r="V61" s="509"/>
      <c r="W61" s="509"/>
      <c r="X61" s="509"/>
      <c r="Y61" s="509"/>
      <c r="Z61" s="509"/>
      <c r="AA61" s="509"/>
      <c r="AB61" s="509"/>
      <c r="AC61" s="509"/>
      <c r="AD61" s="509"/>
    </row>
    <row r="62" spans="3:30">
      <c r="C62" s="509"/>
      <c r="D62" s="509"/>
      <c r="E62" s="509"/>
      <c r="F62" s="509"/>
      <c r="G62" s="509"/>
      <c r="H62" s="509"/>
      <c r="I62" s="509"/>
      <c r="J62" s="509"/>
      <c r="K62" s="509"/>
      <c r="L62" s="509"/>
      <c r="M62" s="509"/>
      <c r="N62" s="509"/>
      <c r="O62" s="509"/>
      <c r="P62" s="509"/>
      <c r="Q62" s="509"/>
      <c r="R62" s="509"/>
      <c r="S62" s="509"/>
      <c r="T62" s="509"/>
      <c r="U62" s="509"/>
      <c r="V62" s="509"/>
      <c r="W62" s="509"/>
      <c r="X62" s="509"/>
      <c r="Y62" s="509"/>
      <c r="Z62" s="509"/>
      <c r="AA62" s="509"/>
      <c r="AB62" s="509"/>
      <c r="AC62" s="509"/>
      <c r="AD62" s="509"/>
    </row>
    <row r="63" spans="3:30">
      <c r="C63" s="509"/>
      <c r="D63" s="509"/>
      <c r="E63" s="509"/>
      <c r="F63" s="509"/>
      <c r="G63" s="509"/>
      <c r="H63" s="509"/>
      <c r="I63" s="509"/>
      <c r="J63" s="509"/>
      <c r="K63" s="509"/>
      <c r="L63" s="509"/>
      <c r="M63" s="509"/>
      <c r="N63" s="509"/>
      <c r="O63" s="509"/>
      <c r="P63" s="509"/>
      <c r="Q63" s="509"/>
      <c r="R63" s="509"/>
      <c r="S63" s="509"/>
      <c r="T63" s="509"/>
      <c r="U63" s="509"/>
      <c r="V63" s="509"/>
      <c r="W63" s="509"/>
      <c r="X63" s="509"/>
      <c r="Y63" s="509"/>
      <c r="Z63" s="509"/>
      <c r="AA63" s="509"/>
      <c r="AB63" s="509"/>
      <c r="AC63" s="509"/>
      <c r="AD63" s="509"/>
    </row>
    <row r="64" spans="3:30">
      <c r="C64" s="509"/>
      <c r="D64" s="509"/>
      <c r="E64" s="509"/>
      <c r="F64" s="509"/>
      <c r="G64" s="509"/>
      <c r="H64" s="509"/>
      <c r="I64" s="509"/>
      <c r="J64" s="509"/>
      <c r="K64" s="509"/>
      <c r="L64" s="509"/>
      <c r="M64" s="509"/>
      <c r="N64" s="509"/>
      <c r="O64" s="509"/>
      <c r="P64" s="509"/>
      <c r="Q64" s="509"/>
      <c r="R64" s="509"/>
      <c r="S64" s="509"/>
      <c r="T64" s="509"/>
      <c r="U64" s="509"/>
      <c r="V64" s="509"/>
      <c r="W64" s="509"/>
      <c r="X64" s="509"/>
      <c r="Y64" s="509"/>
      <c r="Z64" s="509"/>
      <c r="AA64" s="509"/>
      <c r="AB64" s="509"/>
      <c r="AC64" s="509"/>
      <c r="AD64" s="509"/>
    </row>
    <row r="65" spans="3:30">
      <c r="C65" s="509"/>
      <c r="D65" s="509"/>
      <c r="E65" s="509"/>
      <c r="F65" s="509"/>
      <c r="G65" s="509"/>
      <c r="H65" s="509"/>
      <c r="I65" s="509"/>
      <c r="J65" s="509"/>
      <c r="K65" s="509"/>
      <c r="L65" s="509"/>
      <c r="M65" s="509"/>
      <c r="N65" s="509"/>
      <c r="O65" s="509"/>
      <c r="P65" s="509"/>
      <c r="Q65" s="509"/>
      <c r="R65" s="509"/>
      <c r="S65" s="509"/>
      <c r="T65" s="509"/>
      <c r="U65" s="509"/>
      <c r="V65" s="509"/>
      <c r="W65" s="509"/>
      <c r="X65" s="509"/>
      <c r="Y65" s="509"/>
      <c r="Z65" s="509"/>
      <c r="AA65" s="509"/>
      <c r="AB65" s="509"/>
      <c r="AC65" s="509"/>
      <c r="AD65" s="509"/>
    </row>
    <row r="66" spans="3:30">
      <c r="C66" s="509"/>
      <c r="D66" s="509"/>
      <c r="E66" s="509"/>
      <c r="F66" s="509"/>
      <c r="G66" s="509"/>
      <c r="H66" s="509"/>
      <c r="I66" s="509"/>
      <c r="J66" s="509"/>
      <c r="K66" s="509"/>
      <c r="L66" s="509"/>
      <c r="M66" s="509"/>
      <c r="N66" s="509"/>
      <c r="O66" s="509"/>
      <c r="P66" s="509"/>
      <c r="Q66" s="509"/>
      <c r="R66" s="509"/>
      <c r="S66" s="509"/>
      <c r="T66" s="509"/>
      <c r="U66" s="509"/>
      <c r="V66" s="509"/>
      <c r="W66" s="509"/>
      <c r="X66" s="509"/>
      <c r="Y66" s="509"/>
      <c r="Z66" s="509"/>
      <c r="AA66" s="509"/>
      <c r="AB66" s="509"/>
      <c r="AC66" s="509"/>
      <c r="AD66" s="509"/>
    </row>
    <row r="67" spans="3:30">
      <c r="C67" s="509"/>
      <c r="D67" s="509"/>
      <c r="E67" s="509"/>
      <c r="F67" s="509"/>
      <c r="G67" s="509"/>
      <c r="H67" s="509"/>
      <c r="I67" s="509"/>
      <c r="J67" s="509"/>
      <c r="K67" s="509"/>
      <c r="L67" s="509"/>
      <c r="M67" s="509"/>
      <c r="N67" s="509"/>
      <c r="O67" s="509"/>
      <c r="P67" s="509"/>
      <c r="Q67" s="509"/>
      <c r="R67" s="509"/>
      <c r="S67" s="509"/>
      <c r="T67" s="509"/>
      <c r="U67" s="509"/>
      <c r="V67" s="509"/>
      <c r="W67" s="509"/>
      <c r="X67" s="509"/>
      <c r="Y67" s="509"/>
      <c r="Z67" s="509"/>
      <c r="AA67" s="509"/>
      <c r="AB67" s="509"/>
      <c r="AC67" s="509"/>
      <c r="AD67" s="509"/>
    </row>
    <row r="68" spans="3:30">
      <c r="C68" s="509"/>
      <c r="D68" s="509"/>
      <c r="E68" s="509"/>
      <c r="F68" s="509"/>
      <c r="G68" s="509"/>
      <c r="H68" s="509"/>
      <c r="I68" s="509"/>
      <c r="J68" s="509"/>
      <c r="K68" s="509"/>
      <c r="L68" s="509"/>
      <c r="M68" s="509"/>
      <c r="N68" s="509"/>
      <c r="O68" s="509"/>
      <c r="P68" s="509"/>
      <c r="Q68" s="509"/>
      <c r="R68" s="509"/>
      <c r="S68" s="509"/>
      <c r="T68" s="509"/>
      <c r="U68" s="509"/>
      <c r="V68" s="509"/>
      <c r="W68" s="509"/>
      <c r="X68" s="509"/>
      <c r="Y68" s="509"/>
      <c r="Z68" s="509"/>
      <c r="AA68" s="509"/>
      <c r="AB68" s="509"/>
      <c r="AC68" s="509"/>
      <c r="AD68" s="509"/>
    </row>
    <row r="69" spans="3:30">
      <c r="C69" s="509"/>
      <c r="D69" s="509"/>
      <c r="E69" s="509"/>
      <c r="F69" s="509"/>
      <c r="G69" s="509"/>
      <c r="H69" s="509"/>
      <c r="I69" s="509"/>
      <c r="J69" s="509"/>
      <c r="K69" s="509"/>
      <c r="L69" s="509"/>
      <c r="M69" s="509"/>
      <c r="N69" s="509"/>
      <c r="O69" s="509"/>
      <c r="P69" s="509"/>
      <c r="Q69" s="509"/>
      <c r="R69" s="509"/>
      <c r="S69" s="509"/>
      <c r="T69" s="509"/>
      <c r="U69" s="509"/>
      <c r="V69" s="509"/>
      <c r="W69" s="509"/>
      <c r="X69" s="509"/>
      <c r="Y69" s="509"/>
      <c r="Z69" s="509"/>
      <c r="AA69" s="509"/>
      <c r="AB69" s="509"/>
      <c r="AC69" s="509"/>
      <c r="AD69" s="509"/>
    </row>
    <row r="70" spans="3:30">
      <c r="C70" s="509"/>
      <c r="D70" s="509"/>
      <c r="E70" s="509"/>
      <c r="F70" s="509"/>
      <c r="G70" s="509"/>
      <c r="H70" s="509"/>
      <c r="I70" s="509"/>
      <c r="J70" s="509"/>
      <c r="K70" s="509"/>
      <c r="L70" s="509"/>
      <c r="M70" s="509"/>
      <c r="N70" s="509"/>
      <c r="O70" s="509"/>
      <c r="P70" s="509"/>
      <c r="Q70" s="509"/>
      <c r="R70" s="509"/>
      <c r="S70" s="509"/>
      <c r="T70" s="509"/>
      <c r="U70" s="509"/>
      <c r="V70" s="509"/>
      <c r="W70" s="509"/>
      <c r="X70" s="509"/>
      <c r="Y70" s="509"/>
      <c r="Z70" s="509"/>
      <c r="AA70" s="509"/>
      <c r="AB70" s="509"/>
      <c r="AC70" s="509"/>
      <c r="AD70" s="509"/>
    </row>
    <row r="71" spans="3:30">
      <c r="C71" s="509"/>
      <c r="D71" s="509"/>
      <c r="E71" s="509"/>
      <c r="F71" s="509"/>
      <c r="G71" s="509"/>
      <c r="H71" s="509"/>
      <c r="I71" s="509"/>
      <c r="J71" s="509"/>
      <c r="K71" s="509"/>
      <c r="L71" s="509"/>
      <c r="M71" s="509"/>
      <c r="N71" s="509"/>
      <c r="O71" s="509"/>
      <c r="P71" s="509"/>
      <c r="Q71" s="509"/>
      <c r="R71" s="509"/>
      <c r="S71" s="509"/>
      <c r="T71" s="509"/>
      <c r="U71" s="509"/>
      <c r="V71" s="509"/>
      <c r="W71" s="509"/>
      <c r="X71" s="509"/>
      <c r="Y71" s="509"/>
      <c r="Z71" s="509"/>
      <c r="AA71" s="509"/>
      <c r="AB71" s="509"/>
      <c r="AC71" s="509"/>
      <c r="AD71" s="509"/>
    </row>
    <row r="72" spans="3:30">
      <c r="C72" s="509"/>
      <c r="D72" s="509"/>
      <c r="E72" s="509"/>
      <c r="F72" s="509"/>
      <c r="G72" s="509"/>
      <c r="H72" s="509"/>
      <c r="I72" s="509"/>
      <c r="J72" s="509"/>
      <c r="K72" s="509"/>
      <c r="L72" s="509"/>
      <c r="M72" s="509"/>
      <c r="N72" s="509"/>
      <c r="O72" s="509"/>
      <c r="P72" s="509"/>
      <c r="Q72" s="509"/>
      <c r="R72" s="509"/>
      <c r="S72" s="509"/>
      <c r="T72" s="509"/>
      <c r="U72" s="509"/>
      <c r="V72" s="509"/>
      <c r="W72" s="509"/>
      <c r="X72" s="509"/>
      <c r="Y72" s="509"/>
      <c r="Z72" s="509"/>
      <c r="AA72" s="509"/>
      <c r="AB72" s="509"/>
      <c r="AC72" s="509"/>
      <c r="AD72" s="509"/>
    </row>
    <row r="73" spans="3:30">
      <c r="C73" s="509"/>
      <c r="D73" s="509"/>
      <c r="E73" s="509"/>
      <c r="F73" s="509"/>
      <c r="G73" s="509"/>
      <c r="H73" s="509"/>
      <c r="I73" s="509"/>
      <c r="J73" s="509"/>
      <c r="K73" s="509"/>
      <c r="L73" s="509"/>
      <c r="M73" s="509"/>
      <c r="N73" s="509"/>
      <c r="O73" s="509"/>
      <c r="P73" s="509"/>
      <c r="Q73" s="509"/>
      <c r="R73" s="509"/>
      <c r="S73" s="509"/>
      <c r="T73" s="509"/>
      <c r="U73" s="509"/>
      <c r="V73" s="509"/>
      <c r="W73" s="509"/>
      <c r="X73" s="509"/>
      <c r="Y73" s="509"/>
      <c r="Z73" s="509"/>
      <c r="AA73" s="509"/>
      <c r="AB73" s="509"/>
      <c r="AC73" s="509"/>
      <c r="AD73" s="509"/>
    </row>
    <row r="74" spans="3:30">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row>
    <row r="75" spans="3:30">
      <c r="C75" s="509"/>
      <c r="D75" s="509"/>
      <c r="E75" s="509"/>
      <c r="F75" s="509"/>
      <c r="G75" s="509"/>
      <c r="H75" s="509"/>
      <c r="I75" s="509"/>
      <c r="J75" s="509"/>
      <c r="K75" s="509"/>
      <c r="L75" s="509"/>
      <c r="M75" s="509"/>
      <c r="N75" s="509"/>
      <c r="O75" s="509"/>
      <c r="P75" s="509"/>
      <c r="Q75" s="509"/>
      <c r="R75" s="509"/>
      <c r="S75" s="509"/>
      <c r="T75" s="509"/>
      <c r="U75" s="509"/>
      <c r="V75" s="509"/>
      <c r="W75" s="509"/>
      <c r="X75" s="509"/>
      <c r="Y75" s="509"/>
      <c r="Z75" s="509"/>
      <c r="AA75" s="509"/>
      <c r="AB75" s="509"/>
      <c r="AC75" s="509"/>
      <c r="AD75" s="509"/>
    </row>
    <row r="76" spans="3:30">
      <c r="C76" s="509"/>
      <c r="D76" s="509"/>
      <c r="E76" s="509"/>
      <c r="F76" s="509"/>
      <c r="G76" s="509"/>
      <c r="H76" s="509"/>
      <c r="I76" s="509"/>
      <c r="J76" s="509"/>
      <c r="K76" s="509"/>
      <c r="L76" s="509"/>
      <c r="M76" s="509"/>
      <c r="N76" s="509"/>
      <c r="O76" s="509"/>
      <c r="P76" s="509"/>
      <c r="Q76" s="509"/>
      <c r="R76" s="509"/>
      <c r="S76" s="509"/>
      <c r="T76" s="509"/>
      <c r="U76" s="509"/>
      <c r="V76" s="509"/>
      <c r="W76" s="509"/>
      <c r="X76" s="509"/>
      <c r="Y76" s="509"/>
      <c r="Z76" s="509"/>
      <c r="AA76" s="509"/>
      <c r="AB76" s="509"/>
      <c r="AC76" s="509"/>
      <c r="AD76" s="509"/>
    </row>
    <row r="77" spans="3:30">
      <c r="C77" s="509"/>
      <c r="D77" s="509"/>
      <c r="E77" s="509"/>
      <c r="F77" s="509"/>
      <c r="G77" s="509"/>
      <c r="H77" s="509"/>
      <c r="I77" s="509"/>
      <c r="J77" s="509"/>
      <c r="K77" s="509"/>
      <c r="L77" s="509"/>
      <c r="M77" s="509"/>
      <c r="N77" s="509"/>
      <c r="O77" s="509"/>
      <c r="P77" s="509"/>
      <c r="Q77" s="509"/>
      <c r="R77" s="509"/>
      <c r="S77" s="509"/>
      <c r="T77" s="509"/>
      <c r="U77" s="509"/>
      <c r="V77" s="509"/>
      <c r="W77" s="509"/>
      <c r="X77" s="509"/>
      <c r="Y77" s="509"/>
      <c r="Z77" s="509"/>
      <c r="AA77" s="509"/>
      <c r="AB77" s="509"/>
      <c r="AC77" s="509"/>
      <c r="AD77" s="509"/>
    </row>
    <row r="78" spans="3:30">
      <c r="C78" s="509"/>
      <c r="D78" s="509"/>
      <c r="E78" s="509"/>
      <c r="F78" s="509"/>
      <c r="G78" s="509"/>
      <c r="H78" s="509"/>
      <c r="I78" s="509"/>
      <c r="J78" s="509"/>
      <c r="K78" s="509"/>
      <c r="L78" s="509"/>
      <c r="M78" s="509"/>
      <c r="N78" s="509"/>
      <c r="O78" s="509"/>
      <c r="P78" s="509"/>
      <c r="Q78" s="509"/>
      <c r="R78" s="509"/>
      <c r="S78" s="509"/>
      <c r="T78" s="509"/>
      <c r="U78" s="509"/>
      <c r="V78" s="509"/>
      <c r="W78" s="509"/>
      <c r="X78" s="509"/>
      <c r="Y78" s="509"/>
      <c r="Z78" s="509"/>
      <c r="AA78" s="509"/>
      <c r="AB78" s="509"/>
      <c r="AC78" s="509"/>
      <c r="AD78" s="509"/>
    </row>
    <row r="79" spans="3:30">
      <c r="C79" s="509"/>
      <c r="D79" s="509"/>
      <c r="E79" s="509"/>
      <c r="F79" s="509"/>
      <c r="G79" s="509"/>
      <c r="H79" s="509"/>
      <c r="I79" s="509"/>
      <c r="J79" s="509"/>
      <c r="K79" s="509"/>
      <c r="L79" s="509"/>
      <c r="M79" s="509"/>
      <c r="N79" s="509"/>
      <c r="O79" s="509"/>
      <c r="P79" s="509"/>
      <c r="Q79" s="509"/>
      <c r="R79" s="509"/>
      <c r="S79" s="509"/>
      <c r="T79" s="509"/>
      <c r="U79" s="509"/>
      <c r="V79" s="509"/>
      <c r="W79" s="509"/>
      <c r="X79" s="509"/>
      <c r="Y79" s="509"/>
      <c r="Z79" s="509"/>
      <c r="AA79" s="509"/>
      <c r="AB79" s="509"/>
      <c r="AC79" s="509"/>
      <c r="AD79" s="509"/>
    </row>
    <row r="80" spans="3:30">
      <c r="C80" s="509"/>
      <c r="D80" s="509"/>
      <c r="E80" s="509"/>
      <c r="F80" s="509"/>
      <c r="G80" s="509"/>
      <c r="H80" s="509"/>
      <c r="I80" s="509"/>
      <c r="J80" s="509"/>
      <c r="K80" s="509"/>
      <c r="L80" s="509"/>
      <c r="M80" s="509"/>
      <c r="N80" s="509"/>
      <c r="O80" s="509"/>
      <c r="P80" s="509"/>
      <c r="Q80" s="509"/>
      <c r="R80" s="509"/>
      <c r="S80" s="509"/>
      <c r="T80" s="509"/>
      <c r="U80" s="509"/>
      <c r="V80" s="509"/>
      <c r="W80" s="509"/>
      <c r="X80" s="509"/>
      <c r="Y80" s="509"/>
      <c r="Z80" s="509"/>
      <c r="AA80" s="509"/>
      <c r="AB80" s="509"/>
      <c r="AC80" s="509"/>
      <c r="AD80" s="509"/>
    </row>
    <row r="81" spans="3:30">
      <c r="C81" s="509"/>
      <c r="D81" s="509"/>
      <c r="E81" s="509"/>
      <c r="F81" s="509"/>
      <c r="G81" s="509"/>
      <c r="H81" s="509"/>
      <c r="I81" s="509"/>
      <c r="J81" s="509"/>
      <c r="K81" s="509"/>
      <c r="L81" s="509"/>
      <c r="M81" s="509"/>
      <c r="N81" s="509"/>
      <c r="O81" s="509"/>
      <c r="P81" s="509"/>
      <c r="Q81" s="509"/>
      <c r="R81" s="509"/>
      <c r="S81" s="509"/>
      <c r="T81" s="509"/>
      <c r="U81" s="509"/>
      <c r="V81" s="509"/>
      <c r="W81" s="509"/>
      <c r="X81" s="509"/>
      <c r="Y81" s="509"/>
      <c r="Z81" s="509"/>
      <c r="AA81" s="509"/>
      <c r="AB81" s="509"/>
      <c r="AC81" s="509"/>
      <c r="AD81" s="509"/>
    </row>
    <row r="82" spans="3:30">
      <c r="C82" s="509"/>
      <c r="D82" s="509"/>
      <c r="E82" s="509"/>
      <c r="F82" s="509"/>
      <c r="G82" s="509"/>
      <c r="H82" s="509"/>
      <c r="I82" s="509"/>
      <c r="J82" s="509"/>
      <c r="K82" s="509"/>
      <c r="L82" s="509"/>
      <c r="M82" s="509"/>
      <c r="N82" s="509"/>
      <c r="O82" s="509"/>
      <c r="P82" s="509"/>
      <c r="Q82" s="509"/>
      <c r="R82" s="509"/>
      <c r="S82" s="509"/>
      <c r="T82" s="509"/>
      <c r="U82" s="509"/>
      <c r="V82" s="509"/>
      <c r="W82" s="509"/>
      <c r="X82" s="509"/>
      <c r="Y82" s="509"/>
      <c r="Z82" s="509"/>
      <c r="AA82" s="509"/>
      <c r="AB82" s="509"/>
      <c r="AC82" s="509"/>
      <c r="AD82" s="509"/>
    </row>
    <row r="83" spans="3:30">
      <c r="C83" s="509"/>
      <c r="D83" s="509"/>
      <c r="E83" s="509"/>
      <c r="F83" s="509"/>
      <c r="G83" s="509"/>
      <c r="H83" s="509"/>
      <c r="I83" s="509"/>
      <c r="J83" s="509"/>
      <c r="K83" s="509"/>
      <c r="L83" s="509"/>
      <c r="M83" s="509"/>
      <c r="N83" s="509"/>
      <c r="O83" s="509"/>
      <c r="P83" s="509"/>
      <c r="Q83" s="509"/>
      <c r="R83" s="509"/>
      <c r="S83" s="509"/>
      <c r="T83" s="509"/>
      <c r="U83" s="509"/>
      <c r="V83" s="509"/>
      <c r="W83" s="509"/>
      <c r="X83" s="509"/>
      <c r="Y83" s="509"/>
      <c r="Z83" s="509"/>
      <c r="AA83" s="509"/>
      <c r="AB83" s="509"/>
      <c r="AC83" s="509"/>
      <c r="AD83" s="509"/>
    </row>
    <row r="84" spans="3:30">
      <c r="C84" s="509"/>
      <c r="D84" s="509"/>
      <c r="E84" s="509"/>
      <c r="F84" s="509"/>
      <c r="G84" s="509"/>
      <c r="H84" s="509"/>
      <c r="I84" s="509"/>
      <c r="J84" s="509"/>
      <c r="K84" s="509"/>
      <c r="L84" s="509"/>
      <c r="M84" s="509"/>
      <c r="N84" s="509"/>
      <c r="O84" s="509"/>
      <c r="P84" s="509"/>
      <c r="Q84" s="509"/>
      <c r="R84" s="509"/>
      <c r="S84" s="509"/>
      <c r="T84" s="509"/>
      <c r="U84" s="509"/>
      <c r="V84" s="509"/>
      <c r="W84" s="509"/>
      <c r="X84" s="509"/>
      <c r="Y84" s="509"/>
      <c r="Z84" s="509"/>
      <c r="AA84" s="509"/>
      <c r="AB84" s="509"/>
      <c r="AC84" s="509"/>
      <c r="AD84" s="509"/>
    </row>
    <row r="85" spans="3:30">
      <c r="C85" s="509"/>
      <c r="D85" s="509"/>
      <c r="E85" s="509"/>
      <c r="F85" s="509"/>
      <c r="G85" s="509"/>
      <c r="H85" s="509"/>
      <c r="I85" s="509"/>
      <c r="J85" s="509"/>
      <c r="K85" s="509"/>
      <c r="L85" s="509"/>
      <c r="M85" s="509"/>
      <c r="N85" s="509"/>
      <c r="O85" s="509"/>
      <c r="P85" s="509"/>
      <c r="Q85" s="509"/>
      <c r="R85" s="509"/>
      <c r="S85" s="509"/>
      <c r="T85" s="509"/>
      <c r="U85" s="509"/>
      <c r="V85" s="509"/>
      <c r="W85" s="509"/>
      <c r="X85" s="509"/>
      <c r="Y85" s="509"/>
      <c r="Z85" s="509"/>
      <c r="AA85" s="509"/>
      <c r="AB85" s="509"/>
      <c r="AC85" s="509"/>
      <c r="AD85" s="509"/>
    </row>
    <row r="86" spans="3:30">
      <c r="C86" s="509"/>
      <c r="D86" s="509"/>
      <c r="E86" s="509"/>
      <c r="F86" s="509"/>
      <c r="G86" s="509"/>
      <c r="H86" s="509"/>
      <c r="I86" s="509"/>
      <c r="J86" s="509"/>
      <c r="K86" s="509"/>
      <c r="L86" s="509"/>
      <c r="M86" s="509"/>
      <c r="N86" s="509"/>
      <c r="O86" s="509"/>
      <c r="P86" s="509"/>
      <c r="Q86" s="509"/>
      <c r="R86" s="509"/>
      <c r="S86" s="509"/>
      <c r="T86" s="509"/>
      <c r="U86" s="509"/>
      <c r="V86" s="509"/>
      <c r="W86" s="509"/>
      <c r="X86" s="509"/>
      <c r="Y86" s="509"/>
      <c r="Z86" s="509"/>
      <c r="AA86" s="509"/>
      <c r="AB86" s="509"/>
      <c r="AC86" s="509"/>
      <c r="AD86" s="509"/>
    </row>
    <row r="87" spans="3:30">
      <c r="C87" s="509"/>
      <c r="D87" s="509"/>
      <c r="E87" s="509"/>
      <c r="F87" s="509"/>
      <c r="G87" s="509"/>
      <c r="H87" s="509"/>
      <c r="I87" s="509"/>
      <c r="J87" s="509"/>
      <c r="K87" s="509"/>
      <c r="L87" s="509"/>
      <c r="M87" s="509"/>
      <c r="N87" s="509"/>
      <c r="O87" s="509"/>
      <c r="P87" s="509"/>
      <c r="Q87" s="509"/>
      <c r="R87" s="509"/>
      <c r="S87" s="509"/>
      <c r="T87" s="509"/>
      <c r="U87" s="509"/>
      <c r="V87" s="509"/>
      <c r="W87" s="509"/>
      <c r="X87" s="509"/>
      <c r="Y87" s="509"/>
      <c r="Z87" s="509"/>
      <c r="AA87" s="509"/>
      <c r="AB87" s="509"/>
      <c r="AC87" s="509"/>
      <c r="AD87" s="509"/>
    </row>
    <row r="88" spans="3:30">
      <c r="C88" s="509"/>
      <c r="D88" s="509"/>
      <c r="E88" s="509"/>
      <c r="F88" s="509"/>
      <c r="G88" s="509"/>
      <c r="H88" s="509"/>
      <c r="I88" s="509"/>
      <c r="J88" s="509"/>
      <c r="K88" s="509"/>
      <c r="L88" s="509"/>
      <c r="M88" s="509"/>
      <c r="N88" s="509"/>
      <c r="O88" s="509"/>
      <c r="P88" s="509"/>
      <c r="Q88" s="509"/>
      <c r="R88" s="509"/>
      <c r="S88" s="509"/>
      <c r="T88" s="509"/>
      <c r="U88" s="509"/>
      <c r="V88" s="509"/>
      <c r="W88" s="509"/>
      <c r="X88" s="509"/>
      <c r="Y88" s="509"/>
      <c r="Z88" s="509"/>
      <c r="AA88" s="509"/>
      <c r="AB88" s="509"/>
      <c r="AC88" s="509"/>
      <c r="AD88" s="509"/>
    </row>
    <row r="89" spans="3:30">
      <c r="C89" s="509"/>
      <c r="D89" s="509"/>
      <c r="E89" s="509"/>
      <c r="F89" s="509"/>
      <c r="G89" s="509"/>
      <c r="H89" s="509"/>
      <c r="I89" s="509"/>
      <c r="J89" s="509"/>
      <c r="K89" s="509"/>
      <c r="L89" s="509"/>
      <c r="M89" s="509"/>
      <c r="N89" s="509"/>
      <c r="O89" s="509"/>
      <c r="P89" s="509"/>
      <c r="Q89" s="509"/>
      <c r="R89" s="509"/>
      <c r="S89" s="509"/>
      <c r="T89" s="509"/>
      <c r="U89" s="509"/>
      <c r="V89" s="509"/>
      <c r="W89" s="509"/>
      <c r="X89" s="509"/>
      <c r="Y89" s="509"/>
      <c r="Z89" s="509"/>
      <c r="AA89" s="509"/>
      <c r="AB89" s="509"/>
      <c r="AC89" s="509"/>
      <c r="AD89" s="509"/>
    </row>
    <row r="90" spans="3:30">
      <c r="C90" s="509"/>
      <c r="D90" s="509"/>
      <c r="E90" s="509"/>
      <c r="F90" s="509"/>
      <c r="G90" s="509"/>
      <c r="H90" s="509"/>
      <c r="I90" s="509"/>
      <c r="J90" s="509"/>
      <c r="K90" s="509"/>
      <c r="L90" s="509"/>
      <c r="M90" s="509"/>
      <c r="N90" s="509"/>
      <c r="O90" s="509"/>
      <c r="P90" s="509"/>
      <c r="Q90" s="509"/>
      <c r="R90" s="509"/>
      <c r="S90" s="509"/>
      <c r="T90" s="509"/>
      <c r="U90" s="509"/>
      <c r="V90" s="509"/>
      <c r="W90" s="509"/>
      <c r="X90" s="509"/>
      <c r="Y90" s="509"/>
      <c r="Z90" s="509"/>
      <c r="AA90" s="509"/>
      <c r="AB90" s="509"/>
      <c r="AC90" s="509"/>
      <c r="AD90" s="509"/>
    </row>
    <row r="91" spans="3:30">
      <c r="C91" s="509"/>
      <c r="D91" s="509"/>
      <c r="E91" s="509"/>
      <c r="F91" s="509"/>
      <c r="G91" s="509"/>
      <c r="H91" s="509"/>
      <c r="I91" s="509"/>
      <c r="J91" s="509"/>
      <c r="K91" s="509"/>
      <c r="L91" s="509"/>
      <c r="M91" s="509"/>
      <c r="N91" s="509"/>
      <c r="O91" s="509"/>
      <c r="P91" s="509"/>
      <c r="Q91" s="509"/>
      <c r="R91" s="509"/>
      <c r="S91" s="509"/>
      <c r="T91" s="509"/>
      <c r="U91" s="509"/>
      <c r="V91" s="509"/>
      <c r="W91" s="509"/>
      <c r="X91" s="509"/>
      <c r="Y91" s="509"/>
      <c r="Z91" s="509"/>
      <c r="AA91" s="509"/>
      <c r="AB91" s="509"/>
      <c r="AC91" s="509"/>
      <c r="AD91" s="509"/>
    </row>
    <row r="92" spans="3:30">
      <c r="C92" s="509"/>
      <c r="D92" s="509"/>
      <c r="E92" s="509"/>
      <c r="F92" s="509"/>
      <c r="G92" s="509"/>
      <c r="H92" s="509"/>
      <c r="I92" s="509"/>
      <c r="J92" s="509"/>
      <c r="K92" s="509"/>
      <c r="L92" s="509"/>
      <c r="M92" s="509"/>
      <c r="N92" s="509"/>
      <c r="O92" s="509"/>
      <c r="P92" s="509"/>
      <c r="Q92" s="509"/>
      <c r="R92" s="509"/>
      <c r="S92" s="509"/>
      <c r="T92" s="509"/>
      <c r="U92" s="509"/>
      <c r="V92" s="509"/>
      <c r="W92" s="509"/>
      <c r="X92" s="509"/>
      <c r="Y92" s="509"/>
      <c r="Z92" s="509"/>
      <c r="AA92" s="509"/>
      <c r="AB92" s="509"/>
      <c r="AC92" s="509"/>
      <c r="AD92" s="509"/>
    </row>
    <row r="93" spans="3:30">
      <c r="C93" s="509"/>
      <c r="D93" s="509"/>
      <c r="E93" s="509"/>
      <c r="F93" s="509"/>
      <c r="G93" s="509"/>
      <c r="H93" s="509"/>
      <c r="I93" s="509"/>
      <c r="J93" s="509"/>
      <c r="K93" s="509"/>
      <c r="L93" s="509"/>
      <c r="M93" s="509"/>
      <c r="N93" s="509"/>
      <c r="O93" s="509"/>
      <c r="P93" s="509"/>
      <c r="Q93" s="509"/>
      <c r="R93" s="509"/>
      <c r="S93" s="509"/>
      <c r="T93" s="509"/>
      <c r="U93" s="509"/>
      <c r="V93" s="509"/>
      <c r="W93" s="509"/>
      <c r="X93" s="509"/>
      <c r="Y93" s="509"/>
      <c r="Z93" s="509"/>
      <c r="AA93" s="509"/>
      <c r="AB93" s="509"/>
      <c r="AC93" s="509"/>
      <c r="AD93" s="509"/>
    </row>
    <row r="94" spans="3:30">
      <c r="C94" s="509"/>
      <c r="D94" s="509"/>
      <c r="E94" s="509"/>
      <c r="F94" s="509"/>
      <c r="G94" s="509"/>
      <c r="H94" s="509"/>
      <c r="I94" s="509"/>
      <c r="J94" s="509"/>
      <c r="K94" s="509"/>
      <c r="L94" s="509"/>
      <c r="M94" s="509"/>
      <c r="N94" s="509"/>
      <c r="O94" s="509"/>
      <c r="P94" s="509"/>
      <c r="Q94" s="509"/>
      <c r="R94" s="509"/>
      <c r="S94" s="509"/>
      <c r="T94" s="509"/>
      <c r="U94" s="509"/>
      <c r="V94" s="509"/>
      <c r="W94" s="509"/>
      <c r="X94" s="509"/>
      <c r="Y94" s="509"/>
      <c r="Z94" s="509"/>
      <c r="AA94" s="509"/>
      <c r="AB94" s="509"/>
      <c r="AC94" s="509"/>
      <c r="AD94" s="509"/>
    </row>
    <row r="95" spans="3:30">
      <c r="C95" s="509"/>
      <c r="D95" s="509"/>
      <c r="E95" s="509"/>
      <c r="F95" s="509"/>
      <c r="G95" s="509"/>
      <c r="H95" s="509"/>
      <c r="I95" s="509"/>
      <c r="J95" s="509"/>
      <c r="K95" s="509"/>
      <c r="L95" s="509"/>
      <c r="M95" s="509"/>
      <c r="N95" s="509"/>
      <c r="O95" s="509"/>
      <c r="P95" s="509"/>
      <c r="Q95" s="509"/>
      <c r="R95" s="509"/>
      <c r="S95" s="509"/>
      <c r="T95" s="509"/>
      <c r="U95" s="509"/>
      <c r="V95" s="509"/>
      <c r="W95" s="509"/>
      <c r="X95" s="509"/>
      <c r="Y95" s="509"/>
      <c r="Z95" s="509"/>
      <c r="AA95" s="509"/>
      <c r="AB95" s="509"/>
      <c r="AC95" s="509"/>
      <c r="AD95" s="509"/>
    </row>
    <row r="96" spans="3:30">
      <c r="C96" s="509"/>
      <c r="D96" s="509"/>
      <c r="E96" s="509"/>
      <c r="F96" s="509"/>
      <c r="G96" s="509"/>
      <c r="H96" s="509"/>
      <c r="I96" s="509"/>
      <c r="J96" s="509"/>
      <c r="K96" s="509"/>
      <c r="L96" s="509"/>
      <c r="M96" s="509"/>
      <c r="N96" s="509"/>
      <c r="O96" s="509"/>
      <c r="P96" s="509"/>
      <c r="Q96" s="509"/>
      <c r="R96" s="509"/>
      <c r="S96" s="509"/>
      <c r="T96" s="509"/>
      <c r="U96" s="509"/>
      <c r="V96" s="509"/>
      <c r="W96" s="509"/>
      <c r="X96" s="509"/>
      <c r="Y96" s="509"/>
      <c r="Z96" s="509"/>
      <c r="AA96" s="509"/>
      <c r="AB96" s="509"/>
      <c r="AC96" s="509"/>
      <c r="AD96" s="509"/>
    </row>
    <row r="97" spans="3:30">
      <c r="C97" s="509"/>
      <c r="D97" s="509"/>
      <c r="E97" s="509"/>
      <c r="F97" s="509"/>
      <c r="G97" s="509"/>
      <c r="H97" s="509"/>
      <c r="I97" s="509"/>
      <c r="J97" s="509"/>
      <c r="K97" s="509"/>
      <c r="L97" s="509"/>
      <c r="M97" s="509"/>
      <c r="N97" s="509"/>
      <c r="O97" s="509"/>
      <c r="P97" s="509"/>
      <c r="Q97" s="509"/>
      <c r="R97" s="509"/>
      <c r="S97" s="509"/>
      <c r="T97" s="509"/>
      <c r="U97" s="509"/>
      <c r="V97" s="509"/>
      <c r="W97" s="509"/>
      <c r="X97" s="509"/>
      <c r="Y97" s="509"/>
      <c r="Z97" s="509"/>
      <c r="AA97" s="509"/>
      <c r="AB97" s="509"/>
      <c r="AC97" s="509"/>
      <c r="AD97" s="509"/>
    </row>
    <row r="98" spans="3:30">
      <c r="C98" s="509"/>
      <c r="D98" s="509"/>
      <c r="E98" s="509"/>
      <c r="F98" s="509"/>
      <c r="G98" s="509"/>
      <c r="H98" s="509"/>
      <c r="I98" s="509"/>
      <c r="J98" s="509"/>
      <c r="K98" s="509"/>
      <c r="L98" s="509"/>
      <c r="M98" s="509"/>
      <c r="N98" s="509"/>
      <c r="O98" s="509"/>
      <c r="P98" s="509"/>
      <c r="Q98" s="509"/>
      <c r="R98" s="509"/>
      <c r="S98" s="509"/>
      <c r="T98" s="509"/>
      <c r="U98" s="509"/>
      <c r="V98" s="509"/>
      <c r="W98" s="509"/>
      <c r="X98" s="509"/>
      <c r="Y98" s="509"/>
      <c r="Z98" s="509"/>
      <c r="AA98" s="509"/>
      <c r="AB98" s="509"/>
      <c r="AC98" s="509"/>
      <c r="AD98" s="509"/>
    </row>
    <row r="99" spans="3:30">
      <c r="C99" s="509"/>
      <c r="D99" s="509"/>
      <c r="E99" s="509"/>
      <c r="F99" s="509"/>
      <c r="G99" s="509"/>
      <c r="H99" s="509"/>
      <c r="I99" s="509"/>
      <c r="J99" s="509"/>
      <c r="K99" s="509"/>
      <c r="L99" s="509"/>
      <c r="M99" s="509"/>
      <c r="N99" s="509"/>
      <c r="O99" s="509"/>
      <c r="P99" s="509"/>
      <c r="Q99" s="509"/>
      <c r="R99" s="509"/>
      <c r="S99" s="509"/>
      <c r="T99" s="509"/>
      <c r="U99" s="509"/>
      <c r="V99" s="509"/>
      <c r="W99" s="509"/>
      <c r="X99" s="509"/>
      <c r="Y99" s="509"/>
      <c r="Z99" s="509"/>
      <c r="AA99" s="509"/>
      <c r="AB99" s="509"/>
      <c r="AC99" s="509"/>
      <c r="AD99" s="509"/>
    </row>
    <row r="100" spans="3:30">
      <c r="C100" s="509"/>
      <c r="D100" s="509"/>
      <c r="E100" s="509"/>
      <c r="F100" s="509"/>
      <c r="G100" s="509"/>
      <c r="H100" s="509"/>
      <c r="I100" s="509"/>
      <c r="J100" s="509"/>
      <c r="K100" s="509"/>
      <c r="L100" s="509"/>
      <c r="M100" s="509"/>
      <c r="N100" s="509"/>
      <c r="O100" s="509"/>
      <c r="P100" s="509"/>
      <c r="Q100" s="509"/>
      <c r="R100" s="509"/>
      <c r="S100" s="509"/>
      <c r="T100" s="509"/>
      <c r="U100" s="509"/>
      <c r="V100" s="509"/>
      <c r="W100" s="509"/>
      <c r="X100" s="509"/>
      <c r="Y100" s="509"/>
      <c r="Z100" s="509"/>
      <c r="AA100" s="509"/>
      <c r="AB100" s="509"/>
      <c r="AC100" s="509"/>
      <c r="AD100" s="509"/>
    </row>
    <row r="101" spans="3:30">
      <c r="C101" s="509"/>
      <c r="D101" s="509"/>
      <c r="E101" s="509"/>
      <c r="F101" s="509"/>
      <c r="G101" s="509"/>
      <c r="H101" s="509"/>
      <c r="I101" s="509"/>
      <c r="J101" s="509"/>
      <c r="K101" s="509"/>
      <c r="L101" s="509"/>
      <c r="M101" s="509"/>
      <c r="N101" s="509"/>
      <c r="O101" s="509"/>
      <c r="P101" s="509"/>
      <c r="Q101" s="509"/>
      <c r="R101" s="509"/>
      <c r="S101" s="509"/>
      <c r="T101" s="509"/>
      <c r="U101" s="509"/>
      <c r="V101" s="509"/>
      <c r="W101" s="509"/>
      <c r="X101" s="509"/>
      <c r="Y101" s="509"/>
      <c r="Z101" s="509"/>
      <c r="AA101" s="509"/>
      <c r="AB101" s="509"/>
      <c r="AC101" s="509"/>
      <c r="AD101" s="509"/>
    </row>
    <row r="102" spans="3:30">
      <c r="C102" s="509"/>
      <c r="D102" s="509"/>
      <c r="E102" s="509"/>
      <c r="F102" s="509"/>
      <c r="G102" s="509"/>
      <c r="H102" s="509"/>
      <c r="I102" s="509"/>
      <c r="J102" s="509"/>
      <c r="K102" s="509"/>
      <c r="L102" s="509"/>
      <c r="M102" s="509"/>
      <c r="N102" s="509"/>
      <c r="O102" s="509"/>
      <c r="P102" s="509"/>
      <c r="Q102" s="509"/>
      <c r="R102" s="509"/>
      <c r="S102" s="509"/>
      <c r="T102" s="509"/>
      <c r="U102" s="509"/>
      <c r="V102" s="509"/>
      <c r="W102" s="509"/>
      <c r="X102" s="509"/>
      <c r="Y102" s="509"/>
      <c r="Z102" s="509"/>
      <c r="AA102" s="509"/>
      <c r="AB102" s="509"/>
      <c r="AC102" s="509"/>
      <c r="AD102" s="509"/>
    </row>
    <row r="103" spans="3:30">
      <c r="C103" s="509"/>
      <c r="D103" s="509"/>
      <c r="E103" s="509"/>
      <c r="F103" s="509"/>
      <c r="G103" s="509"/>
      <c r="H103" s="509"/>
      <c r="I103" s="509"/>
      <c r="J103" s="509"/>
      <c r="K103" s="509"/>
      <c r="L103" s="509"/>
      <c r="M103" s="509"/>
      <c r="N103" s="509"/>
      <c r="O103" s="509"/>
      <c r="P103" s="509"/>
      <c r="Q103" s="509"/>
      <c r="R103" s="509"/>
      <c r="S103" s="509"/>
      <c r="T103" s="509"/>
      <c r="U103" s="509"/>
      <c r="V103" s="509"/>
      <c r="W103" s="509"/>
      <c r="X103" s="509"/>
      <c r="Y103" s="509"/>
      <c r="Z103" s="509"/>
      <c r="AA103" s="509"/>
      <c r="AB103" s="509"/>
      <c r="AC103" s="509"/>
      <c r="AD103" s="509"/>
    </row>
    <row r="104" spans="3:30">
      <c r="C104" s="509"/>
      <c r="D104" s="509"/>
      <c r="E104" s="509"/>
      <c r="F104" s="509"/>
      <c r="G104" s="509"/>
      <c r="H104" s="509"/>
      <c r="I104" s="509"/>
      <c r="J104" s="509"/>
      <c r="K104" s="509"/>
      <c r="L104" s="509"/>
      <c r="M104" s="509"/>
      <c r="N104" s="509"/>
      <c r="O104" s="509"/>
      <c r="P104" s="509"/>
      <c r="Q104" s="509"/>
      <c r="R104" s="509"/>
      <c r="S104" s="509"/>
      <c r="T104" s="509"/>
      <c r="U104" s="509"/>
      <c r="V104" s="509"/>
      <c r="W104" s="509"/>
      <c r="X104" s="509"/>
      <c r="Y104" s="509"/>
      <c r="Z104" s="509"/>
      <c r="AA104" s="509"/>
      <c r="AB104" s="509"/>
      <c r="AC104" s="509"/>
      <c r="AD104" s="509"/>
    </row>
    <row r="105" spans="3:30">
      <c r="C105" s="509"/>
      <c r="D105" s="509"/>
      <c r="E105" s="509"/>
      <c r="F105" s="509"/>
      <c r="G105" s="509"/>
      <c r="H105" s="509"/>
      <c r="I105" s="509"/>
      <c r="J105" s="509"/>
      <c r="K105" s="509"/>
      <c r="L105" s="509"/>
      <c r="M105" s="509"/>
      <c r="N105" s="509"/>
      <c r="O105" s="509"/>
      <c r="P105" s="509"/>
      <c r="Q105" s="509"/>
      <c r="R105" s="509"/>
      <c r="S105" s="509"/>
      <c r="T105" s="509"/>
      <c r="U105" s="509"/>
      <c r="V105" s="509"/>
      <c r="W105" s="509"/>
      <c r="X105" s="509"/>
      <c r="Y105" s="509"/>
      <c r="Z105" s="509"/>
      <c r="AA105" s="509"/>
      <c r="AB105" s="509"/>
      <c r="AC105" s="509"/>
      <c r="AD105" s="509"/>
    </row>
    <row r="106" spans="3:30">
      <c r="C106" s="509"/>
      <c r="D106" s="509"/>
      <c r="E106" s="509"/>
      <c r="F106" s="509"/>
      <c r="G106" s="509"/>
      <c r="H106" s="509"/>
      <c r="I106" s="509"/>
      <c r="J106" s="509"/>
      <c r="K106" s="509"/>
      <c r="L106" s="509"/>
      <c r="M106" s="509"/>
      <c r="N106" s="509"/>
      <c r="O106" s="509"/>
      <c r="P106" s="509"/>
      <c r="Q106" s="509"/>
      <c r="R106" s="509"/>
      <c r="S106" s="509"/>
      <c r="T106" s="509"/>
      <c r="U106" s="509"/>
      <c r="V106" s="509"/>
      <c r="W106" s="509"/>
      <c r="X106" s="509"/>
      <c r="Y106" s="509"/>
      <c r="Z106" s="509"/>
      <c r="AA106" s="509"/>
      <c r="AB106" s="509"/>
      <c r="AC106" s="509"/>
      <c r="AD106" s="509"/>
    </row>
    <row r="107" spans="3:30">
      <c r="C107" s="509"/>
      <c r="D107" s="509"/>
      <c r="E107" s="509"/>
      <c r="F107" s="509"/>
      <c r="G107" s="509"/>
      <c r="H107" s="509"/>
      <c r="I107" s="509"/>
      <c r="J107" s="509"/>
      <c r="K107" s="509"/>
      <c r="L107" s="509"/>
      <c r="M107" s="509"/>
      <c r="N107" s="509"/>
      <c r="O107" s="509"/>
      <c r="P107" s="509"/>
      <c r="Q107" s="509"/>
      <c r="R107" s="509"/>
      <c r="S107" s="509"/>
      <c r="T107" s="509"/>
      <c r="U107" s="509"/>
      <c r="V107" s="509"/>
      <c r="W107" s="509"/>
      <c r="X107" s="509"/>
      <c r="Y107" s="509"/>
      <c r="Z107" s="509"/>
      <c r="AA107" s="509"/>
      <c r="AB107" s="509"/>
      <c r="AC107" s="509"/>
      <c r="AD107" s="509"/>
    </row>
    <row r="108" spans="3:30">
      <c r="C108" s="509"/>
      <c r="D108" s="509"/>
      <c r="E108" s="509"/>
      <c r="F108" s="509"/>
      <c r="G108" s="509"/>
      <c r="H108" s="509"/>
      <c r="I108" s="509"/>
      <c r="J108" s="509"/>
      <c r="K108" s="509"/>
      <c r="L108" s="509"/>
      <c r="M108" s="509"/>
      <c r="N108" s="509"/>
      <c r="O108" s="509"/>
      <c r="P108" s="509"/>
      <c r="Q108" s="509"/>
      <c r="R108" s="509"/>
      <c r="S108" s="509"/>
      <c r="T108" s="509"/>
      <c r="U108" s="509"/>
      <c r="V108" s="509"/>
      <c r="W108" s="509"/>
      <c r="X108" s="509"/>
      <c r="Y108" s="509"/>
      <c r="Z108" s="509"/>
      <c r="AA108" s="509"/>
      <c r="AB108" s="509"/>
      <c r="AC108" s="509"/>
      <c r="AD108" s="509"/>
    </row>
    <row r="109" spans="3:30">
      <c r="C109" s="509"/>
      <c r="D109" s="509"/>
      <c r="E109" s="509"/>
      <c r="F109" s="509"/>
      <c r="G109" s="509"/>
      <c r="H109" s="509"/>
      <c r="I109" s="509"/>
      <c r="J109" s="509"/>
      <c r="K109" s="509"/>
      <c r="L109" s="509"/>
      <c r="M109" s="509"/>
      <c r="N109" s="509"/>
      <c r="O109" s="509"/>
      <c r="P109" s="509"/>
      <c r="Q109" s="509"/>
      <c r="R109" s="509"/>
      <c r="S109" s="509"/>
      <c r="T109" s="509"/>
      <c r="U109" s="509"/>
      <c r="V109" s="509"/>
      <c r="W109" s="509"/>
      <c r="X109" s="509"/>
      <c r="Y109" s="509"/>
      <c r="Z109" s="509"/>
      <c r="AA109" s="509"/>
      <c r="AB109" s="509"/>
      <c r="AC109" s="509"/>
      <c r="AD109" s="509"/>
    </row>
    <row r="110" spans="3:30">
      <c r="C110" s="509"/>
      <c r="D110" s="509"/>
      <c r="E110" s="509"/>
      <c r="F110" s="509"/>
      <c r="G110" s="509"/>
      <c r="H110" s="509"/>
      <c r="I110" s="509"/>
      <c r="J110" s="509"/>
      <c r="K110" s="509"/>
      <c r="L110" s="509"/>
      <c r="M110" s="509"/>
      <c r="N110" s="509"/>
      <c r="O110" s="509"/>
      <c r="P110" s="509"/>
      <c r="Q110" s="509"/>
      <c r="R110" s="509"/>
      <c r="S110" s="509"/>
      <c r="T110" s="509"/>
      <c r="U110" s="509"/>
      <c r="V110" s="509"/>
      <c r="W110" s="509"/>
      <c r="X110" s="509"/>
      <c r="Y110" s="509"/>
      <c r="Z110" s="509"/>
      <c r="AA110" s="509"/>
      <c r="AB110" s="509"/>
      <c r="AC110" s="509"/>
      <c r="AD110" s="509"/>
    </row>
    <row r="111" spans="3:30">
      <c r="C111" s="509"/>
      <c r="D111" s="509"/>
      <c r="E111" s="509"/>
      <c r="F111" s="509"/>
      <c r="G111" s="509"/>
      <c r="H111" s="509"/>
      <c r="I111" s="509"/>
      <c r="J111" s="509"/>
      <c r="K111" s="509"/>
      <c r="L111" s="509"/>
      <c r="M111" s="509"/>
      <c r="N111" s="509"/>
      <c r="O111" s="509"/>
      <c r="P111" s="509"/>
      <c r="Q111" s="509"/>
      <c r="R111" s="509"/>
      <c r="S111" s="509"/>
      <c r="T111" s="509"/>
      <c r="U111" s="509"/>
      <c r="V111" s="509"/>
      <c r="W111" s="509"/>
      <c r="X111" s="509"/>
      <c r="Y111" s="509"/>
      <c r="Z111" s="509"/>
      <c r="AA111" s="509"/>
      <c r="AB111" s="509"/>
      <c r="AC111" s="509"/>
      <c r="AD111" s="509"/>
    </row>
    <row r="112" spans="3:30">
      <c r="C112" s="509"/>
      <c r="D112" s="509"/>
      <c r="E112" s="509"/>
      <c r="F112" s="509"/>
      <c r="G112" s="509"/>
      <c r="H112" s="509"/>
      <c r="I112" s="509"/>
      <c r="J112" s="509"/>
      <c r="K112" s="509"/>
      <c r="L112" s="509"/>
      <c r="M112" s="509"/>
      <c r="N112" s="509"/>
      <c r="O112" s="509"/>
      <c r="P112" s="509"/>
      <c r="Q112" s="509"/>
      <c r="R112" s="509"/>
      <c r="S112" s="509"/>
      <c r="T112" s="509"/>
      <c r="U112" s="509"/>
      <c r="V112" s="509"/>
      <c r="W112" s="509"/>
      <c r="X112" s="509"/>
      <c r="Y112" s="509"/>
      <c r="Z112" s="509"/>
      <c r="AA112" s="509"/>
      <c r="AB112" s="509"/>
      <c r="AC112" s="509"/>
      <c r="AD112" s="509"/>
    </row>
    <row r="113" spans="3:30">
      <c r="C113" s="509"/>
      <c r="D113" s="509"/>
      <c r="E113" s="509"/>
      <c r="F113" s="509"/>
      <c r="G113" s="509"/>
      <c r="H113" s="509"/>
      <c r="I113" s="509"/>
      <c r="J113" s="509"/>
      <c r="K113" s="509"/>
      <c r="L113" s="509"/>
      <c r="M113" s="509"/>
      <c r="N113" s="509"/>
      <c r="O113" s="509"/>
      <c r="P113" s="509"/>
      <c r="Q113" s="509"/>
      <c r="R113" s="509"/>
      <c r="S113" s="509"/>
      <c r="T113" s="509"/>
      <c r="U113" s="509"/>
      <c r="V113" s="509"/>
      <c r="W113" s="509"/>
      <c r="X113" s="509"/>
      <c r="Y113" s="509"/>
      <c r="Z113" s="509"/>
      <c r="AA113" s="509"/>
      <c r="AB113" s="509"/>
      <c r="AC113" s="509"/>
      <c r="AD113" s="509"/>
    </row>
    <row r="114" spans="3:30">
      <c r="C114" s="509"/>
      <c r="D114" s="509"/>
      <c r="E114" s="509"/>
      <c r="F114" s="509"/>
      <c r="G114" s="509"/>
      <c r="H114" s="509"/>
      <c r="I114" s="509"/>
      <c r="J114" s="509"/>
      <c r="K114" s="509"/>
      <c r="L114" s="509"/>
      <c r="M114" s="509"/>
      <c r="N114" s="509"/>
      <c r="O114" s="509"/>
      <c r="P114" s="509"/>
      <c r="Q114" s="509"/>
      <c r="R114" s="509"/>
      <c r="S114" s="509"/>
      <c r="T114" s="509"/>
      <c r="U114" s="509"/>
      <c r="V114" s="509"/>
      <c r="W114" s="509"/>
      <c r="X114" s="509"/>
      <c r="Y114" s="509"/>
      <c r="Z114" s="509"/>
      <c r="AA114" s="509"/>
      <c r="AB114" s="509"/>
      <c r="AC114" s="509"/>
      <c r="AD114" s="509"/>
    </row>
    <row r="115" spans="3:30">
      <c r="C115" s="509"/>
      <c r="D115" s="509"/>
      <c r="E115" s="509"/>
      <c r="F115" s="509"/>
      <c r="G115" s="509"/>
      <c r="H115" s="509"/>
      <c r="I115" s="509"/>
      <c r="J115" s="509"/>
      <c r="K115" s="509"/>
      <c r="L115" s="509"/>
      <c r="M115" s="509"/>
      <c r="N115" s="509"/>
      <c r="O115" s="509"/>
      <c r="P115" s="509"/>
      <c r="Q115" s="509"/>
      <c r="R115" s="509"/>
      <c r="S115" s="509"/>
      <c r="T115" s="509"/>
      <c r="U115" s="509"/>
      <c r="V115" s="509"/>
      <c r="W115" s="509"/>
      <c r="X115" s="509"/>
      <c r="Y115" s="509"/>
      <c r="Z115" s="509"/>
      <c r="AA115" s="509"/>
      <c r="AB115" s="509"/>
      <c r="AC115" s="509"/>
      <c r="AD115" s="509"/>
    </row>
    <row r="116" spans="3:30">
      <c r="C116" s="509"/>
      <c r="D116" s="509"/>
      <c r="E116" s="509"/>
      <c r="F116" s="509"/>
      <c r="G116" s="509"/>
      <c r="H116" s="509"/>
      <c r="I116" s="509"/>
      <c r="J116" s="509"/>
      <c r="K116" s="509"/>
      <c r="L116" s="509"/>
      <c r="M116" s="509"/>
      <c r="N116" s="509"/>
      <c r="O116" s="509"/>
      <c r="P116" s="509"/>
      <c r="Q116" s="509"/>
      <c r="R116" s="509"/>
      <c r="S116" s="509"/>
      <c r="T116" s="509"/>
      <c r="U116" s="509"/>
      <c r="V116" s="509"/>
      <c r="W116" s="509"/>
      <c r="X116" s="509"/>
      <c r="Y116" s="509"/>
      <c r="Z116" s="509"/>
      <c r="AA116" s="509"/>
      <c r="AB116" s="509"/>
      <c r="AC116" s="509"/>
      <c r="AD116" s="509"/>
    </row>
    <row r="117" spans="3:30">
      <c r="C117" s="509"/>
      <c r="D117" s="509"/>
      <c r="E117" s="509"/>
      <c r="F117" s="509"/>
      <c r="G117" s="509"/>
      <c r="H117" s="509"/>
      <c r="I117" s="509"/>
      <c r="J117" s="509"/>
      <c r="K117" s="509"/>
      <c r="L117" s="509"/>
      <c r="M117" s="509"/>
      <c r="N117" s="509"/>
      <c r="O117" s="509"/>
      <c r="P117" s="509"/>
      <c r="Q117" s="509"/>
      <c r="R117" s="509"/>
      <c r="S117" s="509"/>
      <c r="T117" s="509"/>
      <c r="U117" s="509"/>
      <c r="V117" s="509"/>
      <c r="W117" s="509"/>
      <c r="X117" s="509"/>
      <c r="Y117" s="509"/>
      <c r="Z117" s="509"/>
      <c r="AA117" s="509"/>
      <c r="AB117" s="509"/>
      <c r="AC117" s="509"/>
      <c r="AD117" s="509"/>
    </row>
    <row r="118" spans="3:30">
      <c r="C118" s="509"/>
      <c r="D118" s="509"/>
      <c r="E118" s="509"/>
      <c r="F118" s="509"/>
      <c r="G118" s="509"/>
      <c r="H118" s="509"/>
      <c r="I118" s="509"/>
      <c r="J118" s="509"/>
      <c r="K118" s="509"/>
      <c r="L118" s="509"/>
      <c r="M118" s="509"/>
      <c r="N118" s="509"/>
      <c r="O118" s="509"/>
      <c r="P118" s="509"/>
      <c r="Q118" s="509"/>
      <c r="R118" s="509"/>
      <c r="S118" s="509"/>
      <c r="T118" s="509"/>
      <c r="U118" s="509"/>
      <c r="V118" s="509"/>
      <c r="W118" s="509"/>
      <c r="X118" s="509"/>
      <c r="Y118" s="509"/>
      <c r="Z118" s="509"/>
      <c r="AA118" s="509"/>
      <c r="AB118" s="509"/>
      <c r="AC118" s="509"/>
      <c r="AD118" s="509"/>
    </row>
    <row r="119" spans="3:30">
      <c r="C119" s="509"/>
      <c r="D119" s="509"/>
      <c r="E119" s="509"/>
      <c r="F119" s="509"/>
      <c r="G119" s="509"/>
      <c r="H119" s="509"/>
      <c r="I119" s="509"/>
      <c r="J119" s="509"/>
      <c r="K119" s="509"/>
      <c r="L119" s="509"/>
      <c r="M119" s="509"/>
      <c r="N119" s="509"/>
      <c r="O119" s="509"/>
      <c r="P119" s="509"/>
      <c r="Q119" s="509"/>
      <c r="R119" s="509"/>
      <c r="S119" s="509"/>
      <c r="T119" s="509"/>
      <c r="U119" s="509"/>
      <c r="V119" s="509"/>
      <c r="W119" s="509"/>
      <c r="X119" s="509"/>
      <c r="Y119" s="509"/>
      <c r="Z119" s="509"/>
      <c r="AA119" s="509"/>
      <c r="AB119" s="509"/>
      <c r="AC119" s="509"/>
      <c r="AD119" s="509"/>
    </row>
    <row r="120" spans="3:30">
      <c r="C120" s="509"/>
      <c r="D120" s="509"/>
      <c r="E120" s="509"/>
      <c r="F120" s="509"/>
      <c r="G120" s="509"/>
      <c r="H120" s="509"/>
      <c r="I120" s="509"/>
      <c r="J120" s="509"/>
      <c r="K120" s="509"/>
      <c r="L120" s="509"/>
      <c r="M120" s="509"/>
      <c r="N120" s="509"/>
      <c r="O120" s="509"/>
      <c r="P120" s="509"/>
      <c r="Q120" s="509"/>
      <c r="R120" s="509"/>
      <c r="S120" s="509"/>
      <c r="T120" s="509"/>
      <c r="U120" s="509"/>
      <c r="V120" s="509"/>
      <c r="W120" s="509"/>
      <c r="X120" s="509"/>
      <c r="Y120" s="509"/>
      <c r="Z120" s="509"/>
      <c r="AA120" s="509"/>
      <c r="AB120" s="509"/>
      <c r="AC120" s="509"/>
      <c r="AD120" s="509"/>
    </row>
    <row r="121" spans="3:30">
      <c r="C121" s="509"/>
      <c r="D121" s="509"/>
      <c r="E121" s="509"/>
      <c r="F121" s="509"/>
      <c r="G121" s="509"/>
      <c r="H121" s="509"/>
      <c r="I121" s="509"/>
      <c r="J121" s="509"/>
      <c r="K121" s="509"/>
      <c r="L121" s="509"/>
      <c r="M121" s="509"/>
      <c r="N121" s="509"/>
      <c r="O121" s="509"/>
      <c r="P121" s="509"/>
      <c r="Q121" s="509"/>
      <c r="R121" s="509"/>
      <c r="S121" s="509"/>
      <c r="T121" s="509"/>
      <c r="U121" s="509"/>
      <c r="V121" s="509"/>
      <c r="W121" s="509"/>
      <c r="X121" s="509"/>
      <c r="Y121" s="509"/>
      <c r="Z121" s="509"/>
      <c r="AA121" s="509"/>
      <c r="AB121" s="509"/>
      <c r="AC121" s="509"/>
      <c r="AD121" s="509"/>
    </row>
    <row r="122" spans="3:30">
      <c r="C122" s="509"/>
      <c r="D122" s="509"/>
      <c r="E122" s="509"/>
      <c r="F122" s="509"/>
      <c r="G122" s="509"/>
      <c r="H122" s="509"/>
      <c r="I122" s="509"/>
      <c r="J122" s="509"/>
      <c r="K122" s="509"/>
      <c r="L122" s="509"/>
      <c r="M122" s="509"/>
      <c r="N122" s="509"/>
      <c r="O122" s="509"/>
      <c r="P122" s="509"/>
      <c r="Q122" s="509"/>
      <c r="R122" s="509"/>
      <c r="S122" s="509"/>
      <c r="T122" s="509"/>
      <c r="U122" s="509"/>
      <c r="V122" s="509"/>
      <c r="W122" s="509"/>
      <c r="X122" s="509"/>
      <c r="Y122" s="509"/>
      <c r="Z122" s="509"/>
      <c r="AA122" s="509"/>
      <c r="AB122" s="509"/>
      <c r="AC122" s="509"/>
      <c r="AD122" s="509"/>
    </row>
    <row r="123" spans="3:30">
      <c r="C123" s="509"/>
      <c r="D123" s="509"/>
      <c r="E123" s="509"/>
      <c r="F123" s="509"/>
      <c r="G123" s="509"/>
      <c r="H123" s="509"/>
      <c r="I123" s="509"/>
      <c r="J123" s="509"/>
      <c r="K123" s="509"/>
      <c r="L123" s="509"/>
      <c r="M123" s="509"/>
      <c r="N123" s="509"/>
      <c r="O123" s="509"/>
      <c r="P123" s="509"/>
      <c r="Q123" s="509"/>
      <c r="R123" s="509"/>
      <c r="S123" s="509"/>
      <c r="T123" s="509"/>
      <c r="U123" s="509"/>
      <c r="V123" s="509"/>
      <c r="W123" s="509"/>
      <c r="X123" s="509"/>
      <c r="Y123" s="509"/>
      <c r="Z123" s="509"/>
      <c r="AA123" s="509"/>
      <c r="AB123" s="509"/>
      <c r="AC123" s="509"/>
      <c r="AD123" s="509"/>
    </row>
    <row r="124" spans="3:30">
      <c r="C124" s="509"/>
      <c r="D124" s="509"/>
      <c r="E124" s="509"/>
      <c r="F124" s="509"/>
      <c r="G124" s="509"/>
      <c r="H124" s="509"/>
      <c r="I124" s="509"/>
      <c r="J124" s="509"/>
      <c r="K124" s="509"/>
      <c r="L124" s="509"/>
      <c r="M124" s="509"/>
      <c r="N124" s="509"/>
      <c r="O124" s="509"/>
      <c r="P124" s="509"/>
      <c r="Q124" s="509"/>
      <c r="R124" s="509"/>
      <c r="S124" s="509"/>
      <c r="T124" s="509"/>
      <c r="U124" s="509"/>
      <c r="V124" s="509"/>
      <c r="W124" s="509"/>
      <c r="X124" s="509"/>
      <c r="Y124" s="509"/>
      <c r="Z124" s="509"/>
      <c r="AA124" s="509"/>
      <c r="AB124" s="509"/>
      <c r="AC124" s="509"/>
      <c r="AD124" s="509"/>
    </row>
    <row r="125" spans="3:30">
      <c r="C125" s="509"/>
      <c r="D125" s="509"/>
      <c r="E125" s="509"/>
      <c r="F125" s="509"/>
      <c r="G125" s="509"/>
      <c r="H125" s="509"/>
      <c r="I125" s="509"/>
      <c r="J125" s="509"/>
      <c r="K125" s="509"/>
      <c r="L125" s="509"/>
      <c r="M125" s="509"/>
      <c r="N125" s="509"/>
      <c r="O125" s="509"/>
      <c r="P125" s="509"/>
      <c r="Q125" s="509"/>
      <c r="R125" s="509"/>
      <c r="S125" s="509"/>
      <c r="T125" s="509"/>
      <c r="U125" s="509"/>
      <c r="V125" s="509"/>
      <c r="W125" s="509"/>
      <c r="X125" s="509"/>
      <c r="Y125" s="509"/>
      <c r="Z125" s="509"/>
      <c r="AA125" s="509"/>
      <c r="AB125" s="509"/>
      <c r="AC125" s="509"/>
      <c r="AD125" s="509"/>
    </row>
    <row r="126" spans="3:30">
      <c r="C126" s="509"/>
      <c r="D126" s="509"/>
      <c r="E126" s="509"/>
      <c r="F126" s="509"/>
      <c r="G126" s="509"/>
      <c r="H126" s="509"/>
      <c r="I126" s="509"/>
      <c r="J126" s="509"/>
      <c r="K126" s="509"/>
      <c r="L126" s="509"/>
      <c r="M126" s="509"/>
      <c r="N126" s="509"/>
      <c r="O126" s="509"/>
      <c r="P126" s="509"/>
      <c r="Q126" s="509"/>
      <c r="R126" s="509"/>
      <c r="S126" s="509"/>
      <c r="T126" s="509"/>
      <c r="U126" s="509"/>
      <c r="V126" s="509"/>
      <c r="W126" s="509"/>
      <c r="X126" s="509"/>
      <c r="Y126" s="509"/>
      <c r="Z126" s="509"/>
      <c r="AA126" s="509"/>
      <c r="AB126" s="509"/>
      <c r="AC126" s="509"/>
      <c r="AD126" s="509"/>
    </row>
    <row r="127" spans="3:30">
      <c r="C127" s="509"/>
      <c r="D127" s="509"/>
      <c r="E127" s="509"/>
      <c r="F127" s="509"/>
      <c r="G127" s="509"/>
      <c r="H127" s="509"/>
      <c r="I127" s="509"/>
      <c r="J127" s="509"/>
      <c r="K127" s="509"/>
      <c r="L127" s="509"/>
      <c r="M127" s="509"/>
      <c r="N127" s="509"/>
      <c r="O127" s="509"/>
      <c r="P127" s="509"/>
      <c r="Q127" s="509"/>
      <c r="R127" s="509"/>
      <c r="S127" s="509"/>
      <c r="T127" s="509"/>
      <c r="U127" s="509"/>
      <c r="V127" s="509"/>
      <c r="W127" s="509"/>
      <c r="X127" s="509"/>
      <c r="Y127" s="509"/>
      <c r="Z127" s="509"/>
      <c r="AA127" s="509"/>
      <c r="AB127" s="509"/>
      <c r="AC127" s="509"/>
      <c r="AD127" s="509"/>
    </row>
    <row r="128" spans="3:30">
      <c r="C128" s="509"/>
      <c r="D128" s="509"/>
      <c r="E128" s="509"/>
      <c r="F128" s="509"/>
      <c r="G128" s="509"/>
      <c r="H128" s="509"/>
      <c r="I128" s="509"/>
      <c r="J128" s="509"/>
      <c r="K128" s="509"/>
      <c r="L128" s="509"/>
      <c r="M128" s="509"/>
      <c r="N128" s="509"/>
      <c r="O128" s="509"/>
      <c r="P128" s="509"/>
      <c r="Q128" s="509"/>
      <c r="R128" s="509"/>
      <c r="S128" s="509"/>
      <c r="T128" s="509"/>
      <c r="U128" s="509"/>
      <c r="V128" s="509"/>
      <c r="W128" s="509"/>
      <c r="X128" s="509"/>
      <c r="Y128" s="509"/>
      <c r="Z128" s="509"/>
      <c r="AA128" s="509"/>
      <c r="AB128" s="509"/>
      <c r="AC128" s="509"/>
      <c r="AD128" s="509"/>
    </row>
    <row r="129" spans="3:30">
      <c r="C129" s="509"/>
      <c r="D129" s="509"/>
      <c r="E129" s="509"/>
      <c r="F129" s="509"/>
      <c r="G129" s="509"/>
      <c r="H129" s="509"/>
      <c r="I129" s="509"/>
      <c r="J129" s="509"/>
      <c r="K129" s="509"/>
      <c r="L129" s="509"/>
      <c r="M129" s="509"/>
      <c r="N129" s="509"/>
      <c r="O129" s="509"/>
      <c r="P129" s="509"/>
      <c r="Q129" s="509"/>
      <c r="R129" s="509"/>
      <c r="S129" s="509"/>
      <c r="T129" s="509"/>
      <c r="U129" s="509"/>
      <c r="V129" s="509"/>
      <c r="W129" s="509"/>
      <c r="X129" s="509"/>
      <c r="Y129" s="509"/>
      <c r="Z129" s="509"/>
      <c r="AA129" s="509"/>
      <c r="AB129" s="509"/>
      <c r="AC129" s="509"/>
      <c r="AD129" s="509"/>
    </row>
    <row r="130" spans="3:30">
      <c r="C130" s="509"/>
      <c r="D130" s="509"/>
      <c r="E130" s="509"/>
      <c r="F130" s="509"/>
      <c r="G130" s="509"/>
      <c r="H130" s="509"/>
      <c r="I130" s="509"/>
      <c r="J130" s="509"/>
      <c r="K130" s="509"/>
      <c r="L130" s="509"/>
      <c r="M130" s="509"/>
      <c r="N130" s="509"/>
      <c r="O130" s="509"/>
      <c r="P130" s="509"/>
      <c r="Q130" s="509"/>
      <c r="R130" s="509"/>
      <c r="S130" s="509"/>
      <c r="T130" s="509"/>
      <c r="U130" s="509"/>
      <c r="V130" s="509"/>
      <c r="W130" s="509"/>
      <c r="X130" s="509"/>
      <c r="Y130" s="509"/>
      <c r="Z130" s="509"/>
      <c r="AA130" s="509"/>
      <c r="AB130" s="509"/>
      <c r="AC130" s="509"/>
      <c r="AD130" s="509"/>
    </row>
    <row r="131" spans="3:30">
      <c r="C131" s="509"/>
      <c r="D131" s="509"/>
      <c r="E131" s="509"/>
      <c r="F131" s="509"/>
      <c r="G131" s="509"/>
      <c r="H131" s="509"/>
      <c r="I131" s="509"/>
      <c r="J131" s="509"/>
      <c r="K131" s="509"/>
      <c r="L131" s="509"/>
      <c r="M131" s="509"/>
      <c r="N131" s="509"/>
      <c r="O131" s="509"/>
      <c r="P131" s="509"/>
      <c r="Q131" s="509"/>
      <c r="R131" s="509"/>
      <c r="S131" s="509"/>
      <c r="T131" s="509"/>
      <c r="U131" s="509"/>
      <c r="V131" s="509"/>
      <c r="W131" s="509"/>
      <c r="X131" s="509"/>
      <c r="Y131" s="509"/>
      <c r="Z131" s="509"/>
      <c r="AA131" s="509"/>
      <c r="AB131" s="509"/>
      <c r="AC131" s="509"/>
      <c r="AD131" s="509"/>
    </row>
    <row r="132" spans="3:30">
      <c r="C132" s="509"/>
      <c r="D132" s="509"/>
      <c r="E132" s="509"/>
      <c r="F132" s="509"/>
      <c r="G132" s="509"/>
      <c r="H132" s="509"/>
      <c r="I132" s="509"/>
      <c r="J132" s="509"/>
      <c r="K132" s="509"/>
      <c r="L132" s="509"/>
      <c r="M132" s="509"/>
      <c r="N132" s="509"/>
      <c r="O132" s="509"/>
      <c r="P132" s="509"/>
      <c r="Q132" s="509"/>
      <c r="R132" s="509"/>
      <c r="S132" s="509"/>
      <c r="T132" s="509"/>
      <c r="U132" s="509"/>
      <c r="V132" s="509"/>
      <c r="W132" s="509"/>
      <c r="X132" s="509"/>
      <c r="Y132" s="509"/>
      <c r="Z132" s="509"/>
      <c r="AA132" s="509"/>
      <c r="AB132" s="509"/>
      <c r="AC132" s="509"/>
      <c r="AD132" s="509"/>
    </row>
    <row r="133" spans="3:30">
      <c r="C133" s="509"/>
      <c r="D133" s="509"/>
      <c r="E133" s="509"/>
      <c r="F133" s="509"/>
      <c r="G133" s="509"/>
      <c r="H133" s="509"/>
      <c r="I133" s="509"/>
      <c r="J133" s="509"/>
      <c r="K133" s="509"/>
      <c r="L133" s="509"/>
      <c r="M133" s="509"/>
      <c r="N133" s="509"/>
      <c r="O133" s="509"/>
      <c r="P133" s="509"/>
      <c r="Q133" s="509"/>
      <c r="R133" s="509"/>
      <c r="S133" s="509"/>
      <c r="T133" s="509"/>
      <c r="U133" s="509"/>
      <c r="V133" s="509"/>
      <c r="W133" s="509"/>
      <c r="X133" s="509"/>
      <c r="Y133" s="509"/>
      <c r="Z133" s="509"/>
      <c r="AA133" s="509"/>
      <c r="AB133" s="509"/>
      <c r="AC133" s="509"/>
      <c r="AD133" s="509"/>
    </row>
    <row r="134" spans="3:30">
      <c r="C134" s="509"/>
      <c r="D134" s="509"/>
      <c r="E134" s="509"/>
      <c r="F134" s="509"/>
      <c r="G134" s="509"/>
      <c r="H134" s="509"/>
      <c r="I134" s="509"/>
      <c r="J134" s="509"/>
      <c r="K134" s="509"/>
      <c r="L134" s="509"/>
      <c r="M134" s="509"/>
      <c r="N134" s="509"/>
      <c r="O134" s="509"/>
      <c r="P134" s="509"/>
      <c r="Q134" s="509"/>
      <c r="R134" s="509"/>
      <c r="S134" s="509"/>
      <c r="T134" s="509"/>
      <c r="U134" s="509"/>
      <c r="V134" s="509"/>
      <c r="W134" s="509"/>
      <c r="X134" s="509"/>
      <c r="Y134" s="509"/>
      <c r="Z134" s="509"/>
      <c r="AA134" s="509"/>
      <c r="AB134" s="509"/>
      <c r="AC134" s="509"/>
      <c r="AD134" s="509"/>
    </row>
    <row r="135" spans="3:30">
      <c r="C135" s="509"/>
      <c r="D135" s="509"/>
      <c r="E135" s="509"/>
      <c r="F135" s="509"/>
      <c r="G135" s="509"/>
      <c r="H135" s="509"/>
      <c r="I135" s="509"/>
      <c r="J135" s="509"/>
      <c r="K135" s="509"/>
      <c r="L135" s="509"/>
      <c r="M135" s="509"/>
      <c r="N135" s="509"/>
      <c r="O135" s="509"/>
      <c r="P135" s="509"/>
      <c r="Q135" s="509"/>
      <c r="R135" s="509"/>
      <c r="S135" s="509"/>
      <c r="T135" s="509"/>
      <c r="U135" s="509"/>
      <c r="V135" s="509"/>
      <c r="W135" s="509"/>
      <c r="X135" s="509"/>
      <c r="Y135" s="509"/>
      <c r="Z135" s="509"/>
      <c r="AA135" s="509"/>
      <c r="AB135" s="509"/>
      <c r="AC135" s="509"/>
      <c r="AD135" s="509"/>
    </row>
    <row r="136" spans="3:30">
      <c r="C136" s="509"/>
      <c r="D136" s="509"/>
      <c r="E136" s="509"/>
      <c r="F136" s="509"/>
      <c r="G136" s="509"/>
      <c r="H136" s="509"/>
      <c r="I136" s="509"/>
      <c r="J136" s="509"/>
      <c r="K136" s="509"/>
      <c r="L136" s="509"/>
      <c r="M136" s="509"/>
      <c r="N136" s="509"/>
      <c r="O136" s="509"/>
      <c r="P136" s="509"/>
      <c r="Q136" s="509"/>
      <c r="R136" s="509"/>
      <c r="S136" s="509"/>
      <c r="T136" s="509"/>
      <c r="U136" s="509"/>
      <c r="V136" s="509"/>
      <c r="W136" s="509"/>
      <c r="X136" s="509"/>
      <c r="Y136" s="509"/>
      <c r="Z136" s="509"/>
      <c r="AA136" s="509"/>
      <c r="AB136" s="509"/>
      <c r="AC136" s="509"/>
      <c r="AD136" s="509"/>
    </row>
    <row r="137" spans="3:30">
      <c r="C137" s="509"/>
      <c r="D137" s="509"/>
      <c r="E137" s="509"/>
      <c r="F137" s="509"/>
      <c r="G137" s="509"/>
      <c r="H137" s="509"/>
      <c r="I137" s="509"/>
      <c r="J137" s="509"/>
      <c r="K137" s="509"/>
      <c r="L137" s="509"/>
      <c r="M137" s="509"/>
      <c r="N137" s="509"/>
      <c r="O137" s="509"/>
      <c r="P137" s="509"/>
      <c r="Q137" s="509"/>
      <c r="R137" s="509"/>
      <c r="S137" s="509"/>
      <c r="T137" s="509"/>
      <c r="U137" s="509"/>
      <c r="V137" s="509"/>
      <c r="W137" s="509"/>
      <c r="X137" s="509"/>
      <c r="Y137" s="509"/>
      <c r="Z137" s="509"/>
      <c r="AA137" s="509"/>
      <c r="AB137" s="509"/>
      <c r="AC137" s="509"/>
      <c r="AD137" s="509"/>
    </row>
    <row r="138" spans="3:30">
      <c r="C138" s="509"/>
      <c r="D138" s="509"/>
      <c r="E138" s="509"/>
      <c r="F138" s="509"/>
      <c r="G138" s="509"/>
      <c r="H138" s="509"/>
      <c r="I138" s="509"/>
      <c r="J138" s="509"/>
      <c r="K138" s="509"/>
      <c r="L138" s="509"/>
      <c r="M138" s="509"/>
      <c r="N138" s="509"/>
      <c r="O138" s="509"/>
      <c r="P138" s="509"/>
      <c r="Q138" s="509"/>
      <c r="R138" s="509"/>
      <c r="S138" s="509"/>
      <c r="T138" s="509"/>
      <c r="U138" s="509"/>
      <c r="V138" s="509"/>
      <c r="W138" s="509"/>
      <c r="X138" s="509"/>
      <c r="Y138" s="509"/>
      <c r="Z138" s="509"/>
      <c r="AA138" s="509"/>
      <c r="AB138" s="509"/>
      <c r="AC138" s="509"/>
      <c r="AD138" s="509"/>
    </row>
    <row r="139" spans="3:30">
      <c r="C139" s="509"/>
      <c r="D139" s="509"/>
      <c r="E139" s="509"/>
      <c r="F139" s="509"/>
      <c r="G139" s="509"/>
      <c r="H139" s="509"/>
      <c r="I139" s="509"/>
      <c r="J139" s="509"/>
      <c r="K139" s="509"/>
      <c r="L139" s="509"/>
      <c r="M139" s="509"/>
      <c r="N139" s="509"/>
      <c r="O139" s="509"/>
      <c r="P139" s="509"/>
      <c r="Q139" s="509"/>
      <c r="R139" s="509"/>
      <c r="S139" s="509"/>
      <c r="T139" s="509"/>
      <c r="U139" s="509"/>
      <c r="V139" s="509"/>
      <c r="W139" s="509"/>
      <c r="X139" s="509"/>
      <c r="Y139" s="509"/>
      <c r="Z139" s="509"/>
      <c r="AA139" s="509"/>
      <c r="AB139" s="509"/>
      <c r="AC139" s="509"/>
      <c r="AD139" s="509"/>
    </row>
    <row r="140" spans="3:30">
      <c r="C140" s="509"/>
      <c r="D140" s="509"/>
      <c r="E140" s="509"/>
      <c r="F140" s="509"/>
      <c r="G140" s="509"/>
      <c r="H140" s="509"/>
      <c r="I140" s="509"/>
      <c r="J140" s="509"/>
      <c r="K140" s="509"/>
      <c r="L140" s="509"/>
      <c r="M140" s="509"/>
      <c r="N140" s="509"/>
      <c r="O140" s="509"/>
      <c r="P140" s="509"/>
      <c r="Q140" s="509"/>
      <c r="R140" s="509"/>
      <c r="S140" s="509"/>
      <c r="T140" s="509"/>
      <c r="U140" s="509"/>
      <c r="V140" s="509"/>
      <c r="W140" s="509"/>
      <c r="X140" s="509"/>
      <c r="Y140" s="509"/>
      <c r="Z140" s="509"/>
      <c r="AA140" s="509"/>
      <c r="AB140" s="509"/>
      <c r="AC140" s="509"/>
      <c r="AD140" s="509"/>
    </row>
    <row r="141" spans="3:30">
      <c r="C141" s="509"/>
      <c r="D141" s="509"/>
      <c r="E141" s="509"/>
      <c r="F141" s="509"/>
      <c r="G141" s="509"/>
      <c r="H141" s="509"/>
      <c r="I141" s="509"/>
      <c r="J141" s="509"/>
      <c r="K141" s="509"/>
      <c r="L141" s="509"/>
      <c r="M141" s="509"/>
      <c r="N141" s="509"/>
      <c r="O141" s="509"/>
      <c r="P141" s="509"/>
      <c r="Q141" s="509"/>
      <c r="R141" s="509"/>
      <c r="S141" s="509"/>
      <c r="T141" s="509"/>
      <c r="U141" s="509"/>
      <c r="V141" s="509"/>
      <c r="W141" s="509"/>
      <c r="X141" s="509"/>
      <c r="Y141" s="509"/>
      <c r="Z141" s="509"/>
      <c r="AA141" s="509"/>
      <c r="AB141" s="509"/>
      <c r="AC141" s="509"/>
      <c r="AD141" s="509"/>
    </row>
    <row r="142" spans="3:30">
      <c r="C142" s="509"/>
      <c r="D142" s="509"/>
      <c r="E142" s="509"/>
      <c r="F142" s="509"/>
      <c r="G142" s="509"/>
      <c r="H142" s="509"/>
      <c r="I142" s="509"/>
      <c r="J142" s="509"/>
      <c r="K142" s="509"/>
      <c r="L142" s="509"/>
      <c r="M142" s="509"/>
      <c r="N142" s="509"/>
      <c r="O142" s="509"/>
      <c r="P142" s="509"/>
      <c r="Q142" s="509"/>
      <c r="R142" s="509"/>
      <c r="S142" s="509"/>
      <c r="T142" s="509"/>
      <c r="U142" s="509"/>
      <c r="V142" s="509"/>
      <c r="W142" s="509"/>
      <c r="X142" s="509"/>
      <c r="Y142" s="509"/>
      <c r="Z142" s="509"/>
      <c r="AA142" s="509"/>
      <c r="AB142" s="509"/>
      <c r="AC142" s="509"/>
      <c r="AD142" s="509"/>
    </row>
    <row r="143" spans="3:30">
      <c r="C143" s="509"/>
      <c r="D143" s="509"/>
      <c r="E143" s="509"/>
      <c r="F143" s="509"/>
      <c r="G143" s="509"/>
      <c r="H143" s="509"/>
      <c r="I143" s="509"/>
      <c r="J143" s="509"/>
      <c r="K143" s="509"/>
      <c r="L143" s="509"/>
      <c r="M143" s="509"/>
      <c r="N143" s="509"/>
      <c r="O143" s="509"/>
      <c r="P143" s="509"/>
      <c r="Q143" s="509"/>
      <c r="R143" s="509"/>
      <c r="S143" s="509"/>
      <c r="T143" s="509"/>
      <c r="U143" s="509"/>
      <c r="V143" s="509"/>
      <c r="W143" s="509"/>
      <c r="X143" s="509"/>
      <c r="Y143" s="509"/>
      <c r="Z143" s="509"/>
      <c r="AA143" s="509"/>
      <c r="AB143" s="509"/>
      <c r="AC143" s="509"/>
      <c r="AD143" s="509"/>
    </row>
    <row r="144" spans="3:30">
      <c r="C144" s="509"/>
      <c r="D144" s="509"/>
      <c r="E144" s="509"/>
      <c r="F144" s="509"/>
      <c r="G144" s="509"/>
      <c r="H144" s="509"/>
      <c r="I144" s="509"/>
      <c r="J144" s="509"/>
      <c r="K144" s="509"/>
      <c r="L144" s="509"/>
      <c r="M144" s="509"/>
      <c r="N144" s="509"/>
      <c r="O144" s="509"/>
      <c r="P144" s="509"/>
      <c r="Q144" s="509"/>
      <c r="R144" s="509"/>
      <c r="S144" s="509"/>
      <c r="T144" s="509"/>
      <c r="U144" s="509"/>
      <c r="V144" s="509"/>
      <c r="W144" s="509"/>
      <c r="X144" s="509"/>
      <c r="Y144" s="509"/>
      <c r="Z144" s="509"/>
      <c r="AA144" s="509"/>
      <c r="AB144" s="509"/>
      <c r="AC144" s="509"/>
      <c r="AD144" s="509"/>
    </row>
    <row r="145" spans="3:30">
      <c r="C145" s="509"/>
      <c r="D145" s="509"/>
      <c r="E145" s="509"/>
      <c r="F145" s="509"/>
      <c r="G145" s="509"/>
      <c r="H145" s="509"/>
      <c r="I145" s="509"/>
      <c r="J145" s="509"/>
      <c r="K145" s="509"/>
      <c r="L145" s="509"/>
      <c r="M145" s="509"/>
      <c r="N145" s="509"/>
      <c r="O145" s="509"/>
      <c r="P145" s="509"/>
      <c r="Q145" s="509"/>
      <c r="R145" s="509"/>
      <c r="S145" s="509"/>
      <c r="T145" s="509"/>
      <c r="U145" s="509"/>
      <c r="V145" s="509"/>
      <c r="W145" s="509"/>
      <c r="X145" s="509"/>
      <c r="Y145" s="509"/>
      <c r="Z145" s="509"/>
      <c r="AA145" s="509"/>
      <c r="AB145" s="509"/>
      <c r="AC145" s="509"/>
      <c r="AD145" s="509"/>
    </row>
    <row r="146" spans="3:30">
      <c r="C146" s="509"/>
      <c r="D146" s="509"/>
      <c r="E146" s="509"/>
      <c r="F146" s="509"/>
      <c r="G146" s="509"/>
      <c r="H146" s="509"/>
      <c r="I146" s="509"/>
      <c r="J146" s="509"/>
      <c r="K146" s="509"/>
      <c r="L146" s="509"/>
      <c r="M146" s="509"/>
      <c r="N146" s="509"/>
      <c r="O146" s="509"/>
      <c r="P146" s="509"/>
      <c r="Q146" s="509"/>
      <c r="R146" s="509"/>
      <c r="S146" s="509"/>
      <c r="T146" s="509"/>
      <c r="U146" s="509"/>
      <c r="V146" s="509"/>
      <c r="W146" s="509"/>
      <c r="X146" s="509"/>
      <c r="Y146" s="509"/>
      <c r="Z146" s="509"/>
      <c r="AA146" s="509"/>
      <c r="AB146" s="509"/>
      <c r="AC146" s="509"/>
      <c r="AD146" s="509"/>
    </row>
    <row r="147" spans="3:30">
      <c r="C147" s="509"/>
      <c r="D147" s="509"/>
      <c r="E147" s="509"/>
      <c r="F147" s="509"/>
      <c r="G147" s="509"/>
      <c r="H147" s="509"/>
      <c r="I147" s="509"/>
      <c r="J147" s="509"/>
      <c r="K147" s="509"/>
      <c r="L147" s="509"/>
      <c r="M147" s="509"/>
      <c r="N147" s="509"/>
      <c r="O147" s="509"/>
      <c r="P147" s="509"/>
      <c r="Q147" s="509"/>
      <c r="R147" s="509"/>
      <c r="S147" s="509"/>
      <c r="T147" s="509"/>
      <c r="U147" s="509"/>
      <c r="V147" s="509"/>
      <c r="W147" s="509"/>
      <c r="X147" s="509"/>
      <c r="Y147" s="509"/>
      <c r="Z147" s="509"/>
      <c r="AA147" s="509"/>
      <c r="AB147" s="509"/>
      <c r="AC147" s="509"/>
      <c r="AD147" s="509"/>
    </row>
    <row r="148" spans="3:30">
      <c r="C148" s="509"/>
      <c r="D148" s="509"/>
      <c r="E148" s="509"/>
      <c r="F148" s="509"/>
      <c r="G148" s="509"/>
      <c r="H148" s="509"/>
      <c r="I148" s="509"/>
      <c r="J148" s="509"/>
      <c r="K148" s="509"/>
      <c r="L148" s="509"/>
      <c r="M148" s="509"/>
      <c r="N148" s="509"/>
      <c r="O148" s="509"/>
      <c r="P148" s="509"/>
      <c r="Q148" s="509"/>
      <c r="R148" s="509"/>
      <c r="S148" s="509"/>
      <c r="T148" s="509"/>
      <c r="U148" s="509"/>
      <c r="V148" s="509"/>
      <c r="W148" s="509"/>
      <c r="X148" s="509"/>
      <c r="Y148" s="509"/>
      <c r="Z148" s="509"/>
      <c r="AA148" s="509"/>
      <c r="AB148" s="509"/>
      <c r="AC148" s="509"/>
      <c r="AD148" s="509"/>
    </row>
    <row r="149" spans="3:30">
      <c r="C149" s="509"/>
      <c r="D149" s="509"/>
      <c r="E149" s="509"/>
      <c r="F149" s="509"/>
      <c r="G149" s="509"/>
      <c r="H149" s="509"/>
      <c r="I149" s="509"/>
      <c r="J149" s="509"/>
      <c r="K149" s="509"/>
      <c r="L149" s="509"/>
      <c r="M149" s="509"/>
      <c r="N149" s="509"/>
      <c r="O149" s="509"/>
      <c r="P149" s="509"/>
      <c r="Q149" s="509"/>
      <c r="R149" s="509"/>
      <c r="S149" s="509"/>
      <c r="T149" s="509"/>
      <c r="U149" s="509"/>
      <c r="V149" s="509"/>
      <c r="W149" s="509"/>
      <c r="X149" s="509"/>
      <c r="Y149" s="509"/>
      <c r="Z149" s="509"/>
      <c r="AA149" s="509"/>
      <c r="AB149" s="509"/>
      <c r="AC149" s="509"/>
      <c r="AD149" s="509"/>
    </row>
    <row r="150" spans="3:30">
      <c r="C150" s="509"/>
      <c r="D150" s="509"/>
      <c r="E150" s="509"/>
      <c r="F150" s="509"/>
      <c r="G150" s="509"/>
      <c r="H150" s="509"/>
      <c r="I150" s="509"/>
      <c r="J150" s="509"/>
      <c r="K150" s="509"/>
      <c r="L150" s="509"/>
      <c r="M150" s="509"/>
      <c r="N150" s="509"/>
      <c r="O150" s="509"/>
      <c r="P150" s="509"/>
      <c r="Q150" s="509"/>
      <c r="R150" s="509"/>
      <c r="S150" s="509"/>
      <c r="T150" s="509"/>
      <c r="U150" s="509"/>
      <c r="V150" s="509"/>
      <c r="W150" s="509"/>
      <c r="X150" s="509"/>
      <c r="Y150" s="509"/>
      <c r="Z150" s="509"/>
      <c r="AA150" s="509"/>
      <c r="AB150" s="509"/>
      <c r="AC150" s="509"/>
      <c r="AD150" s="509"/>
    </row>
    <row r="151" spans="3:30">
      <c r="C151" s="509"/>
      <c r="D151" s="509"/>
      <c r="E151" s="509"/>
      <c r="F151" s="509"/>
      <c r="G151" s="509"/>
      <c r="H151" s="509"/>
      <c r="I151" s="509"/>
      <c r="J151" s="509"/>
      <c r="K151" s="509"/>
      <c r="L151" s="509"/>
      <c r="M151" s="509"/>
      <c r="N151" s="509"/>
      <c r="O151" s="509"/>
      <c r="P151" s="509"/>
      <c r="Q151" s="509"/>
      <c r="R151" s="509"/>
      <c r="S151" s="509"/>
      <c r="T151" s="509"/>
      <c r="U151" s="509"/>
      <c r="V151" s="509"/>
      <c r="W151" s="509"/>
      <c r="X151" s="509"/>
      <c r="Y151" s="509"/>
      <c r="Z151" s="509"/>
      <c r="AA151" s="509"/>
      <c r="AB151" s="509"/>
      <c r="AC151" s="509"/>
      <c r="AD151" s="509"/>
    </row>
    <row r="152" spans="3:30">
      <c r="C152" s="509"/>
      <c r="D152" s="509"/>
      <c r="E152" s="509"/>
      <c r="F152" s="509"/>
      <c r="G152" s="509"/>
      <c r="H152" s="509"/>
      <c r="I152" s="509"/>
      <c r="J152" s="509"/>
      <c r="K152" s="509"/>
      <c r="L152" s="509"/>
      <c r="M152" s="509"/>
      <c r="N152" s="509"/>
      <c r="O152" s="509"/>
      <c r="P152" s="509"/>
      <c r="Q152" s="509"/>
      <c r="R152" s="509"/>
      <c r="S152" s="509"/>
      <c r="T152" s="509"/>
      <c r="U152" s="509"/>
      <c r="V152" s="509"/>
      <c r="W152" s="509"/>
      <c r="X152" s="509"/>
      <c r="Y152" s="509"/>
      <c r="Z152" s="509"/>
      <c r="AA152" s="509"/>
      <c r="AB152" s="509"/>
      <c r="AC152" s="509"/>
      <c r="AD152" s="509"/>
    </row>
    <row r="153" spans="3:30">
      <c r="C153" s="509"/>
      <c r="D153" s="509"/>
      <c r="E153" s="509"/>
      <c r="F153" s="509"/>
      <c r="G153" s="509"/>
      <c r="H153" s="509"/>
      <c r="I153" s="509"/>
      <c r="J153" s="509"/>
      <c r="K153" s="509"/>
      <c r="L153" s="509"/>
      <c r="M153" s="509"/>
      <c r="N153" s="509"/>
      <c r="O153" s="509"/>
      <c r="P153" s="509"/>
      <c r="Q153" s="509"/>
      <c r="R153" s="509"/>
      <c r="S153" s="509"/>
      <c r="T153" s="509"/>
      <c r="U153" s="509"/>
      <c r="V153" s="509"/>
      <c r="W153" s="509"/>
      <c r="X153" s="509"/>
      <c r="Y153" s="509"/>
      <c r="Z153" s="509"/>
      <c r="AA153" s="509"/>
      <c r="AB153" s="509"/>
      <c r="AC153" s="509"/>
      <c r="AD153" s="509"/>
    </row>
    <row r="154" spans="3:30">
      <c r="C154" s="509"/>
      <c r="D154" s="509"/>
      <c r="E154" s="509"/>
      <c r="F154" s="509"/>
      <c r="G154" s="509"/>
      <c r="H154" s="509"/>
      <c r="I154" s="509"/>
      <c r="J154" s="509"/>
      <c r="K154" s="509"/>
      <c r="L154" s="509"/>
      <c r="M154" s="509"/>
      <c r="N154" s="509"/>
      <c r="O154" s="509"/>
      <c r="P154" s="509"/>
      <c r="Q154" s="509"/>
      <c r="R154" s="509"/>
      <c r="S154" s="509"/>
      <c r="T154" s="509"/>
      <c r="U154" s="509"/>
      <c r="V154" s="509"/>
      <c r="W154" s="509"/>
      <c r="X154" s="509"/>
      <c r="Y154" s="509"/>
      <c r="Z154" s="509"/>
      <c r="AA154" s="509"/>
      <c r="AB154" s="509"/>
      <c r="AC154" s="509"/>
      <c r="AD154" s="509"/>
    </row>
    <row r="155" spans="3:30">
      <c r="C155" s="509"/>
      <c r="D155" s="509"/>
      <c r="E155" s="509"/>
      <c r="F155" s="509"/>
      <c r="G155" s="509"/>
      <c r="H155" s="509"/>
      <c r="I155" s="509"/>
      <c r="J155" s="509"/>
      <c r="K155" s="509"/>
      <c r="L155" s="509"/>
      <c r="M155" s="509"/>
      <c r="N155" s="509"/>
      <c r="O155" s="509"/>
      <c r="P155" s="509"/>
      <c r="Q155" s="509"/>
      <c r="R155" s="509"/>
      <c r="S155" s="509"/>
      <c r="T155" s="509"/>
      <c r="U155" s="509"/>
      <c r="V155" s="509"/>
      <c r="W155" s="509"/>
      <c r="X155" s="509"/>
      <c r="Y155" s="509"/>
      <c r="Z155" s="509"/>
      <c r="AA155" s="509"/>
      <c r="AB155" s="509"/>
      <c r="AC155" s="509"/>
      <c r="AD155" s="509"/>
    </row>
    <row r="156" spans="3:30">
      <c r="C156" s="509"/>
      <c r="D156" s="509"/>
      <c r="E156" s="509"/>
      <c r="F156" s="509"/>
      <c r="G156" s="509"/>
      <c r="H156" s="509"/>
      <c r="I156" s="509"/>
      <c r="J156" s="509"/>
      <c r="K156" s="509"/>
      <c r="L156" s="509"/>
      <c r="M156" s="509"/>
      <c r="N156" s="509"/>
      <c r="O156" s="509"/>
      <c r="P156" s="509"/>
      <c r="Q156" s="509"/>
      <c r="R156" s="509"/>
      <c r="S156" s="509"/>
      <c r="T156" s="509"/>
      <c r="U156" s="509"/>
      <c r="V156" s="509"/>
      <c r="W156" s="509"/>
      <c r="X156" s="509"/>
      <c r="Y156" s="509"/>
      <c r="Z156" s="509"/>
      <c r="AA156" s="509"/>
      <c r="AB156" s="509"/>
      <c r="AC156" s="509"/>
      <c r="AD156" s="509"/>
    </row>
    <row r="157" spans="3:30">
      <c r="C157" s="509"/>
      <c r="D157" s="509"/>
      <c r="E157" s="509"/>
      <c r="F157" s="509"/>
      <c r="G157" s="509"/>
      <c r="H157" s="509"/>
      <c r="I157" s="509"/>
      <c r="J157" s="509"/>
      <c r="K157" s="509"/>
      <c r="L157" s="509"/>
      <c r="M157" s="509"/>
      <c r="N157" s="509"/>
      <c r="O157" s="509"/>
      <c r="P157" s="509"/>
      <c r="Q157" s="509"/>
      <c r="R157" s="509"/>
      <c r="S157" s="509"/>
      <c r="T157" s="509"/>
      <c r="U157" s="509"/>
      <c r="V157" s="509"/>
      <c r="W157" s="509"/>
      <c r="X157" s="509"/>
      <c r="Y157" s="509"/>
      <c r="Z157" s="509"/>
      <c r="AA157" s="509"/>
      <c r="AB157" s="509"/>
      <c r="AC157" s="509"/>
      <c r="AD157" s="509"/>
    </row>
    <row r="158" spans="3:30">
      <c r="C158" s="509"/>
      <c r="D158" s="509"/>
      <c r="E158" s="509"/>
      <c r="F158" s="509"/>
      <c r="G158" s="509"/>
      <c r="H158" s="509"/>
      <c r="I158" s="509"/>
      <c r="J158" s="509"/>
      <c r="K158" s="509"/>
      <c r="L158" s="509"/>
      <c r="M158" s="509"/>
      <c r="N158" s="509"/>
      <c r="O158" s="509"/>
      <c r="P158" s="509"/>
      <c r="Q158" s="509"/>
      <c r="R158" s="509"/>
      <c r="S158" s="509"/>
      <c r="T158" s="509"/>
      <c r="U158" s="509"/>
      <c r="V158" s="509"/>
      <c r="W158" s="509"/>
      <c r="X158" s="509"/>
      <c r="Y158" s="509"/>
      <c r="Z158" s="509"/>
      <c r="AA158" s="509"/>
      <c r="AB158" s="509"/>
      <c r="AC158" s="509"/>
      <c r="AD158" s="509"/>
    </row>
    <row r="159" spans="3:30">
      <c r="C159" s="509"/>
      <c r="D159" s="509"/>
      <c r="E159" s="509"/>
      <c r="F159" s="509"/>
      <c r="G159" s="509"/>
      <c r="H159" s="509"/>
      <c r="I159" s="509"/>
      <c r="J159" s="509"/>
      <c r="K159" s="509"/>
      <c r="L159" s="509"/>
      <c r="M159" s="509"/>
      <c r="N159" s="509"/>
      <c r="O159" s="509"/>
      <c r="P159" s="509"/>
      <c r="Q159" s="509"/>
      <c r="R159" s="509"/>
      <c r="S159" s="509"/>
      <c r="T159" s="509"/>
      <c r="U159" s="509"/>
      <c r="V159" s="509"/>
      <c r="W159" s="509"/>
      <c r="X159" s="509"/>
      <c r="Y159" s="509"/>
      <c r="Z159" s="509"/>
      <c r="AA159" s="509"/>
      <c r="AB159" s="509"/>
      <c r="AC159" s="509"/>
      <c r="AD159" s="509"/>
    </row>
    <row r="160" spans="3:30">
      <c r="C160" s="509"/>
      <c r="D160" s="509"/>
      <c r="E160" s="509"/>
      <c r="F160" s="509"/>
      <c r="G160" s="509"/>
      <c r="H160" s="509"/>
      <c r="I160" s="509"/>
      <c r="J160" s="509"/>
      <c r="K160" s="509"/>
      <c r="L160" s="509"/>
      <c r="M160" s="509"/>
      <c r="N160" s="509"/>
      <c r="O160" s="509"/>
      <c r="P160" s="509"/>
      <c r="Q160" s="509"/>
      <c r="R160" s="509"/>
      <c r="S160" s="509"/>
      <c r="T160" s="509"/>
      <c r="U160" s="509"/>
      <c r="V160" s="509"/>
      <c r="W160" s="509"/>
      <c r="X160" s="509"/>
      <c r="Y160" s="509"/>
      <c r="Z160" s="509"/>
      <c r="AA160" s="509"/>
      <c r="AB160" s="509"/>
      <c r="AC160" s="509"/>
      <c r="AD160" s="509"/>
    </row>
    <row r="161" spans="3:30">
      <c r="C161" s="509"/>
      <c r="D161" s="509"/>
      <c r="E161" s="509"/>
      <c r="F161" s="509"/>
      <c r="G161" s="509"/>
      <c r="H161" s="509"/>
      <c r="I161" s="509"/>
      <c r="J161" s="509"/>
      <c r="K161" s="509"/>
      <c r="L161" s="509"/>
      <c r="M161" s="509"/>
      <c r="N161" s="509"/>
      <c r="O161" s="509"/>
      <c r="P161" s="509"/>
      <c r="Q161" s="509"/>
      <c r="R161" s="509"/>
      <c r="S161" s="509"/>
      <c r="T161" s="509"/>
      <c r="U161" s="509"/>
      <c r="V161" s="509"/>
      <c r="W161" s="509"/>
      <c r="X161" s="509"/>
      <c r="Y161" s="509"/>
      <c r="Z161" s="509"/>
      <c r="AA161" s="509"/>
      <c r="AB161" s="509"/>
      <c r="AC161" s="509"/>
      <c r="AD161" s="509"/>
    </row>
    <row r="162" spans="3:30">
      <c r="C162" s="509"/>
      <c r="D162" s="509"/>
      <c r="E162" s="509"/>
      <c r="F162" s="509"/>
      <c r="G162" s="509"/>
      <c r="H162" s="509"/>
      <c r="I162" s="509"/>
      <c r="J162" s="509"/>
      <c r="K162" s="509"/>
      <c r="L162" s="509"/>
      <c r="M162" s="509"/>
      <c r="N162" s="509"/>
      <c r="O162" s="509"/>
      <c r="P162" s="509"/>
      <c r="Q162" s="509"/>
      <c r="R162" s="509"/>
      <c r="S162" s="509"/>
      <c r="T162" s="509"/>
      <c r="U162" s="509"/>
      <c r="V162" s="509"/>
      <c r="W162" s="509"/>
      <c r="X162" s="509"/>
      <c r="Y162" s="509"/>
      <c r="Z162" s="509"/>
      <c r="AA162" s="509"/>
      <c r="AB162" s="509"/>
      <c r="AC162" s="509"/>
      <c r="AD162" s="509"/>
    </row>
    <row r="163" spans="3:30">
      <c r="C163" s="509"/>
      <c r="D163" s="509"/>
      <c r="E163" s="509"/>
      <c r="F163" s="509"/>
      <c r="G163" s="509"/>
      <c r="H163" s="509"/>
      <c r="I163" s="509"/>
      <c r="J163" s="509"/>
      <c r="K163" s="509"/>
      <c r="L163" s="509"/>
      <c r="M163" s="509"/>
      <c r="N163" s="509"/>
      <c r="O163" s="509"/>
      <c r="P163" s="509"/>
      <c r="Q163" s="509"/>
      <c r="R163" s="509"/>
      <c r="S163" s="509"/>
      <c r="T163" s="509"/>
      <c r="U163" s="509"/>
      <c r="V163" s="509"/>
      <c r="W163" s="509"/>
      <c r="X163" s="509"/>
      <c r="Y163" s="509"/>
      <c r="Z163" s="509"/>
      <c r="AA163" s="509"/>
      <c r="AB163" s="509"/>
      <c r="AC163" s="509"/>
      <c r="AD163" s="509"/>
    </row>
    <row r="164" spans="3:30">
      <c r="C164" s="509"/>
      <c r="D164" s="509"/>
      <c r="E164" s="509"/>
      <c r="F164" s="509"/>
      <c r="G164" s="509"/>
      <c r="H164" s="509"/>
      <c r="I164" s="509"/>
      <c r="J164" s="509"/>
      <c r="K164" s="509"/>
      <c r="L164" s="509"/>
      <c r="M164" s="509"/>
      <c r="N164" s="509"/>
      <c r="O164" s="509"/>
      <c r="P164" s="509"/>
      <c r="Q164" s="509"/>
      <c r="R164" s="509"/>
      <c r="S164" s="509"/>
      <c r="T164" s="509"/>
      <c r="U164" s="509"/>
      <c r="V164" s="509"/>
      <c r="W164" s="509"/>
      <c r="X164" s="509"/>
      <c r="Y164" s="509"/>
      <c r="Z164" s="509"/>
      <c r="AA164" s="509"/>
      <c r="AB164" s="509"/>
      <c r="AC164" s="509"/>
      <c r="AD164" s="509"/>
    </row>
    <row r="165" spans="3:30">
      <c r="C165" s="509"/>
      <c r="D165" s="509"/>
      <c r="E165" s="509"/>
      <c r="F165" s="509"/>
      <c r="G165" s="509"/>
      <c r="H165" s="509"/>
      <c r="I165" s="509"/>
      <c r="J165" s="509"/>
      <c r="K165" s="509"/>
      <c r="L165" s="509"/>
      <c r="M165" s="509"/>
      <c r="N165" s="509"/>
      <c r="O165" s="509"/>
      <c r="P165" s="509"/>
      <c r="Q165" s="509"/>
      <c r="R165" s="509"/>
      <c r="S165" s="509"/>
      <c r="T165" s="509"/>
      <c r="U165" s="509"/>
      <c r="V165" s="509"/>
      <c r="W165" s="509"/>
      <c r="X165" s="509"/>
      <c r="Y165" s="509"/>
      <c r="Z165" s="509"/>
      <c r="AA165" s="509"/>
      <c r="AB165" s="509"/>
      <c r="AC165" s="509"/>
      <c r="AD165" s="509"/>
    </row>
    <row r="166" spans="3:30">
      <c r="C166" s="509"/>
      <c r="D166" s="509"/>
      <c r="E166" s="509"/>
      <c r="F166" s="509"/>
      <c r="G166" s="509"/>
      <c r="H166" s="509"/>
      <c r="I166" s="509"/>
      <c r="J166" s="509"/>
      <c r="K166" s="509"/>
      <c r="L166" s="509"/>
      <c r="M166" s="509"/>
      <c r="N166" s="509"/>
      <c r="O166" s="509"/>
      <c r="P166" s="509"/>
      <c r="Q166" s="509"/>
      <c r="R166" s="509"/>
      <c r="S166" s="509"/>
      <c r="T166" s="509"/>
      <c r="U166" s="509"/>
      <c r="V166" s="509"/>
      <c r="W166" s="509"/>
      <c r="X166" s="509"/>
      <c r="Y166" s="509"/>
      <c r="Z166" s="509"/>
      <c r="AA166" s="509"/>
      <c r="AB166" s="509"/>
      <c r="AC166" s="509"/>
      <c r="AD166" s="509"/>
    </row>
    <row r="167" spans="3:30">
      <c r="C167" s="509"/>
      <c r="D167" s="509"/>
      <c r="E167" s="509"/>
      <c r="F167" s="509"/>
      <c r="G167" s="509"/>
      <c r="H167" s="509"/>
      <c r="I167" s="509"/>
      <c r="J167" s="509"/>
      <c r="K167" s="509"/>
      <c r="L167" s="509"/>
      <c r="M167" s="509"/>
      <c r="N167" s="509"/>
      <c r="O167" s="509"/>
      <c r="P167" s="509"/>
      <c r="Q167" s="509"/>
      <c r="R167" s="509"/>
      <c r="S167" s="509"/>
      <c r="T167" s="509"/>
      <c r="U167" s="509"/>
      <c r="V167" s="509"/>
      <c r="W167" s="509"/>
      <c r="X167" s="509"/>
      <c r="Y167" s="509"/>
      <c r="Z167" s="509"/>
      <c r="AA167" s="509"/>
      <c r="AB167" s="509"/>
      <c r="AC167" s="509"/>
      <c r="AD167" s="509"/>
    </row>
    <row r="168" spans="3:30">
      <c r="C168" s="509"/>
      <c r="D168" s="509"/>
      <c r="E168" s="509"/>
      <c r="F168" s="509"/>
      <c r="G168" s="509"/>
      <c r="H168" s="509"/>
      <c r="I168" s="509"/>
      <c r="J168" s="509"/>
      <c r="K168" s="509"/>
      <c r="L168" s="509"/>
      <c r="M168" s="509"/>
      <c r="N168" s="509"/>
      <c r="O168" s="509"/>
      <c r="P168" s="509"/>
      <c r="Q168" s="509"/>
      <c r="R168" s="509"/>
      <c r="S168" s="509"/>
      <c r="T168" s="509"/>
      <c r="U168" s="509"/>
      <c r="V168" s="509"/>
      <c r="W168" s="509"/>
      <c r="X168" s="509"/>
      <c r="Y168" s="509"/>
      <c r="Z168" s="509"/>
      <c r="AA168" s="509"/>
      <c r="AB168" s="509"/>
      <c r="AC168" s="509"/>
      <c r="AD168" s="509"/>
    </row>
    <row r="169" spans="3:30">
      <c r="C169" s="509"/>
      <c r="D169" s="509"/>
      <c r="E169" s="509"/>
      <c r="F169" s="509"/>
      <c r="G169" s="509"/>
      <c r="H169" s="509"/>
      <c r="I169" s="509"/>
      <c r="J169" s="509"/>
      <c r="K169" s="509"/>
      <c r="L169" s="509"/>
      <c r="M169" s="509"/>
      <c r="N169" s="509"/>
      <c r="O169" s="509"/>
      <c r="P169" s="509"/>
      <c r="Q169" s="509"/>
      <c r="R169" s="509"/>
      <c r="S169" s="509"/>
      <c r="T169" s="509"/>
      <c r="U169" s="509"/>
      <c r="V169" s="509"/>
      <c r="W169" s="509"/>
      <c r="X169" s="509"/>
      <c r="Y169" s="509"/>
      <c r="Z169" s="509"/>
      <c r="AA169" s="509"/>
      <c r="AB169" s="509"/>
      <c r="AC169" s="509"/>
      <c r="AD169" s="509"/>
    </row>
    <row r="170" spans="3:30">
      <c r="C170" s="509"/>
      <c r="D170" s="509"/>
      <c r="E170" s="509"/>
      <c r="F170" s="509"/>
      <c r="G170" s="509"/>
      <c r="H170" s="509"/>
      <c r="I170" s="509"/>
      <c r="J170" s="509"/>
      <c r="K170" s="509"/>
      <c r="L170" s="509"/>
      <c r="M170" s="509"/>
      <c r="N170" s="509"/>
      <c r="O170" s="509"/>
      <c r="P170" s="509"/>
      <c r="Q170" s="509"/>
      <c r="R170" s="509"/>
      <c r="S170" s="509"/>
      <c r="T170" s="509"/>
      <c r="U170" s="509"/>
      <c r="V170" s="509"/>
      <c r="W170" s="509"/>
      <c r="X170" s="509"/>
      <c r="Y170" s="509"/>
      <c r="Z170" s="509"/>
      <c r="AA170" s="509"/>
      <c r="AB170" s="509"/>
      <c r="AC170" s="509"/>
      <c r="AD170" s="509"/>
    </row>
    <row r="171" spans="3:30">
      <c r="C171" s="509"/>
      <c r="D171" s="509"/>
      <c r="E171" s="509"/>
      <c r="F171" s="509"/>
      <c r="G171" s="509"/>
      <c r="H171" s="509"/>
      <c r="I171" s="509"/>
      <c r="J171" s="509"/>
      <c r="K171" s="509"/>
      <c r="L171" s="509"/>
      <c r="M171" s="509"/>
      <c r="N171" s="509"/>
      <c r="O171" s="509"/>
      <c r="P171" s="509"/>
      <c r="Q171" s="509"/>
      <c r="R171" s="509"/>
      <c r="S171" s="509"/>
      <c r="T171" s="509"/>
      <c r="U171" s="509"/>
      <c r="V171" s="509"/>
      <c r="W171" s="509"/>
      <c r="X171" s="509"/>
      <c r="Y171" s="509"/>
      <c r="Z171" s="509"/>
      <c r="AA171" s="509"/>
      <c r="AB171" s="509"/>
      <c r="AC171" s="509"/>
      <c r="AD171" s="509"/>
    </row>
    <row r="172" spans="3:30">
      <c r="C172" s="509"/>
      <c r="D172" s="509"/>
      <c r="E172" s="509"/>
      <c r="F172" s="509"/>
      <c r="G172" s="509"/>
      <c r="H172" s="509"/>
      <c r="I172" s="509"/>
      <c r="J172" s="509"/>
      <c r="K172" s="509"/>
      <c r="L172" s="509"/>
      <c r="M172" s="509"/>
      <c r="N172" s="509"/>
      <c r="O172" s="509"/>
      <c r="P172" s="509"/>
      <c r="Q172" s="509"/>
      <c r="R172" s="509"/>
      <c r="S172" s="509"/>
      <c r="T172" s="509"/>
      <c r="U172" s="509"/>
      <c r="V172" s="509"/>
      <c r="W172" s="509"/>
      <c r="X172" s="509"/>
      <c r="Y172" s="509"/>
      <c r="Z172" s="509"/>
      <c r="AA172" s="509"/>
      <c r="AB172" s="509"/>
      <c r="AC172" s="509"/>
      <c r="AD172" s="509"/>
    </row>
    <row r="173" spans="3:30">
      <c r="C173" s="509"/>
      <c r="D173" s="509"/>
      <c r="E173" s="509"/>
      <c r="F173" s="509"/>
      <c r="G173" s="509"/>
      <c r="H173" s="509"/>
      <c r="I173" s="509"/>
      <c r="J173" s="509"/>
      <c r="K173" s="509"/>
      <c r="L173" s="509"/>
      <c r="M173" s="509"/>
      <c r="N173" s="509"/>
      <c r="O173" s="509"/>
      <c r="P173" s="509"/>
      <c r="Q173" s="509"/>
      <c r="R173" s="509"/>
      <c r="S173" s="509"/>
      <c r="T173" s="509"/>
      <c r="U173" s="509"/>
      <c r="V173" s="509"/>
      <c r="W173" s="509"/>
      <c r="X173" s="509"/>
      <c r="Y173" s="509"/>
      <c r="Z173" s="509"/>
      <c r="AA173" s="509"/>
      <c r="AB173" s="509"/>
      <c r="AC173" s="509"/>
      <c r="AD173" s="509"/>
    </row>
    <row r="174" spans="3:30">
      <c r="C174" s="509"/>
      <c r="D174" s="509"/>
      <c r="E174" s="509"/>
      <c r="F174" s="509"/>
      <c r="G174" s="509"/>
      <c r="H174" s="509"/>
      <c r="I174" s="509"/>
      <c r="J174" s="509"/>
      <c r="K174" s="509"/>
      <c r="L174" s="509"/>
      <c r="M174" s="509"/>
      <c r="N174" s="509"/>
      <c r="O174" s="509"/>
      <c r="P174" s="509"/>
      <c r="Q174" s="509"/>
      <c r="R174" s="509"/>
      <c r="S174" s="509"/>
      <c r="T174" s="509"/>
      <c r="U174" s="509"/>
      <c r="V174" s="509"/>
      <c r="W174" s="509"/>
      <c r="X174" s="509"/>
      <c r="Y174" s="509"/>
      <c r="Z174" s="509"/>
      <c r="AA174" s="509"/>
      <c r="AB174" s="509"/>
      <c r="AC174" s="509"/>
      <c r="AD174" s="509"/>
    </row>
    <row r="175" spans="3:30">
      <c r="C175" s="509"/>
      <c r="D175" s="509"/>
      <c r="E175" s="509"/>
      <c r="F175" s="509"/>
      <c r="G175" s="509"/>
      <c r="H175" s="509"/>
      <c r="I175" s="509"/>
      <c r="J175" s="509"/>
      <c r="K175" s="509"/>
      <c r="L175" s="509"/>
      <c r="M175" s="509"/>
      <c r="N175" s="509"/>
      <c r="O175" s="509"/>
      <c r="P175" s="509"/>
      <c r="Q175" s="509"/>
      <c r="R175" s="509"/>
      <c r="S175" s="509"/>
      <c r="T175" s="509"/>
      <c r="U175" s="509"/>
      <c r="V175" s="509"/>
      <c r="W175" s="509"/>
      <c r="X175" s="509"/>
      <c r="Y175" s="509"/>
      <c r="Z175" s="509"/>
      <c r="AA175" s="509"/>
      <c r="AB175" s="509"/>
      <c r="AC175" s="509"/>
      <c r="AD175" s="509"/>
    </row>
    <row r="176" spans="3:30">
      <c r="C176" s="509"/>
      <c r="D176" s="509"/>
      <c r="E176" s="509"/>
      <c r="F176" s="509"/>
      <c r="G176" s="509"/>
      <c r="H176" s="509"/>
      <c r="I176" s="509"/>
      <c r="J176" s="509"/>
      <c r="K176" s="509"/>
      <c r="L176" s="509"/>
      <c r="M176" s="509"/>
      <c r="N176" s="509"/>
      <c r="O176" s="509"/>
      <c r="P176" s="509"/>
      <c r="Q176" s="509"/>
      <c r="R176" s="509"/>
      <c r="S176" s="509"/>
      <c r="T176" s="509"/>
      <c r="U176" s="509"/>
      <c r="V176" s="509"/>
      <c r="W176" s="509"/>
      <c r="X176" s="509"/>
      <c r="Y176" s="509"/>
      <c r="Z176" s="509"/>
      <c r="AA176" s="509"/>
      <c r="AB176" s="509"/>
      <c r="AC176" s="509"/>
      <c r="AD176" s="509"/>
    </row>
    <row r="177" spans="3:30">
      <c r="C177" s="509"/>
      <c r="D177" s="509"/>
      <c r="E177" s="509"/>
      <c r="F177" s="509"/>
      <c r="G177" s="509"/>
      <c r="H177" s="509"/>
      <c r="I177" s="509"/>
      <c r="J177" s="509"/>
      <c r="K177" s="509"/>
      <c r="L177" s="509"/>
      <c r="M177" s="509"/>
      <c r="N177" s="509"/>
      <c r="O177" s="509"/>
      <c r="P177" s="509"/>
      <c r="Q177" s="509"/>
      <c r="R177" s="509"/>
      <c r="S177" s="509"/>
      <c r="T177" s="509"/>
      <c r="U177" s="509"/>
      <c r="V177" s="509"/>
      <c r="W177" s="509"/>
      <c r="X177" s="509"/>
      <c r="Y177" s="509"/>
      <c r="Z177" s="509"/>
      <c r="AA177" s="509"/>
      <c r="AB177" s="509"/>
      <c r="AC177" s="509"/>
      <c r="AD177" s="509"/>
    </row>
    <row r="178" spans="3:30">
      <c r="C178" s="509"/>
      <c r="D178" s="509"/>
      <c r="E178" s="509"/>
      <c r="F178" s="509"/>
      <c r="G178" s="509"/>
      <c r="H178" s="509"/>
      <c r="I178" s="509"/>
      <c r="J178" s="509"/>
      <c r="K178" s="509"/>
      <c r="L178" s="509"/>
      <c r="M178" s="509"/>
      <c r="N178" s="509"/>
      <c r="O178" s="509"/>
      <c r="P178" s="509"/>
      <c r="Q178" s="509"/>
      <c r="R178" s="509"/>
      <c r="S178" s="509"/>
      <c r="T178" s="509"/>
      <c r="U178" s="509"/>
      <c r="V178" s="509"/>
      <c r="W178" s="509"/>
      <c r="X178" s="509"/>
      <c r="Y178" s="509"/>
      <c r="Z178" s="509"/>
      <c r="AA178" s="509"/>
      <c r="AB178" s="509"/>
      <c r="AC178" s="509"/>
      <c r="AD178" s="509"/>
    </row>
    <row r="179" spans="3:30">
      <c r="C179" s="509"/>
      <c r="D179" s="509"/>
      <c r="E179" s="509"/>
      <c r="F179" s="509"/>
      <c r="G179" s="509"/>
      <c r="H179" s="509"/>
      <c r="I179" s="509"/>
      <c r="J179" s="509"/>
      <c r="K179" s="509"/>
      <c r="L179" s="509"/>
      <c r="M179" s="509"/>
      <c r="N179" s="509"/>
      <c r="O179" s="509"/>
      <c r="P179" s="509"/>
      <c r="Q179" s="509"/>
      <c r="R179" s="509"/>
      <c r="S179" s="509"/>
      <c r="T179" s="509"/>
      <c r="U179" s="509"/>
      <c r="V179" s="509"/>
      <c r="W179" s="509"/>
      <c r="X179" s="509"/>
      <c r="Y179" s="509"/>
      <c r="Z179" s="509"/>
      <c r="AA179" s="509"/>
      <c r="AB179" s="509"/>
      <c r="AC179" s="509"/>
      <c r="AD179" s="509"/>
    </row>
    <row r="180" spans="3:30">
      <c r="C180" s="509"/>
      <c r="D180" s="509"/>
      <c r="E180" s="509"/>
      <c r="F180" s="509"/>
      <c r="G180" s="509"/>
      <c r="H180" s="509"/>
      <c r="I180" s="509"/>
      <c r="J180" s="509"/>
      <c r="K180" s="509"/>
      <c r="L180" s="509"/>
      <c r="M180" s="509"/>
      <c r="N180" s="509"/>
      <c r="O180" s="509"/>
      <c r="P180" s="509"/>
      <c r="Q180" s="509"/>
      <c r="R180" s="509"/>
      <c r="S180" s="509"/>
      <c r="T180" s="509"/>
      <c r="U180" s="509"/>
      <c r="V180" s="509"/>
      <c r="W180" s="509"/>
      <c r="X180" s="509"/>
      <c r="Y180" s="509"/>
      <c r="Z180" s="509"/>
      <c r="AA180" s="509"/>
      <c r="AB180" s="509"/>
      <c r="AC180" s="509"/>
      <c r="AD180" s="509"/>
    </row>
    <row r="181" spans="3:30">
      <c r="C181" s="509"/>
      <c r="D181" s="509"/>
      <c r="E181" s="509"/>
      <c r="F181" s="509"/>
      <c r="G181" s="509"/>
      <c r="H181" s="509"/>
      <c r="I181" s="509"/>
      <c r="J181" s="509"/>
      <c r="K181" s="509"/>
      <c r="L181" s="509"/>
      <c r="M181" s="509"/>
      <c r="N181" s="509"/>
      <c r="O181" s="509"/>
      <c r="P181" s="509"/>
      <c r="Q181" s="509"/>
      <c r="R181" s="509"/>
      <c r="S181" s="509"/>
      <c r="T181" s="509"/>
      <c r="U181" s="509"/>
      <c r="V181" s="509"/>
      <c r="W181" s="509"/>
      <c r="X181" s="509"/>
      <c r="Y181" s="509"/>
      <c r="Z181" s="509"/>
      <c r="AA181" s="509"/>
      <c r="AB181" s="509"/>
      <c r="AC181" s="509"/>
      <c r="AD181" s="509"/>
    </row>
    <row r="182" spans="3:30">
      <c r="C182" s="509"/>
      <c r="D182" s="509"/>
      <c r="E182" s="509"/>
      <c r="F182" s="509"/>
      <c r="G182" s="509"/>
      <c r="H182" s="509"/>
      <c r="I182" s="509"/>
      <c r="J182" s="509"/>
      <c r="K182" s="509"/>
      <c r="L182" s="509"/>
      <c r="M182" s="509"/>
      <c r="N182" s="509"/>
      <c r="O182" s="509"/>
      <c r="P182" s="509"/>
      <c r="Q182" s="509"/>
      <c r="R182" s="509"/>
      <c r="S182" s="509"/>
      <c r="T182" s="509"/>
      <c r="U182" s="509"/>
      <c r="V182" s="509"/>
      <c r="W182" s="509"/>
      <c r="X182" s="509"/>
      <c r="Y182" s="509"/>
      <c r="Z182" s="509"/>
      <c r="AA182" s="509"/>
      <c r="AB182" s="509"/>
      <c r="AC182" s="509"/>
      <c r="AD182" s="509"/>
    </row>
    <row r="183" spans="3:30">
      <c r="C183" s="509"/>
      <c r="D183" s="509"/>
      <c r="E183" s="509"/>
      <c r="F183" s="509"/>
      <c r="G183" s="509"/>
      <c r="H183" s="509"/>
      <c r="I183" s="509"/>
      <c r="J183" s="509"/>
      <c r="K183" s="509"/>
      <c r="L183" s="509"/>
      <c r="M183" s="509"/>
      <c r="N183" s="509"/>
      <c r="O183" s="509"/>
      <c r="P183" s="509"/>
      <c r="Q183" s="509"/>
      <c r="R183" s="509"/>
      <c r="S183" s="509"/>
      <c r="T183" s="509"/>
      <c r="U183" s="509"/>
      <c r="V183" s="509"/>
      <c r="W183" s="509"/>
      <c r="X183" s="509"/>
      <c r="Y183" s="509"/>
      <c r="Z183" s="509"/>
      <c r="AA183" s="509"/>
      <c r="AB183" s="509"/>
      <c r="AC183" s="509"/>
      <c r="AD183" s="509"/>
    </row>
    <row r="184" spans="3:30">
      <c r="C184" s="509"/>
      <c r="D184" s="509"/>
      <c r="E184" s="509"/>
      <c r="F184" s="509"/>
      <c r="G184" s="509"/>
      <c r="H184" s="509"/>
      <c r="I184" s="509"/>
      <c r="J184" s="509"/>
      <c r="K184" s="509"/>
      <c r="L184" s="509"/>
      <c r="M184" s="509"/>
      <c r="N184" s="509"/>
      <c r="O184" s="509"/>
      <c r="P184" s="509"/>
      <c r="Q184" s="509"/>
      <c r="R184" s="509"/>
      <c r="S184" s="509"/>
      <c r="T184" s="509"/>
      <c r="U184" s="509"/>
      <c r="V184" s="509"/>
      <c r="W184" s="509"/>
      <c r="X184" s="509"/>
      <c r="Y184" s="509"/>
      <c r="Z184" s="509"/>
      <c r="AA184" s="509"/>
      <c r="AB184" s="509"/>
      <c r="AC184" s="509"/>
      <c r="AD184" s="509"/>
    </row>
    <row r="185" spans="3:30">
      <c r="C185" s="509"/>
      <c r="D185" s="509"/>
      <c r="E185" s="509"/>
      <c r="F185" s="509"/>
      <c r="G185" s="509"/>
      <c r="H185" s="509"/>
      <c r="I185" s="509"/>
      <c r="J185" s="509"/>
      <c r="K185" s="509"/>
      <c r="L185" s="509"/>
      <c r="M185" s="509"/>
      <c r="N185" s="509"/>
      <c r="O185" s="509"/>
      <c r="P185" s="509"/>
      <c r="Q185" s="509"/>
      <c r="R185" s="509"/>
      <c r="S185" s="509"/>
      <c r="T185" s="509"/>
      <c r="U185" s="509"/>
      <c r="V185" s="509"/>
      <c r="W185" s="509"/>
      <c r="X185" s="509"/>
      <c r="Y185" s="509"/>
      <c r="Z185" s="509"/>
      <c r="AA185" s="509"/>
      <c r="AB185" s="509"/>
      <c r="AC185" s="509"/>
      <c r="AD185" s="509"/>
    </row>
    <row r="186" spans="3:30">
      <c r="C186" s="509"/>
      <c r="D186" s="509"/>
      <c r="E186" s="509"/>
      <c r="F186" s="509"/>
      <c r="G186" s="509"/>
      <c r="H186" s="509"/>
      <c r="I186" s="509"/>
      <c r="J186" s="509"/>
      <c r="K186" s="509"/>
      <c r="L186" s="509"/>
      <c r="M186" s="509"/>
      <c r="N186" s="509"/>
      <c r="O186" s="509"/>
      <c r="P186" s="509"/>
      <c r="Q186" s="509"/>
      <c r="R186" s="509"/>
      <c r="S186" s="509"/>
      <c r="T186" s="509"/>
      <c r="U186" s="509"/>
      <c r="V186" s="509"/>
      <c r="W186" s="509"/>
      <c r="X186" s="509"/>
      <c r="Y186" s="509"/>
      <c r="Z186" s="509"/>
      <c r="AA186" s="509"/>
      <c r="AB186" s="509"/>
      <c r="AC186" s="509"/>
      <c r="AD186" s="509"/>
    </row>
    <row r="187" spans="3:30">
      <c r="C187" s="509"/>
      <c r="D187" s="509"/>
      <c r="E187" s="509"/>
      <c r="F187" s="509"/>
      <c r="G187" s="509"/>
      <c r="H187" s="509"/>
      <c r="I187" s="509"/>
      <c r="J187" s="509"/>
      <c r="K187" s="509"/>
      <c r="L187" s="509"/>
      <c r="M187" s="509"/>
      <c r="N187" s="509"/>
      <c r="O187" s="509"/>
      <c r="P187" s="509"/>
      <c r="Q187" s="509"/>
      <c r="R187" s="509"/>
      <c r="S187" s="509"/>
      <c r="T187" s="509"/>
      <c r="U187" s="509"/>
      <c r="V187" s="509"/>
      <c r="W187" s="509"/>
      <c r="X187" s="509"/>
      <c r="Y187" s="509"/>
      <c r="Z187" s="509"/>
      <c r="AA187" s="509"/>
      <c r="AB187" s="509"/>
      <c r="AC187" s="509"/>
      <c r="AD187" s="509"/>
    </row>
    <row r="188" spans="3:30">
      <c r="C188" s="509"/>
      <c r="D188" s="509"/>
      <c r="E188" s="509"/>
      <c r="F188" s="509"/>
      <c r="G188" s="509"/>
      <c r="H188" s="509"/>
      <c r="I188" s="509"/>
      <c r="J188" s="509"/>
      <c r="K188" s="509"/>
      <c r="L188" s="509"/>
      <c r="M188" s="509"/>
      <c r="N188" s="509"/>
      <c r="O188" s="509"/>
      <c r="P188" s="509"/>
      <c r="Q188" s="509"/>
      <c r="R188" s="509"/>
      <c r="S188" s="509"/>
      <c r="T188" s="509"/>
      <c r="U188" s="509"/>
      <c r="V188" s="509"/>
      <c r="W188" s="509"/>
      <c r="X188" s="509"/>
      <c r="Y188" s="509"/>
      <c r="Z188" s="509"/>
      <c r="AA188" s="509"/>
      <c r="AB188" s="509"/>
      <c r="AC188" s="509"/>
      <c r="AD188" s="509"/>
    </row>
    <row r="189" spans="3:30">
      <c r="C189" s="509"/>
      <c r="D189" s="509"/>
      <c r="E189" s="509"/>
      <c r="F189" s="509"/>
      <c r="G189" s="509"/>
      <c r="H189" s="509"/>
      <c r="I189" s="509"/>
      <c r="J189" s="509"/>
      <c r="K189" s="509"/>
      <c r="L189" s="509"/>
      <c r="M189" s="509"/>
      <c r="N189" s="509"/>
      <c r="O189" s="509"/>
      <c r="P189" s="509"/>
      <c r="Q189" s="509"/>
      <c r="R189" s="509"/>
      <c r="S189" s="509"/>
      <c r="T189" s="509"/>
      <c r="U189" s="509"/>
      <c r="V189" s="509"/>
      <c r="W189" s="509"/>
      <c r="X189" s="509"/>
      <c r="Y189" s="509"/>
      <c r="Z189" s="509"/>
      <c r="AA189" s="509"/>
      <c r="AB189" s="509"/>
      <c r="AC189" s="509"/>
      <c r="AD189" s="509"/>
    </row>
    <row r="190" spans="3:30">
      <c r="C190" s="509"/>
      <c r="D190" s="509"/>
      <c r="E190" s="509"/>
      <c r="F190" s="509"/>
      <c r="G190" s="509"/>
      <c r="H190" s="509"/>
      <c r="I190" s="509"/>
      <c r="J190" s="509"/>
      <c r="K190" s="509"/>
      <c r="L190" s="509"/>
      <c r="M190" s="509"/>
      <c r="N190" s="509"/>
      <c r="O190" s="509"/>
      <c r="P190" s="509"/>
      <c r="Q190" s="509"/>
      <c r="R190" s="509"/>
      <c r="S190" s="509"/>
      <c r="T190" s="509"/>
      <c r="U190" s="509"/>
      <c r="V190" s="509"/>
      <c r="W190" s="509"/>
      <c r="X190" s="509"/>
      <c r="Y190" s="509"/>
      <c r="Z190" s="509"/>
      <c r="AA190" s="509"/>
      <c r="AB190" s="509"/>
      <c r="AC190" s="509"/>
      <c r="AD190" s="509"/>
    </row>
    <row r="191" spans="3:30">
      <c r="C191" s="509"/>
      <c r="D191" s="509"/>
      <c r="E191" s="509"/>
      <c r="F191" s="509"/>
      <c r="G191" s="509"/>
      <c r="H191" s="509"/>
      <c r="I191" s="509"/>
      <c r="J191" s="509"/>
      <c r="K191" s="509"/>
      <c r="L191" s="509"/>
      <c r="M191" s="509"/>
      <c r="N191" s="509"/>
      <c r="O191" s="509"/>
      <c r="P191" s="509"/>
      <c r="Q191" s="509"/>
      <c r="R191" s="509"/>
      <c r="S191" s="509"/>
      <c r="T191" s="509"/>
      <c r="U191" s="509"/>
      <c r="V191" s="509"/>
      <c r="W191" s="509"/>
      <c r="X191" s="509"/>
      <c r="Y191" s="509"/>
      <c r="Z191" s="509"/>
      <c r="AA191" s="509"/>
      <c r="AB191" s="509"/>
      <c r="AC191" s="509"/>
      <c r="AD191" s="509"/>
    </row>
    <row r="192" spans="3:30">
      <c r="C192" s="509"/>
      <c r="D192" s="509"/>
      <c r="E192" s="509"/>
      <c r="F192" s="509"/>
      <c r="G192" s="509"/>
      <c r="H192" s="509"/>
      <c r="I192" s="509"/>
      <c r="J192" s="509"/>
      <c r="K192" s="509"/>
      <c r="L192" s="509"/>
      <c r="M192" s="509"/>
      <c r="N192" s="509"/>
      <c r="O192" s="509"/>
      <c r="P192" s="509"/>
      <c r="Q192" s="509"/>
      <c r="R192" s="509"/>
      <c r="S192" s="509"/>
      <c r="T192" s="509"/>
      <c r="U192" s="509"/>
      <c r="V192" s="509"/>
      <c r="W192" s="509"/>
      <c r="X192" s="509"/>
      <c r="Y192" s="509"/>
      <c r="Z192" s="509"/>
      <c r="AA192" s="509"/>
      <c r="AB192" s="509"/>
      <c r="AC192" s="509"/>
      <c r="AD192" s="509"/>
    </row>
    <row r="193" spans="3:30">
      <c r="C193" s="509"/>
      <c r="D193" s="509"/>
      <c r="E193" s="509"/>
      <c r="F193" s="509"/>
      <c r="G193" s="509"/>
      <c r="H193" s="509"/>
      <c r="I193" s="509"/>
      <c r="J193" s="509"/>
      <c r="K193" s="509"/>
      <c r="L193" s="509"/>
      <c r="M193" s="509"/>
      <c r="N193" s="509"/>
      <c r="O193" s="509"/>
      <c r="P193" s="509"/>
      <c r="Q193" s="509"/>
      <c r="R193" s="509"/>
      <c r="S193" s="509"/>
      <c r="T193" s="509"/>
      <c r="U193" s="509"/>
      <c r="V193" s="509"/>
      <c r="W193" s="509"/>
      <c r="X193" s="509"/>
      <c r="Y193" s="509"/>
      <c r="Z193" s="509"/>
      <c r="AA193" s="509"/>
      <c r="AB193" s="509"/>
      <c r="AC193" s="509"/>
      <c r="AD193" s="509"/>
    </row>
    <row r="194" spans="3:30">
      <c r="C194" s="509"/>
      <c r="D194" s="509"/>
      <c r="E194" s="509"/>
      <c r="F194" s="509"/>
      <c r="G194" s="509"/>
      <c r="H194" s="509"/>
      <c r="I194" s="509"/>
      <c r="J194" s="509"/>
      <c r="K194" s="509"/>
      <c r="L194" s="509"/>
      <c r="M194" s="509"/>
      <c r="N194" s="509"/>
      <c r="O194" s="509"/>
      <c r="P194" s="509"/>
      <c r="Q194" s="509"/>
      <c r="R194" s="509"/>
      <c r="S194" s="509"/>
      <c r="T194" s="509"/>
      <c r="U194" s="509"/>
      <c r="V194" s="509"/>
      <c r="W194" s="509"/>
      <c r="X194" s="509"/>
      <c r="Y194" s="509"/>
      <c r="Z194" s="509"/>
      <c r="AA194" s="509"/>
      <c r="AB194" s="509"/>
      <c r="AC194" s="509"/>
      <c r="AD194" s="509"/>
    </row>
    <row r="195" spans="3:30">
      <c r="C195" s="509"/>
      <c r="D195" s="509"/>
      <c r="E195" s="509"/>
      <c r="F195" s="509"/>
      <c r="G195" s="509"/>
      <c r="H195" s="509"/>
      <c r="I195" s="509"/>
      <c r="J195" s="509"/>
      <c r="K195" s="509"/>
      <c r="L195" s="509"/>
      <c r="M195" s="509"/>
      <c r="N195" s="509"/>
      <c r="O195" s="509"/>
      <c r="P195" s="509"/>
      <c r="Q195" s="509"/>
      <c r="R195" s="509"/>
      <c r="S195" s="509"/>
      <c r="T195" s="509"/>
      <c r="U195" s="509"/>
      <c r="V195" s="509"/>
      <c r="W195" s="509"/>
      <c r="X195" s="509"/>
      <c r="Y195" s="509"/>
      <c r="Z195" s="509"/>
      <c r="AA195" s="509"/>
      <c r="AB195" s="509"/>
      <c r="AC195" s="509"/>
      <c r="AD195" s="509"/>
    </row>
    <row r="196" spans="3:30">
      <c r="C196" s="509"/>
      <c r="D196" s="509"/>
      <c r="E196" s="509"/>
      <c r="F196" s="509"/>
      <c r="G196" s="509"/>
      <c r="H196" s="509"/>
      <c r="I196" s="509"/>
      <c r="J196" s="509"/>
      <c r="K196" s="509"/>
      <c r="L196" s="509"/>
      <c r="M196" s="509"/>
      <c r="N196" s="509"/>
      <c r="O196" s="509"/>
      <c r="P196" s="509"/>
      <c r="Q196" s="509"/>
      <c r="R196" s="509"/>
      <c r="S196" s="509"/>
      <c r="T196" s="509"/>
      <c r="U196" s="509"/>
      <c r="V196" s="509"/>
      <c r="W196" s="509"/>
      <c r="X196" s="509"/>
      <c r="Y196" s="509"/>
      <c r="Z196" s="509"/>
      <c r="AA196" s="509"/>
      <c r="AB196" s="509"/>
      <c r="AC196" s="509"/>
      <c r="AD196" s="509"/>
    </row>
    <row r="197" spans="3:30">
      <c r="C197" s="509"/>
      <c r="D197" s="509"/>
      <c r="E197" s="509"/>
      <c r="F197" s="509"/>
      <c r="G197" s="509"/>
      <c r="H197" s="509"/>
      <c r="I197" s="509"/>
      <c r="J197" s="509"/>
      <c r="K197" s="509"/>
      <c r="L197" s="509"/>
      <c r="M197" s="509"/>
      <c r="N197" s="509"/>
      <c r="O197" s="509"/>
      <c r="P197" s="509"/>
      <c r="Q197" s="509"/>
      <c r="R197" s="509"/>
      <c r="S197" s="509"/>
      <c r="T197" s="509"/>
      <c r="U197" s="509"/>
      <c r="V197" s="509"/>
      <c r="W197" s="509"/>
      <c r="X197" s="509"/>
      <c r="Y197" s="509"/>
      <c r="Z197" s="509"/>
      <c r="AA197" s="509"/>
      <c r="AB197" s="509"/>
      <c r="AC197" s="509"/>
      <c r="AD197" s="509"/>
    </row>
    <row r="198" spans="3:30">
      <c r="C198" s="509"/>
      <c r="D198" s="509"/>
      <c r="E198" s="509"/>
      <c r="F198" s="509"/>
      <c r="G198" s="509"/>
      <c r="H198" s="509"/>
      <c r="I198" s="509"/>
      <c r="J198" s="509"/>
      <c r="K198" s="509"/>
      <c r="L198" s="509"/>
      <c r="M198" s="509"/>
      <c r="N198" s="509"/>
      <c r="O198" s="509"/>
      <c r="P198" s="509"/>
      <c r="Q198" s="509"/>
      <c r="R198" s="509"/>
      <c r="S198" s="509"/>
      <c r="T198" s="509"/>
      <c r="U198" s="509"/>
      <c r="V198" s="509"/>
      <c r="W198" s="509"/>
      <c r="X198" s="509"/>
      <c r="Y198" s="509"/>
      <c r="Z198" s="509"/>
      <c r="AA198" s="509"/>
      <c r="AB198" s="509"/>
      <c r="AC198" s="509"/>
      <c r="AD198" s="509"/>
    </row>
    <row r="199" spans="3:30">
      <c r="C199" s="509"/>
      <c r="D199" s="509"/>
      <c r="E199" s="509"/>
      <c r="F199" s="509"/>
      <c r="G199" s="509"/>
      <c r="H199" s="509"/>
      <c r="I199" s="509"/>
      <c r="J199" s="509"/>
      <c r="K199" s="509"/>
      <c r="L199" s="509"/>
      <c r="M199" s="509"/>
      <c r="N199" s="509"/>
      <c r="O199" s="509"/>
      <c r="P199" s="509"/>
      <c r="Q199" s="509"/>
      <c r="R199" s="509"/>
      <c r="S199" s="509"/>
      <c r="T199" s="509"/>
      <c r="U199" s="509"/>
      <c r="V199" s="509"/>
      <c r="W199" s="509"/>
      <c r="X199" s="509"/>
      <c r="Y199" s="509"/>
      <c r="Z199" s="509"/>
      <c r="AA199" s="509"/>
      <c r="AB199" s="509"/>
      <c r="AC199" s="509"/>
      <c r="AD199" s="509"/>
    </row>
    <row r="200" spans="3:30">
      <c r="C200" s="509"/>
      <c r="D200" s="509"/>
      <c r="E200" s="509"/>
      <c r="F200" s="509"/>
      <c r="G200" s="509"/>
      <c r="H200" s="509"/>
      <c r="I200" s="509"/>
      <c r="J200" s="509"/>
      <c r="K200" s="509"/>
      <c r="L200" s="509"/>
      <c r="M200" s="509"/>
      <c r="N200" s="509"/>
      <c r="O200" s="509"/>
      <c r="P200" s="509"/>
      <c r="Q200" s="509"/>
      <c r="R200" s="509"/>
      <c r="S200" s="509"/>
      <c r="T200" s="509"/>
      <c r="U200" s="509"/>
      <c r="V200" s="509"/>
      <c r="W200" s="509"/>
      <c r="X200" s="509"/>
      <c r="Y200" s="509"/>
      <c r="Z200" s="509"/>
      <c r="AA200" s="509"/>
      <c r="AB200" s="509"/>
      <c r="AC200" s="509"/>
      <c r="AD200" s="509"/>
    </row>
    <row r="201" spans="3:30">
      <c r="C201" s="509"/>
      <c r="D201" s="509"/>
      <c r="E201" s="509"/>
      <c r="F201" s="509"/>
      <c r="G201" s="509"/>
      <c r="H201" s="509"/>
      <c r="I201" s="509"/>
      <c r="J201" s="509"/>
      <c r="K201" s="509"/>
      <c r="L201" s="509"/>
      <c r="M201" s="509"/>
      <c r="N201" s="509"/>
      <c r="O201" s="509"/>
      <c r="P201" s="509"/>
      <c r="Q201" s="509"/>
      <c r="R201" s="509"/>
      <c r="S201" s="509"/>
      <c r="T201" s="509"/>
      <c r="U201" s="509"/>
      <c r="V201" s="509"/>
      <c r="W201" s="509"/>
      <c r="X201" s="509"/>
      <c r="Y201" s="509"/>
      <c r="Z201" s="509"/>
      <c r="AA201" s="509"/>
      <c r="AB201" s="509"/>
      <c r="AC201" s="509"/>
      <c r="AD201" s="509"/>
    </row>
    <row r="202" spans="3:30">
      <c r="C202" s="509"/>
      <c r="D202" s="509"/>
      <c r="E202" s="509"/>
      <c r="F202" s="509"/>
      <c r="G202" s="509"/>
      <c r="H202" s="509"/>
      <c r="I202" s="509"/>
      <c r="J202" s="509"/>
      <c r="K202" s="509"/>
      <c r="L202" s="509"/>
      <c r="M202" s="509"/>
      <c r="N202" s="509"/>
      <c r="O202" s="509"/>
      <c r="P202" s="509"/>
      <c r="Q202" s="509"/>
      <c r="R202" s="509"/>
      <c r="S202" s="509"/>
      <c r="T202" s="509"/>
      <c r="U202" s="509"/>
      <c r="V202" s="509"/>
      <c r="W202" s="509"/>
      <c r="X202" s="509"/>
      <c r="Y202" s="509"/>
      <c r="Z202" s="509"/>
      <c r="AA202" s="509"/>
      <c r="AB202" s="509"/>
      <c r="AC202" s="509"/>
      <c r="AD202" s="509"/>
    </row>
    <row r="203" spans="3:30">
      <c r="C203" s="509"/>
      <c r="D203" s="509"/>
      <c r="E203" s="509"/>
      <c r="F203" s="509"/>
      <c r="G203" s="509"/>
      <c r="H203" s="509"/>
      <c r="I203" s="509"/>
      <c r="J203" s="509"/>
      <c r="K203" s="509"/>
      <c r="L203" s="509"/>
      <c r="M203" s="509"/>
      <c r="N203" s="509"/>
      <c r="O203" s="509"/>
      <c r="P203" s="509"/>
      <c r="Q203" s="509"/>
      <c r="R203" s="509"/>
      <c r="S203" s="509"/>
      <c r="T203" s="509"/>
      <c r="U203" s="509"/>
      <c r="V203" s="509"/>
      <c r="W203" s="509"/>
      <c r="X203" s="509"/>
      <c r="Y203" s="509"/>
      <c r="Z203" s="509"/>
      <c r="AA203" s="509"/>
      <c r="AB203" s="509"/>
      <c r="AC203" s="509"/>
      <c r="AD203" s="509"/>
    </row>
    <row r="204" spans="3:30">
      <c r="C204" s="509"/>
      <c r="D204" s="509"/>
      <c r="E204" s="509"/>
      <c r="F204" s="509"/>
      <c r="G204" s="509"/>
      <c r="H204" s="509"/>
      <c r="I204" s="509"/>
      <c r="J204" s="509"/>
      <c r="K204" s="509"/>
      <c r="L204" s="509"/>
      <c r="M204" s="509"/>
      <c r="N204" s="509"/>
      <c r="O204" s="509"/>
      <c r="P204" s="509"/>
      <c r="Q204" s="509"/>
      <c r="R204" s="509"/>
      <c r="S204" s="509"/>
      <c r="T204" s="509"/>
      <c r="U204" s="509"/>
      <c r="V204" s="509"/>
      <c r="W204" s="509"/>
      <c r="X204" s="509"/>
      <c r="Y204" s="509"/>
      <c r="Z204" s="509"/>
      <c r="AA204" s="509"/>
      <c r="AB204" s="509"/>
      <c r="AC204" s="509"/>
      <c r="AD204" s="509"/>
    </row>
    <row r="205" spans="3:30">
      <c r="C205" s="509"/>
      <c r="D205" s="509"/>
      <c r="E205" s="509"/>
      <c r="F205" s="509"/>
      <c r="G205" s="509"/>
      <c r="H205" s="509"/>
      <c r="I205" s="509"/>
      <c r="J205" s="509"/>
      <c r="K205" s="509"/>
      <c r="L205" s="509"/>
      <c r="M205" s="509"/>
      <c r="N205" s="509"/>
      <c r="O205" s="509"/>
      <c r="P205" s="509"/>
      <c r="Q205" s="509"/>
      <c r="R205" s="509"/>
      <c r="S205" s="509"/>
      <c r="T205" s="509"/>
      <c r="U205" s="509"/>
      <c r="V205" s="509"/>
      <c r="W205" s="509"/>
      <c r="X205" s="509"/>
      <c r="Y205" s="509"/>
      <c r="Z205" s="509"/>
      <c r="AA205" s="509"/>
      <c r="AB205" s="509"/>
      <c r="AC205" s="509"/>
      <c r="AD205" s="509"/>
    </row>
    <row r="206" spans="3:30">
      <c r="C206" s="509"/>
      <c r="D206" s="509"/>
      <c r="E206" s="509"/>
      <c r="F206" s="509"/>
      <c r="G206" s="509"/>
      <c r="H206" s="509"/>
      <c r="I206" s="509"/>
      <c r="J206" s="509"/>
      <c r="K206" s="509"/>
      <c r="L206" s="509"/>
      <c r="M206" s="509"/>
      <c r="N206" s="509"/>
      <c r="O206" s="509"/>
      <c r="P206" s="509"/>
      <c r="Q206" s="509"/>
      <c r="R206" s="509"/>
      <c r="S206" s="509"/>
      <c r="T206" s="509"/>
      <c r="U206" s="509"/>
      <c r="V206" s="509"/>
      <c r="W206" s="509"/>
      <c r="X206" s="509"/>
      <c r="Y206" s="509"/>
      <c r="Z206" s="509"/>
      <c r="AA206" s="509"/>
      <c r="AB206" s="509"/>
      <c r="AC206" s="509"/>
      <c r="AD206" s="509"/>
    </row>
    <row r="207" spans="3:30">
      <c r="C207" s="509"/>
      <c r="D207" s="509"/>
      <c r="E207" s="509"/>
      <c r="F207" s="509"/>
      <c r="G207" s="509"/>
      <c r="H207" s="509"/>
      <c r="I207" s="509"/>
      <c r="J207" s="509"/>
      <c r="K207" s="509"/>
      <c r="L207" s="509"/>
      <c r="M207" s="509"/>
      <c r="N207" s="509"/>
      <c r="O207" s="509"/>
      <c r="P207" s="509"/>
      <c r="Q207" s="509"/>
      <c r="R207" s="509"/>
      <c r="S207" s="509"/>
      <c r="T207" s="509"/>
      <c r="U207" s="509"/>
      <c r="V207" s="509"/>
      <c r="W207" s="509"/>
      <c r="X207" s="509"/>
      <c r="Y207" s="509"/>
      <c r="Z207" s="509"/>
      <c r="AA207" s="509"/>
      <c r="AB207" s="509"/>
      <c r="AC207" s="509"/>
      <c r="AD207" s="509"/>
    </row>
    <row r="208" spans="3:30">
      <c r="C208" s="509"/>
      <c r="D208" s="509"/>
      <c r="E208" s="509"/>
      <c r="F208" s="509"/>
      <c r="G208" s="509"/>
      <c r="H208" s="509"/>
      <c r="I208" s="509"/>
      <c r="J208" s="509"/>
      <c r="K208" s="509"/>
      <c r="L208" s="509"/>
      <c r="M208" s="509"/>
      <c r="N208" s="509"/>
      <c r="O208" s="509"/>
      <c r="P208" s="509"/>
      <c r="Q208" s="509"/>
      <c r="R208" s="509"/>
      <c r="S208" s="509"/>
      <c r="T208" s="509"/>
      <c r="U208" s="509"/>
      <c r="V208" s="509"/>
      <c r="W208" s="509"/>
      <c r="X208" s="509"/>
      <c r="Y208" s="509"/>
      <c r="Z208" s="509"/>
      <c r="AA208" s="509"/>
      <c r="AB208" s="509"/>
      <c r="AC208" s="509"/>
      <c r="AD208" s="509"/>
    </row>
    <row r="209" spans="3:30">
      <c r="C209" s="509"/>
      <c r="D209" s="509"/>
      <c r="E209" s="509"/>
      <c r="F209" s="509"/>
      <c r="G209" s="509"/>
      <c r="H209" s="509"/>
      <c r="I209" s="509"/>
      <c r="J209" s="509"/>
      <c r="K209" s="509"/>
      <c r="L209" s="509"/>
      <c r="M209" s="509"/>
      <c r="N209" s="509"/>
      <c r="O209" s="509"/>
      <c r="P209" s="509"/>
      <c r="Q209" s="509"/>
      <c r="R209" s="509"/>
      <c r="S209" s="509"/>
      <c r="T209" s="509"/>
      <c r="U209" s="509"/>
      <c r="V209" s="509"/>
      <c r="W209" s="509"/>
      <c r="X209" s="509"/>
      <c r="Y209" s="509"/>
      <c r="Z209" s="509"/>
      <c r="AA209" s="509"/>
      <c r="AB209" s="509"/>
      <c r="AC209" s="509"/>
      <c r="AD209" s="509"/>
    </row>
    <row r="210" spans="3:30">
      <c r="C210" s="509"/>
      <c r="D210" s="509"/>
      <c r="E210" s="509"/>
      <c r="F210" s="509"/>
      <c r="G210" s="509"/>
      <c r="H210" s="509"/>
      <c r="I210" s="509"/>
      <c r="J210" s="509"/>
      <c r="K210" s="509"/>
      <c r="L210" s="509"/>
      <c r="M210" s="509"/>
      <c r="N210" s="509"/>
      <c r="O210" s="509"/>
      <c r="P210" s="509"/>
      <c r="Q210" s="509"/>
      <c r="R210" s="509"/>
      <c r="S210" s="509"/>
      <c r="T210" s="509"/>
      <c r="U210" s="509"/>
      <c r="V210" s="509"/>
      <c r="W210" s="509"/>
      <c r="X210" s="509"/>
      <c r="Y210" s="509"/>
      <c r="Z210" s="509"/>
      <c r="AA210" s="509"/>
      <c r="AB210" s="509"/>
      <c r="AC210" s="509"/>
      <c r="AD210" s="509"/>
    </row>
    <row r="211" spans="3:30">
      <c r="C211" s="509"/>
      <c r="D211" s="509"/>
      <c r="E211" s="509"/>
      <c r="F211" s="509"/>
      <c r="G211" s="509"/>
      <c r="H211" s="509"/>
      <c r="I211" s="509"/>
      <c r="J211" s="509"/>
      <c r="K211" s="509"/>
      <c r="L211" s="509"/>
      <c r="M211" s="509"/>
      <c r="N211" s="509"/>
      <c r="O211" s="509"/>
      <c r="P211" s="509"/>
      <c r="Q211" s="509"/>
      <c r="R211" s="509"/>
      <c r="S211" s="509"/>
      <c r="T211" s="509"/>
      <c r="U211" s="509"/>
      <c r="V211" s="509"/>
      <c r="W211" s="509"/>
      <c r="X211" s="509"/>
      <c r="Y211" s="509"/>
      <c r="Z211" s="509"/>
      <c r="AA211" s="509"/>
      <c r="AB211" s="509"/>
      <c r="AC211" s="509"/>
      <c r="AD211" s="509"/>
    </row>
    <row r="212" spans="3:30">
      <c r="C212" s="509"/>
      <c r="D212" s="509"/>
      <c r="E212" s="509"/>
      <c r="F212" s="509"/>
      <c r="G212" s="509"/>
      <c r="H212" s="509"/>
      <c r="I212" s="509"/>
      <c r="J212" s="509"/>
      <c r="K212" s="509"/>
      <c r="L212" s="509"/>
      <c r="M212" s="509"/>
      <c r="N212" s="509"/>
      <c r="O212" s="509"/>
      <c r="P212" s="509"/>
      <c r="Q212" s="509"/>
      <c r="R212" s="509"/>
      <c r="S212" s="509"/>
      <c r="T212" s="509"/>
      <c r="U212" s="509"/>
      <c r="V212" s="509"/>
      <c r="W212" s="509"/>
      <c r="X212" s="509"/>
      <c r="Y212" s="509"/>
      <c r="Z212" s="509"/>
      <c r="AA212" s="509"/>
      <c r="AB212" s="509"/>
      <c r="AC212" s="509"/>
      <c r="AD212" s="509"/>
    </row>
    <row r="213" spans="3:30">
      <c r="C213" s="509"/>
      <c r="D213" s="509"/>
      <c r="E213" s="509"/>
      <c r="F213" s="509"/>
      <c r="G213" s="509"/>
      <c r="H213" s="509"/>
      <c r="I213" s="509"/>
      <c r="J213" s="509"/>
      <c r="K213" s="509"/>
      <c r="L213" s="509"/>
      <c r="M213" s="509"/>
      <c r="N213" s="509"/>
      <c r="O213" s="509"/>
      <c r="P213" s="509"/>
      <c r="Q213" s="509"/>
      <c r="R213" s="509"/>
      <c r="S213" s="509"/>
      <c r="T213" s="509"/>
      <c r="U213" s="509"/>
      <c r="V213" s="509"/>
      <c r="W213" s="509"/>
      <c r="X213" s="509"/>
      <c r="Y213" s="509"/>
      <c r="Z213" s="509"/>
      <c r="AA213" s="509"/>
      <c r="AB213" s="509"/>
      <c r="AC213" s="509"/>
      <c r="AD213" s="509"/>
    </row>
    <row r="214" spans="3:30">
      <c r="C214" s="509"/>
      <c r="D214" s="509"/>
      <c r="E214" s="509"/>
      <c r="F214" s="509"/>
      <c r="G214" s="509"/>
      <c r="H214" s="509"/>
      <c r="I214" s="509"/>
      <c r="J214" s="509"/>
      <c r="K214" s="509"/>
      <c r="L214" s="509"/>
      <c r="M214" s="509"/>
      <c r="N214" s="509"/>
      <c r="O214" s="509"/>
      <c r="P214" s="509"/>
      <c r="Q214" s="509"/>
      <c r="R214" s="509"/>
      <c r="S214" s="509"/>
      <c r="T214" s="509"/>
      <c r="U214" s="509"/>
      <c r="V214" s="509"/>
      <c r="W214" s="509"/>
      <c r="X214" s="509"/>
      <c r="Y214" s="509"/>
      <c r="Z214" s="509"/>
      <c r="AA214" s="509"/>
      <c r="AB214" s="509"/>
      <c r="AC214" s="509"/>
      <c r="AD214" s="509"/>
    </row>
    <row r="215" spans="3:30">
      <c r="C215" s="509"/>
      <c r="D215" s="509"/>
      <c r="E215" s="509"/>
      <c r="F215" s="509"/>
      <c r="G215" s="509"/>
      <c r="H215" s="509"/>
      <c r="I215" s="509"/>
      <c r="J215" s="509"/>
      <c r="K215" s="509"/>
      <c r="L215" s="509"/>
      <c r="M215" s="509"/>
      <c r="N215" s="509"/>
      <c r="O215" s="509"/>
      <c r="P215" s="509"/>
      <c r="Q215" s="509"/>
      <c r="R215" s="509"/>
      <c r="S215" s="509"/>
      <c r="T215" s="509"/>
      <c r="U215" s="509"/>
      <c r="V215" s="509"/>
      <c r="W215" s="509"/>
      <c r="X215" s="509"/>
      <c r="Y215" s="509"/>
      <c r="Z215" s="509"/>
      <c r="AA215" s="509"/>
      <c r="AB215" s="509"/>
      <c r="AC215" s="509"/>
      <c r="AD215" s="509"/>
    </row>
    <row r="216" spans="3:30">
      <c r="C216" s="509"/>
      <c r="D216" s="509"/>
      <c r="E216" s="509"/>
      <c r="F216" s="509"/>
      <c r="G216" s="509"/>
      <c r="H216" s="509"/>
      <c r="I216" s="509"/>
      <c r="J216" s="509"/>
      <c r="K216" s="509"/>
      <c r="L216" s="509"/>
      <c r="M216" s="509"/>
      <c r="N216" s="509"/>
      <c r="O216" s="509"/>
      <c r="P216" s="509"/>
      <c r="Q216" s="509"/>
      <c r="R216" s="509"/>
      <c r="S216" s="509"/>
      <c r="T216" s="509"/>
      <c r="U216" s="509"/>
      <c r="V216" s="509"/>
      <c r="W216" s="509"/>
      <c r="X216" s="509"/>
      <c r="Y216" s="509"/>
      <c r="Z216" s="509"/>
      <c r="AA216" s="509"/>
      <c r="AB216" s="509"/>
      <c r="AC216" s="509"/>
      <c r="AD216" s="509"/>
    </row>
    <row r="217" spans="3:30">
      <c r="C217" s="509"/>
      <c r="D217" s="509"/>
      <c r="E217" s="509"/>
      <c r="F217" s="509"/>
      <c r="G217" s="509"/>
      <c r="H217" s="509"/>
      <c r="I217" s="509"/>
      <c r="J217" s="509"/>
      <c r="K217" s="509"/>
      <c r="L217" s="509"/>
      <c r="M217" s="509"/>
      <c r="N217" s="509"/>
      <c r="O217" s="509"/>
      <c r="P217" s="509"/>
      <c r="Q217" s="509"/>
      <c r="R217" s="509"/>
      <c r="S217" s="509"/>
      <c r="T217" s="509"/>
      <c r="U217" s="509"/>
      <c r="V217" s="509"/>
      <c r="W217" s="509"/>
      <c r="X217" s="509"/>
      <c r="Y217" s="509"/>
      <c r="Z217" s="509"/>
      <c r="AA217" s="509"/>
      <c r="AB217" s="509"/>
      <c r="AC217" s="509"/>
      <c r="AD217" s="509"/>
    </row>
    <row r="218" spans="3:30">
      <c r="C218" s="509"/>
      <c r="D218" s="509"/>
      <c r="E218" s="509"/>
      <c r="F218" s="509"/>
      <c r="G218" s="509"/>
      <c r="H218" s="509"/>
      <c r="I218" s="509"/>
      <c r="J218" s="509"/>
      <c r="K218" s="509"/>
      <c r="L218" s="509"/>
      <c r="M218" s="509"/>
      <c r="N218" s="509"/>
      <c r="O218" s="509"/>
      <c r="P218" s="509"/>
      <c r="Q218" s="509"/>
      <c r="R218" s="509"/>
      <c r="S218" s="509"/>
      <c r="T218" s="509"/>
      <c r="U218" s="509"/>
      <c r="V218" s="509"/>
      <c r="W218" s="509"/>
      <c r="X218" s="509"/>
      <c r="Y218" s="509"/>
      <c r="Z218" s="509"/>
      <c r="AA218" s="509"/>
      <c r="AB218" s="509"/>
      <c r="AC218" s="509"/>
      <c r="AD218" s="509"/>
    </row>
    <row r="219" spans="3:30">
      <c r="C219" s="509"/>
      <c r="D219" s="509"/>
      <c r="E219" s="509"/>
      <c r="F219" s="509"/>
      <c r="G219" s="509"/>
      <c r="H219" s="509"/>
      <c r="I219" s="509"/>
      <c r="J219" s="509"/>
      <c r="K219" s="509"/>
      <c r="L219" s="509"/>
      <c r="M219" s="509"/>
      <c r="N219" s="509"/>
      <c r="O219" s="509"/>
      <c r="P219" s="509"/>
      <c r="Q219" s="509"/>
      <c r="R219" s="509"/>
      <c r="S219" s="509"/>
      <c r="T219" s="509"/>
      <c r="U219" s="509"/>
      <c r="V219" s="509"/>
      <c r="W219" s="509"/>
      <c r="X219" s="509"/>
      <c r="Y219" s="509"/>
      <c r="Z219" s="509"/>
      <c r="AA219" s="509"/>
      <c r="AB219" s="509"/>
      <c r="AC219" s="509"/>
      <c r="AD219" s="509"/>
    </row>
    <row r="220" spans="3:30">
      <c r="C220" s="509"/>
      <c r="D220" s="509"/>
      <c r="E220" s="509"/>
      <c r="F220" s="509"/>
      <c r="G220" s="509"/>
      <c r="H220" s="509"/>
      <c r="I220" s="509"/>
      <c r="J220" s="509"/>
      <c r="K220" s="509"/>
      <c r="L220" s="509"/>
      <c r="M220" s="509"/>
      <c r="N220" s="509"/>
      <c r="O220" s="509"/>
      <c r="P220" s="509"/>
      <c r="Q220" s="509"/>
      <c r="R220" s="509"/>
      <c r="S220" s="509"/>
      <c r="T220" s="509"/>
      <c r="U220" s="509"/>
      <c r="V220" s="509"/>
      <c r="W220" s="509"/>
      <c r="X220" s="509"/>
      <c r="Y220" s="509"/>
      <c r="Z220" s="509"/>
      <c r="AA220" s="509"/>
      <c r="AB220" s="509"/>
      <c r="AC220" s="509"/>
      <c r="AD220" s="509"/>
    </row>
    <row r="221" spans="3:30">
      <c r="C221" s="509"/>
      <c r="D221" s="509"/>
      <c r="E221" s="509"/>
      <c r="F221" s="509"/>
      <c r="G221" s="509"/>
      <c r="H221" s="509"/>
      <c r="I221" s="509"/>
      <c r="J221" s="509"/>
      <c r="K221" s="509"/>
      <c r="L221" s="509"/>
      <c r="M221" s="509"/>
      <c r="N221" s="509"/>
      <c r="O221" s="509"/>
      <c r="P221" s="509"/>
      <c r="Q221" s="509"/>
      <c r="R221" s="509"/>
      <c r="S221" s="509"/>
      <c r="T221" s="509"/>
      <c r="U221" s="509"/>
      <c r="V221" s="509"/>
      <c r="W221" s="509"/>
      <c r="X221" s="509"/>
      <c r="Y221" s="509"/>
      <c r="Z221" s="509"/>
      <c r="AA221" s="509"/>
      <c r="AB221" s="509"/>
      <c r="AC221" s="509"/>
      <c r="AD221" s="509"/>
    </row>
    <row r="222" spans="3:30">
      <c r="C222" s="509"/>
      <c r="D222" s="509"/>
      <c r="E222" s="509"/>
      <c r="F222" s="509"/>
      <c r="G222" s="509"/>
      <c r="H222" s="509"/>
      <c r="I222" s="509"/>
      <c r="J222" s="509"/>
      <c r="K222" s="509"/>
      <c r="L222" s="509"/>
      <c r="M222" s="509"/>
      <c r="N222" s="509"/>
      <c r="O222" s="509"/>
      <c r="P222" s="509"/>
      <c r="Q222" s="509"/>
      <c r="R222" s="509"/>
      <c r="S222" s="509"/>
      <c r="T222" s="509"/>
      <c r="U222" s="509"/>
      <c r="V222" s="509"/>
      <c r="W222" s="509"/>
      <c r="X222" s="509"/>
      <c r="Y222" s="509"/>
      <c r="Z222" s="509"/>
      <c r="AA222" s="509"/>
      <c r="AB222" s="509"/>
      <c r="AC222" s="509"/>
      <c r="AD222" s="509"/>
    </row>
    <row r="223" spans="3:30">
      <c r="C223" s="509"/>
      <c r="D223" s="509"/>
      <c r="E223" s="509"/>
      <c r="F223" s="509"/>
      <c r="G223" s="509"/>
      <c r="H223" s="509"/>
      <c r="I223" s="509"/>
      <c r="J223" s="509"/>
      <c r="K223" s="509"/>
      <c r="L223" s="509"/>
      <c r="M223" s="509"/>
      <c r="N223" s="509"/>
      <c r="O223" s="509"/>
      <c r="P223" s="509"/>
      <c r="Q223" s="509"/>
      <c r="R223" s="509"/>
      <c r="S223" s="509"/>
      <c r="T223" s="509"/>
      <c r="U223" s="509"/>
      <c r="V223" s="509"/>
      <c r="W223" s="509"/>
      <c r="X223" s="509"/>
      <c r="Y223" s="509"/>
      <c r="Z223" s="509"/>
      <c r="AA223" s="509"/>
      <c r="AB223" s="509"/>
      <c r="AC223" s="509"/>
      <c r="AD223" s="509"/>
    </row>
    <row r="224" spans="3:30">
      <c r="C224" s="509"/>
      <c r="D224" s="509"/>
      <c r="E224" s="509"/>
      <c r="F224" s="509"/>
      <c r="G224" s="509"/>
      <c r="H224" s="509"/>
      <c r="I224" s="509"/>
      <c r="J224" s="509"/>
      <c r="K224" s="509"/>
      <c r="L224" s="509"/>
      <c r="M224" s="509"/>
      <c r="N224" s="509"/>
      <c r="O224" s="509"/>
      <c r="P224" s="509"/>
      <c r="Q224" s="509"/>
      <c r="R224" s="509"/>
      <c r="S224" s="509"/>
      <c r="T224" s="509"/>
      <c r="U224" s="509"/>
      <c r="V224" s="509"/>
      <c r="W224" s="509"/>
      <c r="X224" s="509"/>
      <c r="Y224" s="509"/>
      <c r="Z224" s="509"/>
      <c r="AA224" s="509"/>
      <c r="AB224" s="509"/>
      <c r="AC224" s="509"/>
      <c r="AD224" s="509"/>
    </row>
    <row r="225" spans="3:30">
      <c r="C225" s="509"/>
      <c r="D225" s="509"/>
      <c r="E225" s="509"/>
      <c r="F225" s="509"/>
      <c r="G225" s="509"/>
      <c r="H225" s="509"/>
      <c r="I225" s="509"/>
      <c r="J225" s="509"/>
      <c r="K225" s="509"/>
      <c r="L225" s="509"/>
      <c r="M225" s="509"/>
      <c r="N225" s="509"/>
      <c r="O225" s="509"/>
      <c r="P225" s="509"/>
      <c r="Q225" s="509"/>
      <c r="R225" s="509"/>
      <c r="S225" s="509"/>
      <c r="T225" s="509"/>
      <c r="U225" s="509"/>
      <c r="V225" s="509"/>
      <c r="W225" s="509"/>
      <c r="X225" s="509"/>
      <c r="Y225" s="509"/>
      <c r="Z225" s="509"/>
      <c r="AA225" s="509"/>
      <c r="AB225" s="509"/>
      <c r="AC225" s="509"/>
      <c r="AD225" s="509"/>
    </row>
    <row r="226" spans="3:30">
      <c r="C226" s="509"/>
      <c r="D226" s="509"/>
      <c r="E226" s="509"/>
      <c r="F226" s="509"/>
      <c r="G226" s="509"/>
      <c r="H226" s="509"/>
      <c r="I226" s="509"/>
      <c r="J226" s="509"/>
      <c r="K226" s="509"/>
      <c r="L226" s="509"/>
      <c r="M226" s="509"/>
      <c r="N226" s="509"/>
      <c r="O226" s="509"/>
      <c r="P226" s="509"/>
      <c r="Q226" s="509"/>
      <c r="R226" s="509"/>
      <c r="S226" s="509"/>
      <c r="T226" s="509"/>
      <c r="U226" s="509"/>
      <c r="V226" s="509"/>
      <c r="W226" s="509"/>
      <c r="X226" s="509"/>
      <c r="Y226" s="509"/>
      <c r="Z226" s="509"/>
      <c r="AA226" s="509"/>
      <c r="AB226" s="509"/>
      <c r="AC226" s="509"/>
      <c r="AD226" s="509"/>
    </row>
    <row r="227" spans="3:30">
      <c r="C227" s="509"/>
      <c r="D227" s="509"/>
      <c r="E227" s="509"/>
      <c r="F227" s="509"/>
      <c r="G227" s="509"/>
      <c r="H227" s="509"/>
      <c r="I227" s="509"/>
      <c r="J227" s="509"/>
      <c r="K227" s="509"/>
      <c r="L227" s="509"/>
      <c r="M227" s="509"/>
      <c r="N227" s="509"/>
      <c r="O227" s="509"/>
      <c r="P227" s="509"/>
      <c r="Q227" s="509"/>
      <c r="R227" s="509"/>
      <c r="S227" s="509"/>
      <c r="T227" s="509"/>
      <c r="U227" s="509"/>
      <c r="V227" s="509"/>
      <c r="W227" s="509"/>
      <c r="X227" s="509"/>
      <c r="Y227" s="509"/>
      <c r="Z227" s="509"/>
      <c r="AA227" s="509"/>
      <c r="AB227" s="509"/>
      <c r="AC227" s="509"/>
      <c r="AD227" s="509"/>
    </row>
    <row r="228" spans="3:30">
      <c r="C228" s="509"/>
      <c r="D228" s="509"/>
      <c r="E228" s="509"/>
      <c r="F228" s="509"/>
      <c r="G228" s="509"/>
      <c r="H228" s="509"/>
      <c r="I228" s="509"/>
      <c r="J228" s="509"/>
      <c r="K228" s="509"/>
      <c r="L228" s="509"/>
      <c r="M228" s="509"/>
      <c r="N228" s="509"/>
      <c r="O228" s="509"/>
      <c r="P228" s="509"/>
      <c r="Q228" s="509"/>
      <c r="R228" s="509"/>
      <c r="S228" s="509"/>
      <c r="T228" s="509"/>
      <c r="U228" s="509"/>
      <c r="V228" s="509"/>
      <c r="W228" s="509"/>
      <c r="X228" s="509"/>
      <c r="Y228" s="509"/>
      <c r="Z228" s="509"/>
      <c r="AA228" s="509"/>
      <c r="AB228" s="509"/>
      <c r="AC228" s="509"/>
      <c r="AD228" s="509"/>
    </row>
    <row r="229" spans="3:30">
      <c r="C229" s="509"/>
      <c r="D229" s="509"/>
      <c r="E229" s="509"/>
      <c r="F229" s="509"/>
      <c r="G229" s="509"/>
      <c r="H229" s="509"/>
      <c r="I229" s="509"/>
      <c r="J229" s="509"/>
      <c r="K229" s="509"/>
      <c r="L229" s="509"/>
      <c r="M229" s="509"/>
      <c r="N229" s="509"/>
      <c r="O229" s="509"/>
      <c r="P229" s="509"/>
      <c r="Q229" s="509"/>
      <c r="R229" s="509"/>
      <c r="S229" s="509"/>
      <c r="T229" s="509"/>
      <c r="U229" s="509"/>
      <c r="V229" s="509"/>
      <c r="W229" s="509"/>
      <c r="X229" s="509"/>
      <c r="Y229" s="509"/>
      <c r="Z229" s="509"/>
      <c r="AA229" s="509"/>
      <c r="AB229" s="509"/>
      <c r="AC229" s="509"/>
      <c r="AD229" s="509"/>
    </row>
    <row r="230" spans="3:30">
      <c r="C230" s="509"/>
      <c r="D230" s="509"/>
      <c r="E230" s="509"/>
      <c r="F230" s="509"/>
      <c r="G230" s="509"/>
      <c r="H230" s="509"/>
      <c r="I230" s="509"/>
      <c r="J230" s="509"/>
      <c r="K230" s="509"/>
      <c r="L230" s="509"/>
      <c r="M230" s="509"/>
      <c r="N230" s="509"/>
      <c r="O230" s="509"/>
      <c r="P230" s="509"/>
      <c r="Q230" s="509"/>
      <c r="R230" s="509"/>
      <c r="S230" s="509"/>
      <c r="T230" s="509"/>
      <c r="U230" s="509"/>
      <c r="V230" s="509"/>
      <c r="W230" s="509"/>
      <c r="X230" s="509"/>
      <c r="Y230" s="509"/>
      <c r="Z230" s="509"/>
      <c r="AA230" s="509"/>
      <c r="AB230" s="509"/>
      <c r="AC230" s="509"/>
      <c r="AD230" s="509"/>
    </row>
    <row r="231" spans="3:30">
      <c r="C231" s="509"/>
      <c r="D231" s="509"/>
      <c r="E231" s="509"/>
      <c r="F231" s="509"/>
      <c r="G231" s="509"/>
      <c r="H231" s="509"/>
      <c r="I231" s="509"/>
      <c r="J231" s="509"/>
      <c r="K231" s="509"/>
      <c r="L231" s="509"/>
      <c r="M231" s="509"/>
      <c r="N231" s="509"/>
      <c r="O231" s="509"/>
      <c r="P231" s="509"/>
      <c r="Q231" s="509"/>
      <c r="R231" s="509"/>
      <c r="S231" s="509"/>
      <c r="T231" s="509"/>
      <c r="U231" s="509"/>
      <c r="V231" s="509"/>
      <c r="W231" s="509"/>
      <c r="X231" s="509"/>
      <c r="Y231" s="509"/>
      <c r="Z231" s="509"/>
      <c r="AA231" s="509"/>
      <c r="AB231" s="509"/>
      <c r="AC231" s="509"/>
      <c r="AD231" s="509"/>
    </row>
    <row r="232" spans="3:30">
      <c r="C232" s="509"/>
      <c r="D232" s="509"/>
      <c r="E232" s="509"/>
      <c r="F232" s="509"/>
      <c r="G232" s="509"/>
      <c r="H232" s="509"/>
      <c r="I232" s="509"/>
      <c r="J232" s="509"/>
      <c r="K232" s="509"/>
      <c r="L232" s="509"/>
      <c r="M232" s="509"/>
      <c r="N232" s="509"/>
      <c r="O232" s="509"/>
      <c r="P232" s="509"/>
      <c r="Q232" s="509"/>
      <c r="R232" s="509"/>
      <c r="S232" s="509"/>
      <c r="T232" s="509"/>
      <c r="U232" s="509"/>
      <c r="V232" s="509"/>
      <c r="W232" s="509"/>
      <c r="X232" s="509"/>
      <c r="Y232" s="509"/>
      <c r="Z232" s="509"/>
      <c r="AA232" s="509"/>
      <c r="AB232" s="509"/>
      <c r="AC232" s="509"/>
      <c r="AD232" s="509"/>
    </row>
    <row r="233" spans="3:30">
      <c r="C233" s="509"/>
      <c r="D233" s="509"/>
      <c r="E233" s="509"/>
      <c r="F233" s="509"/>
      <c r="G233" s="509"/>
      <c r="H233" s="509"/>
      <c r="I233" s="509"/>
      <c r="J233" s="509"/>
      <c r="K233" s="509"/>
      <c r="L233" s="509"/>
      <c r="M233" s="509"/>
      <c r="N233" s="509"/>
      <c r="O233" s="509"/>
      <c r="P233" s="509"/>
      <c r="Q233" s="509"/>
      <c r="R233" s="509"/>
      <c r="S233" s="509"/>
      <c r="T233" s="509"/>
      <c r="U233" s="509"/>
      <c r="V233" s="509"/>
      <c r="W233" s="509"/>
      <c r="X233" s="509"/>
      <c r="Y233" s="509"/>
      <c r="Z233" s="509"/>
      <c r="AA233" s="509"/>
      <c r="AB233" s="509"/>
      <c r="AC233" s="509"/>
      <c r="AD233" s="509"/>
    </row>
    <row r="234" spans="3:30">
      <c r="C234" s="509"/>
      <c r="D234" s="509"/>
      <c r="E234" s="509"/>
      <c r="F234" s="509"/>
      <c r="G234" s="509"/>
      <c r="H234" s="509"/>
      <c r="I234" s="509"/>
      <c r="J234" s="509"/>
      <c r="K234" s="509"/>
      <c r="L234" s="509"/>
      <c r="M234" s="509"/>
      <c r="N234" s="509"/>
      <c r="O234" s="509"/>
      <c r="P234" s="509"/>
      <c r="Q234" s="509"/>
      <c r="R234" s="509"/>
      <c r="S234" s="509"/>
      <c r="T234" s="509"/>
      <c r="U234" s="509"/>
      <c r="V234" s="509"/>
      <c r="W234" s="509"/>
      <c r="X234" s="509"/>
      <c r="Y234" s="509"/>
      <c r="Z234" s="509"/>
      <c r="AA234" s="509"/>
      <c r="AB234" s="509"/>
      <c r="AC234" s="509"/>
      <c r="AD234" s="509"/>
    </row>
    <row r="235" spans="3:30">
      <c r="C235" s="509"/>
      <c r="D235" s="509"/>
      <c r="E235" s="509"/>
      <c r="F235" s="509"/>
      <c r="G235" s="509"/>
      <c r="H235" s="509"/>
      <c r="I235" s="509"/>
      <c r="J235" s="509"/>
      <c r="K235" s="509"/>
      <c r="L235" s="509"/>
      <c r="M235" s="509"/>
      <c r="N235" s="509"/>
      <c r="O235" s="509"/>
      <c r="P235" s="509"/>
      <c r="Q235" s="509"/>
      <c r="R235" s="509"/>
      <c r="S235" s="509"/>
      <c r="T235" s="509"/>
      <c r="U235" s="509"/>
      <c r="V235" s="509"/>
      <c r="W235" s="509"/>
      <c r="X235" s="509"/>
      <c r="Y235" s="509"/>
      <c r="Z235" s="509"/>
      <c r="AA235" s="509"/>
      <c r="AB235" s="509"/>
      <c r="AC235" s="509"/>
      <c r="AD235" s="509"/>
    </row>
    <row r="236" spans="3:30">
      <c r="C236" s="509"/>
      <c r="D236" s="509"/>
      <c r="E236" s="509"/>
      <c r="F236" s="509"/>
      <c r="G236" s="509"/>
      <c r="H236" s="509"/>
      <c r="I236" s="509"/>
      <c r="J236" s="509"/>
      <c r="K236" s="509"/>
      <c r="L236" s="509"/>
      <c r="M236" s="509"/>
      <c r="N236" s="509"/>
      <c r="O236" s="509"/>
      <c r="P236" s="509"/>
      <c r="Q236" s="509"/>
      <c r="R236" s="509"/>
      <c r="S236" s="509"/>
      <c r="T236" s="509"/>
      <c r="U236" s="509"/>
      <c r="V236" s="509"/>
      <c r="W236" s="509"/>
      <c r="X236" s="509"/>
      <c r="Y236" s="509"/>
      <c r="Z236" s="509"/>
      <c r="AA236" s="509"/>
      <c r="AB236" s="509"/>
      <c r="AC236" s="509"/>
      <c r="AD236" s="509"/>
    </row>
    <row r="237" spans="3:30">
      <c r="C237" s="509"/>
      <c r="D237" s="509"/>
      <c r="E237" s="509"/>
      <c r="F237" s="509"/>
      <c r="G237" s="509"/>
      <c r="H237" s="509"/>
      <c r="I237" s="509"/>
      <c r="J237" s="509"/>
      <c r="K237" s="509"/>
      <c r="L237" s="509"/>
      <c r="M237" s="509"/>
      <c r="N237" s="509"/>
      <c r="O237" s="509"/>
      <c r="P237" s="509"/>
      <c r="Q237" s="509"/>
      <c r="R237" s="509"/>
      <c r="S237" s="509"/>
      <c r="T237" s="509"/>
      <c r="U237" s="509"/>
      <c r="V237" s="509"/>
      <c r="W237" s="509"/>
      <c r="X237" s="509"/>
      <c r="Y237" s="509"/>
      <c r="Z237" s="509"/>
      <c r="AA237" s="509"/>
      <c r="AB237" s="509"/>
      <c r="AC237" s="509"/>
      <c r="AD237" s="509"/>
    </row>
    <row r="238" spans="3:30">
      <c r="C238" s="509"/>
      <c r="D238" s="509"/>
      <c r="E238" s="509"/>
      <c r="F238" s="509"/>
      <c r="G238" s="509"/>
      <c r="H238" s="509"/>
      <c r="I238" s="509"/>
      <c r="J238" s="509"/>
      <c r="K238" s="509"/>
      <c r="L238" s="509"/>
      <c r="M238" s="509"/>
      <c r="N238" s="509"/>
      <c r="O238" s="509"/>
      <c r="P238" s="509"/>
      <c r="Q238" s="509"/>
      <c r="R238" s="509"/>
      <c r="S238" s="509"/>
      <c r="T238" s="509"/>
      <c r="U238" s="509"/>
      <c r="V238" s="509"/>
      <c r="W238" s="509"/>
      <c r="X238" s="509"/>
      <c r="Y238" s="509"/>
      <c r="Z238" s="509"/>
      <c r="AA238" s="509"/>
      <c r="AB238" s="509"/>
      <c r="AC238" s="509"/>
      <c r="AD238" s="509"/>
    </row>
    <row r="239" spans="3:30">
      <c r="C239" s="509"/>
      <c r="D239" s="509"/>
      <c r="E239" s="509"/>
      <c r="F239" s="509"/>
      <c r="G239" s="509"/>
      <c r="H239" s="509"/>
      <c r="I239" s="509"/>
      <c r="J239" s="509"/>
      <c r="K239" s="509"/>
      <c r="L239" s="509"/>
      <c r="M239" s="509"/>
      <c r="N239" s="509"/>
      <c r="O239" s="509"/>
      <c r="P239" s="509"/>
      <c r="Q239" s="509"/>
      <c r="R239" s="509"/>
      <c r="S239" s="509"/>
      <c r="T239" s="509"/>
      <c r="U239" s="509"/>
      <c r="V239" s="509"/>
      <c r="W239" s="509"/>
      <c r="X239" s="509"/>
      <c r="Y239" s="509"/>
      <c r="Z239" s="509"/>
      <c r="AA239" s="509"/>
      <c r="AB239" s="509"/>
      <c r="AC239" s="509"/>
      <c r="AD239" s="509"/>
    </row>
    <row r="240" spans="3:30">
      <c r="C240" s="509"/>
      <c r="D240" s="509"/>
      <c r="E240" s="509"/>
      <c r="F240" s="509"/>
      <c r="G240" s="509"/>
      <c r="H240" s="509"/>
      <c r="I240" s="509"/>
      <c r="J240" s="509"/>
      <c r="K240" s="509"/>
      <c r="L240" s="509"/>
      <c r="M240" s="509"/>
      <c r="N240" s="509"/>
      <c r="O240" s="509"/>
      <c r="P240" s="509"/>
      <c r="Q240" s="509"/>
      <c r="R240" s="509"/>
      <c r="S240" s="509"/>
      <c r="T240" s="509"/>
      <c r="U240" s="509"/>
      <c r="V240" s="509"/>
      <c r="W240" s="509"/>
      <c r="X240" s="509"/>
      <c r="Y240" s="509"/>
      <c r="Z240" s="509"/>
      <c r="AA240" s="509"/>
      <c r="AB240" s="509"/>
      <c r="AC240" s="509"/>
      <c r="AD240" s="509"/>
    </row>
    <row r="241" spans="3:30">
      <c r="C241" s="509"/>
      <c r="D241" s="509"/>
      <c r="E241" s="509"/>
      <c r="F241" s="509"/>
      <c r="G241" s="509"/>
      <c r="H241" s="509"/>
      <c r="I241" s="509"/>
      <c r="J241" s="509"/>
      <c r="K241" s="509"/>
      <c r="L241" s="509"/>
      <c r="M241" s="509"/>
      <c r="N241" s="509"/>
      <c r="O241" s="509"/>
      <c r="P241" s="509"/>
      <c r="Q241" s="509"/>
      <c r="R241" s="509"/>
      <c r="S241" s="509"/>
      <c r="T241" s="509"/>
      <c r="U241" s="509"/>
      <c r="V241" s="509"/>
      <c r="W241" s="509"/>
      <c r="X241" s="509"/>
      <c r="Y241" s="509"/>
      <c r="Z241" s="509"/>
      <c r="AA241" s="509"/>
      <c r="AB241" s="509"/>
      <c r="AC241" s="509"/>
      <c r="AD241" s="509"/>
    </row>
    <row r="242" spans="3:30">
      <c r="C242" s="509"/>
      <c r="D242" s="509"/>
      <c r="E242" s="509"/>
      <c r="F242" s="509"/>
      <c r="G242" s="509"/>
      <c r="H242" s="509"/>
      <c r="I242" s="509"/>
      <c r="J242" s="509"/>
      <c r="K242" s="509"/>
      <c r="L242" s="509"/>
      <c r="M242" s="509"/>
      <c r="N242" s="509"/>
      <c r="O242" s="509"/>
      <c r="P242" s="509"/>
      <c r="Q242" s="509"/>
      <c r="R242" s="509"/>
      <c r="S242" s="509"/>
      <c r="T242" s="509"/>
      <c r="U242" s="509"/>
      <c r="V242" s="509"/>
      <c r="W242" s="509"/>
      <c r="X242" s="509"/>
      <c r="Y242" s="509"/>
      <c r="Z242" s="509"/>
      <c r="AA242" s="509"/>
      <c r="AB242" s="509"/>
      <c r="AC242" s="509"/>
      <c r="AD242" s="509"/>
    </row>
    <row r="243" spans="3:30">
      <c r="C243" s="509"/>
      <c r="D243" s="509"/>
      <c r="E243" s="509"/>
      <c r="F243" s="509"/>
      <c r="G243" s="509"/>
      <c r="H243" s="509"/>
      <c r="I243" s="509"/>
      <c r="J243" s="509"/>
      <c r="K243" s="509"/>
      <c r="L243" s="509"/>
      <c r="M243" s="509"/>
      <c r="N243" s="509"/>
      <c r="O243" s="509"/>
      <c r="P243" s="509"/>
      <c r="Q243" s="509"/>
      <c r="R243" s="509"/>
      <c r="S243" s="509"/>
      <c r="T243" s="509"/>
      <c r="U243" s="509"/>
      <c r="V243" s="509"/>
      <c r="W243" s="509"/>
      <c r="X243" s="509"/>
      <c r="Y243" s="509"/>
      <c r="Z243" s="509"/>
      <c r="AA243" s="509"/>
      <c r="AB243" s="509"/>
      <c r="AC243" s="509"/>
      <c r="AD243" s="509"/>
    </row>
    <row r="244" spans="3:30">
      <c r="C244" s="509"/>
      <c r="D244" s="509"/>
      <c r="E244" s="509"/>
      <c r="F244" s="509"/>
      <c r="G244" s="509"/>
      <c r="H244" s="509"/>
      <c r="I244" s="509"/>
      <c r="J244" s="509"/>
      <c r="K244" s="509"/>
      <c r="L244" s="509"/>
      <c r="M244" s="509"/>
      <c r="N244" s="509"/>
      <c r="O244" s="509"/>
      <c r="P244" s="509"/>
      <c r="Q244" s="509"/>
      <c r="R244" s="509"/>
      <c r="S244" s="509"/>
      <c r="T244" s="509"/>
      <c r="U244" s="509"/>
      <c r="V244" s="509"/>
      <c r="W244" s="509"/>
      <c r="X244" s="509"/>
      <c r="Y244" s="509"/>
      <c r="Z244" s="509"/>
      <c r="AA244" s="509"/>
      <c r="AB244" s="509"/>
      <c r="AC244" s="509"/>
      <c r="AD244" s="509"/>
    </row>
    <row r="245" spans="3:30">
      <c r="C245" s="509"/>
      <c r="D245" s="509"/>
      <c r="E245" s="509"/>
      <c r="F245" s="509"/>
      <c r="G245" s="509"/>
      <c r="H245" s="509"/>
      <c r="I245" s="509"/>
      <c r="J245" s="509"/>
      <c r="K245" s="509"/>
      <c r="L245" s="509"/>
      <c r="M245" s="509"/>
      <c r="N245" s="509"/>
      <c r="O245" s="509"/>
      <c r="P245" s="509"/>
      <c r="Q245" s="509"/>
      <c r="R245" s="509"/>
      <c r="S245" s="509"/>
      <c r="T245" s="509"/>
      <c r="U245" s="509"/>
      <c r="V245" s="509"/>
      <c r="W245" s="509"/>
      <c r="X245" s="509"/>
      <c r="Y245" s="509"/>
      <c r="Z245" s="509"/>
      <c r="AA245" s="509"/>
      <c r="AB245" s="509"/>
      <c r="AC245" s="509"/>
      <c r="AD245" s="509"/>
    </row>
    <row r="246" spans="3:30">
      <c r="C246" s="509"/>
      <c r="D246" s="509"/>
      <c r="E246" s="509"/>
      <c r="F246" s="509"/>
      <c r="G246" s="509"/>
      <c r="H246" s="509"/>
      <c r="I246" s="509"/>
      <c r="J246" s="509"/>
      <c r="K246" s="509"/>
      <c r="L246" s="509"/>
      <c r="M246" s="509"/>
      <c r="N246" s="509"/>
      <c r="O246" s="509"/>
      <c r="P246" s="509"/>
      <c r="Q246" s="509"/>
      <c r="R246" s="509"/>
      <c r="S246" s="509"/>
      <c r="T246" s="509"/>
      <c r="U246" s="509"/>
      <c r="V246" s="509"/>
      <c r="W246" s="509"/>
      <c r="X246" s="509"/>
      <c r="Y246" s="509"/>
      <c r="Z246" s="509"/>
      <c r="AA246" s="509"/>
      <c r="AB246" s="509"/>
      <c r="AC246" s="509"/>
      <c r="AD246" s="509"/>
    </row>
    <row r="247" spans="3:30">
      <c r="C247" s="509"/>
      <c r="D247" s="509"/>
      <c r="E247" s="509"/>
      <c r="F247" s="509"/>
      <c r="G247" s="509"/>
      <c r="H247" s="509"/>
      <c r="I247" s="509"/>
      <c r="J247" s="509"/>
      <c r="K247" s="509"/>
      <c r="L247" s="509"/>
      <c r="M247" s="509"/>
      <c r="N247" s="509"/>
      <c r="O247" s="509"/>
      <c r="P247" s="509"/>
      <c r="Q247" s="509"/>
      <c r="R247" s="509"/>
      <c r="S247" s="509"/>
      <c r="T247" s="509"/>
      <c r="U247" s="509"/>
      <c r="V247" s="509"/>
      <c r="W247" s="509"/>
      <c r="X247" s="509"/>
      <c r="Y247" s="509"/>
      <c r="Z247" s="509"/>
      <c r="AA247" s="509"/>
      <c r="AB247" s="509"/>
      <c r="AC247" s="509"/>
      <c r="AD247" s="509"/>
    </row>
    <row r="248" spans="3:30">
      <c r="C248" s="509"/>
      <c r="D248" s="509"/>
      <c r="E248" s="509"/>
      <c r="F248" s="509"/>
      <c r="G248" s="509"/>
      <c r="H248" s="509"/>
      <c r="I248" s="509"/>
      <c r="J248" s="509"/>
      <c r="K248" s="509"/>
      <c r="L248" s="509"/>
      <c r="M248" s="509"/>
      <c r="N248" s="509"/>
      <c r="O248" s="509"/>
      <c r="P248" s="509"/>
      <c r="Q248" s="509"/>
      <c r="R248" s="509"/>
      <c r="S248" s="509"/>
      <c r="T248" s="509"/>
      <c r="U248" s="509"/>
      <c r="V248" s="509"/>
      <c r="W248" s="509"/>
      <c r="X248" s="509"/>
      <c r="Y248" s="509"/>
      <c r="Z248" s="509"/>
      <c r="AA248" s="509"/>
      <c r="AB248" s="509"/>
      <c r="AC248" s="509"/>
      <c r="AD248" s="509"/>
    </row>
    <row r="249" spans="3:30">
      <c r="C249" s="509"/>
      <c r="D249" s="509"/>
      <c r="E249" s="509"/>
      <c r="F249" s="509"/>
      <c r="G249" s="509"/>
      <c r="H249" s="509"/>
      <c r="I249" s="509"/>
      <c r="J249" s="509"/>
      <c r="K249" s="509"/>
      <c r="L249" s="509"/>
      <c r="M249" s="509"/>
      <c r="N249" s="509"/>
      <c r="O249" s="509"/>
      <c r="P249" s="509"/>
      <c r="Q249" s="509"/>
      <c r="R249" s="509"/>
      <c r="S249" s="509"/>
      <c r="T249" s="509"/>
      <c r="U249" s="509"/>
      <c r="V249" s="509"/>
      <c r="W249" s="509"/>
      <c r="X249" s="509"/>
      <c r="Y249" s="509"/>
      <c r="Z249" s="509"/>
      <c r="AA249" s="509"/>
      <c r="AB249" s="509"/>
      <c r="AC249" s="509"/>
      <c r="AD249" s="509"/>
    </row>
    <row r="250" spans="3:30">
      <c r="C250" s="509"/>
      <c r="D250" s="509"/>
      <c r="E250" s="509"/>
      <c r="F250" s="509"/>
      <c r="G250" s="509"/>
      <c r="H250" s="509"/>
      <c r="I250" s="509"/>
      <c r="J250" s="509"/>
      <c r="K250" s="509"/>
      <c r="L250" s="509"/>
      <c r="M250" s="509"/>
      <c r="N250" s="509"/>
      <c r="O250" s="509"/>
      <c r="P250" s="509"/>
      <c r="Q250" s="509"/>
      <c r="R250" s="509"/>
      <c r="S250" s="509"/>
      <c r="T250" s="509"/>
      <c r="U250" s="509"/>
      <c r="V250" s="509"/>
      <c r="W250" s="509"/>
      <c r="X250" s="509"/>
      <c r="Y250" s="509"/>
      <c r="Z250" s="509"/>
      <c r="AA250" s="509"/>
      <c r="AB250" s="509"/>
      <c r="AC250" s="509"/>
      <c r="AD250" s="509"/>
    </row>
    <row r="251" spans="3:30">
      <c r="C251" s="509"/>
      <c r="D251" s="509"/>
      <c r="E251" s="509"/>
      <c r="F251" s="509"/>
      <c r="G251" s="509"/>
      <c r="H251" s="509"/>
      <c r="I251" s="509"/>
      <c r="J251" s="509"/>
      <c r="K251" s="509"/>
      <c r="L251" s="509"/>
      <c r="M251" s="509"/>
      <c r="N251" s="509"/>
      <c r="O251" s="509"/>
      <c r="P251" s="509"/>
      <c r="Q251" s="509"/>
      <c r="R251" s="509"/>
      <c r="S251" s="509"/>
      <c r="T251" s="509"/>
      <c r="U251" s="509"/>
      <c r="V251" s="509"/>
      <c r="W251" s="509"/>
      <c r="X251" s="509"/>
      <c r="Y251" s="509"/>
      <c r="Z251" s="509"/>
      <c r="AA251" s="509"/>
      <c r="AB251" s="509"/>
      <c r="AC251" s="509"/>
      <c r="AD251" s="509"/>
    </row>
    <row r="252" spans="3:30">
      <c r="C252" s="509"/>
      <c r="D252" s="509"/>
      <c r="E252" s="509"/>
      <c r="F252" s="509"/>
      <c r="G252" s="509"/>
      <c r="H252" s="509"/>
      <c r="I252" s="509"/>
      <c r="J252" s="509"/>
      <c r="K252" s="509"/>
      <c r="L252" s="509"/>
      <c r="M252" s="509"/>
      <c r="N252" s="509"/>
      <c r="O252" s="509"/>
      <c r="P252" s="509"/>
      <c r="Q252" s="509"/>
      <c r="R252" s="509"/>
      <c r="S252" s="509"/>
      <c r="T252" s="509"/>
      <c r="U252" s="509"/>
      <c r="V252" s="509"/>
      <c r="W252" s="509"/>
      <c r="X252" s="509"/>
      <c r="Y252" s="509"/>
      <c r="Z252" s="509"/>
      <c r="AA252" s="509"/>
      <c r="AB252" s="509"/>
      <c r="AC252" s="509"/>
      <c r="AD252" s="509"/>
    </row>
    <row r="253" spans="3:30">
      <c r="C253" s="509"/>
      <c r="D253" s="509"/>
      <c r="E253" s="509"/>
      <c r="F253" s="509"/>
      <c r="G253" s="509"/>
      <c r="H253" s="509"/>
      <c r="I253" s="509"/>
      <c r="J253" s="509"/>
      <c r="K253" s="509"/>
      <c r="L253" s="509"/>
      <c r="M253" s="509"/>
      <c r="N253" s="509"/>
      <c r="O253" s="509"/>
      <c r="P253" s="509"/>
      <c r="Q253" s="509"/>
      <c r="R253" s="509"/>
      <c r="S253" s="509"/>
      <c r="T253" s="509"/>
      <c r="U253" s="509"/>
      <c r="V253" s="509"/>
      <c r="W253" s="509"/>
      <c r="X253" s="509"/>
      <c r="Y253" s="509"/>
      <c r="Z253" s="509"/>
      <c r="AA253" s="509"/>
      <c r="AB253" s="509"/>
      <c r="AC253" s="509"/>
      <c r="AD253" s="509"/>
    </row>
    <row r="254" spans="3:30">
      <c r="C254" s="509"/>
      <c r="D254" s="509"/>
      <c r="E254" s="509"/>
      <c r="F254" s="509"/>
      <c r="G254" s="509"/>
      <c r="H254" s="509"/>
      <c r="I254" s="509"/>
      <c r="J254" s="509"/>
      <c r="K254" s="509"/>
      <c r="L254" s="509"/>
      <c r="M254" s="509"/>
      <c r="N254" s="509"/>
      <c r="O254" s="509"/>
      <c r="P254" s="509"/>
      <c r="Q254" s="509"/>
      <c r="R254" s="509"/>
      <c r="S254" s="509"/>
      <c r="T254" s="509"/>
      <c r="U254" s="509"/>
      <c r="V254" s="509"/>
      <c r="W254" s="509"/>
      <c r="X254" s="509"/>
      <c r="Y254" s="509"/>
      <c r="Z254" s="509"/>
      <c r="AA254" s="509"/>
      <c r="AB254" s="509"/>
      <c r="AC254" s="509"/>
      <c r="AD254" s="509"/>
    </row>
    <row r="255" spans="3:30">
      <c r="C255" s="509"/>
      <c r="D255" s="509"/>
      <c r="E255" s="509"/>
      <c r="F255" s="509"/>
      <c r="G255" s="509"/>
      <c r="H255" s="509"/>
      <c r="I255" s="509"/>
      <c r="J255" s="509"/>
      <c r="K255" s="509"/>
      <c r="L255" s="509"/>
      <c r="M255" s="509"/>
      <c r="N255" s="509"/>
      <c r="O255" s="509"/>
      <c r="P255" s="509"/>
      <c r="Q255" s="509"/>
      <c r="R255" s="509"/>
      <c r="S255" s="509"/>
      <c r="T255" s="509"/>
      <c r="U255" s="509"/>
      <c r="V255" s="509"/>
      <c r="W255" s="509"/>
      <c r="X255" s="509"/>
      <c r="Y255" s="509"/>
      <c r="Z255" s="509"/>
      <c r="AA255" s="509"/>
      <c r="AB255" s="509"/>
      <c r="AC255" s="509"/>
      <c r="AD255" s="509"/>
    </row>
    <row r="256" spans="3:30">
      <c r="C256" s="509"/>
      <c r="D256" s="509"/>
      <c r="E256" s="509"/>
      <c r="F256" s="509"/>
      <c r="G256" s="509"/>
      <c r="H256" s="509"/>
      <c r="I256" s="509"/>
      <c r="J256" s="509"/>
      <c r="K256" s="509"/>
      <c r="L256" s="509"/>
      <c r="M256" s="509"/>
      <c r="N256" s="509"/>
      <c r="O256" s="509"/>
      <c r="P256" s="509"/>
      <c r="Q256" s="509"/>
      <c r="R256" s="509"/>
      <c r="S256" s="509"/>
      <c r="T256" s="509"/>
      <c r="U256" s="509"/>
      <c r="V256" s="509"/>
      <c r="W256" s="509"/>
      <c r="X256" s="509"/>
      <c r="Y256" s="509"/>
      <c r="Z256" s="509"/>
      <c r="AA256" s="509"/>
      <c r="AB256" s="509"/>
      <c r="AC256" s="509"/>
      <c r="AD256" s="509"/>
    </row>
    <row r="257" spans="3:30">
      <c r="C257" s="509"/>
      <c r="D257" s="509"/>
      <c r="E257" s="509"/>
      <c r="F257" s="509"/>
      <c r="G257" s="509"/>
      <c r="H257" s="509"/>
      <c r="I257" s="509"/>
      <c r="J257" s="509"/>
      <c r="K257" s="509"/>
      <c r="L257" s="509"/>
      <c r="M257" s="509"/>
      <c r="N257" s="509"/>
      <c r="O257" s="509"/>
      <c r="P257" s="509"/>
      <c r="Q257" s="509"/>
      <c r="R257" s="509"/>
      <c r="S257" s="509"/>
      <c r="T257" s="509"/>
      <c r="U257" s="509"/>
      <c r="V257" s="509"/>
      <c r="W257" s="509"/>
      <c r="X257" s="509"/>
      <c r="Y257" s="509"/>
      <c r="Z257" s="509"/>
      <c r="AA257" s="509"/>
      <c r="AB257" s="509"/>
      <c r="AC257" s="509"/>
      <c r="AD257" s="509"/>
    </row>
    <row r="258" spans="3:30">
      <c r="C258" s="509"/>
      <c r="D258" s="509"/>
      <c r="E258" s="509"/>
      <c r="F258" s="509"/>
      <c r="G258" s="509"/>
      <c r="H258" s="509"/>
      <c r="I258" s="509"/>
      <c r="J258" s="509"/>
      <c r="K258" s="509"/>
      <c r="L258" s="509"/>
      <c r="M258" s="509"/>
      <c r="N258" s="509"/>
      <c r="O258" s="509"/>
      <c r="P258" s="509"/>
      <c r="Q258" s="509"/>
      <c r="R258" s="509"/>
      <c r="S258" s="509"/>
      <c r="T258" s="509"/>
      <c r="U258" s="509"/>
      <c r="V258" s="509"/>
      <c r="W258" s="509"/>
      <c r="X258" s="509"/>
      <c r="Y258" s="509"/>
      <c r="Z258" s="509"/>
      <c r="AA258" s="509"/>
      <c r="AB258" s="509"/>
      <c r="AC258" s="509"/>
      <c r="AD258" s="509"/>
    </row>
    <row r="259" spans="3:30">
      <c r="C259" s="509"/>
      <c r="D259" s="509"/>
      <c r="E259" s="509"/>
      <c r="F259" s="509"/>
      <c r="G259" s="509"/>
      <c r="H259" s="509"/>
      <c r="I259" s="509"/>
      <c r="J259" s="509"/>
      <c r="K259" s="509"/>
      <c r="L259" s="509"/>
      <c r="M259" s="509"/>
      <c r="N259" s="509"/>
      <c r="O259" s="509"/>
      <c r="P259" s="509"/>
      <c r="Q259" s="509"/>
      <c r="R259" s="509"/>
      <c r="S259" s="509"/>
      <c r="T259" s="509"/>
      <c r="U259" s="509"/>
      <c r="V259" s="509"/>
      <c r="W259" s="509"/>
      <c r="X259" s="509"/>
      <c r="Y259" s="509"/>
      <c r="Z259" s="509"/>
      <c r="AA259" s="509"/>
      <c r="AB259" s="509"/>
      <c r="AC259" s="509"/>
      <c r="AD259" s="509"/>
    </row>
    <row r="260" spans="3:30">
      <c r="C260" s="509"/>
      <c r="D260" s="509"/>
      <c r="E260" s="509"/>
      <c r="F260" s="509"/>
      <c r="G260" s="509"/>
      <c r="H260" s="509"/>
      <c r="I260" s="509"/>
      <c r="J260" s="509"/>
      <c r="K260" s="509"/>
      <c r="L260" s="509"/>
      <c r="M260" s="509"/>
      <c r="N260" s="509"/>
      <c r="O260" s="509"/>
      <c r="P260" s="509"/>
      <c r="Q260" s="509"/>
      <c r="R260" s="509"/>
      <c r="S260" s="509"/>
      <c r="T260" s="509"/>
      <c r="U260" s="509"/>
      <c r="V260" s="509"/>
      <c r="W260" s="509"/>
      <c r="X260" s="509"/>
      <c r="Y260" s="509"/>
      <c r="Z260" s="509"/>
      <c r="AA260" s="509"/>
      <c r="AB260" s="509"/>
      <c r="AC260" s="509"/>
      <c r="AD260" s="509"/>
    </row>
    <row r="261" spans="3:30">
      <c r="C261" s="509"/>
      <c r="D261" s="509"/>
      <c r="E261" s="509"/>
      <c r="F261" s="509"/>
      <c r="G261" s="509"/>
      <c r="H261" s="509"/>
      <c r="I261" s="509"/>
      <c r="J261" s="509"/>
      <c r="K261" s="509"/>
      <c r="L261" s="509"/>
      <c r="M261" s="509"/>
      <c r="N261" s="509"/>
      <c r="O261" s="509"/>
      <c r="P261" s="509"/>
      <c r="Q261" s="509"/>
      <c r="R261" s="509"/>
      <c r="S261" s="509"/>
      <c r="T261" s="509"/>
      <c r="U261" s="509"/>
      <c r="V261" s="509"/>
      <c r="W261" s="509"/>
      <c r="X261" s="509"/>
      <c r="Y261" s="509"/>
      <c r="Z261" s="509"/>
      <c r="AA261" s="509"/>
      <c r="AB261" s="509"/>
      <c r="AC261" s="509"/>
      <c r="AD261" s="509"/>
    </row>
    <row r="262" spans="3:30">
      <c r="C262" s="509"/>
      <c r="D262" s="509"/>
      <c r="E262" s="509"/>
      <c r="F262" s="509"/>
      <c r="G262" s="509"/>
      <c r="H262" s="509"/>
      <c r="I262" s="509"/>
      <c r="J262" s="509"/>
      <c r="K262" s="509"/>
      <c r="L262" s="509"/>
      <c r="M262" s="509"/>
      <c r="N262" s="509"/>
      <c r="O262" s="509"/>
      <c r="P262" s="509"/>
      <c r="Q262" s="509"/>
      <c r="R262" s="509"/>
      <c r="S262" s="509"/>
      <c r="T262" s="509"/>
      <c r="U262" s="509"/>
      <c r="V262" s="509"/>
      <c r="W262" s="509"/>
      <c r="X262" s="509"/>
      <c r="Y262" s="509"/>
      <c r="Z262" s="509"/>
      <c r="AA262" s="509"/>
      <c r="AB262" s="509"/>
      <c r="AC262" s="509"/>
      <c r="AD262" s="509"/>
    </row>
    <row r="263" spans="3:30">
      <c r="C263" s="509"/>
      <c r="D263" s="509"/>
      <c r="E263" s="509"/>
      <c r="F263" s="509"/>
      <c r="G263" s="509"/>
      <c r="H263" s="509"/>
      <c r="I263" s="509"/>
      <c r="J263" s="509"/>
      <c r="K263" s="509"/>
      <c r="L263" s="509"/>
      <c r="M263" s="509"/>
      <c r="N263" s="509"/>
      <c r="O263" s="509"/>
      <c r="P263" s="509"/>
      <c r="Q263" s="509"/>
      <c r="R263" s="509"/>
      <c r="S263" s="509"/>
      <c r="T263" s="509"/>
      <c r="U263" s="509"/>
      <c r="V263" s="509"/>
      <c r="W263" s="509"/>
      <c r="X263" s="509"/>
      <c r="Y263" s="509"/>
      <c r="Z263" s="509"/>
      <c r="AA263" s="509"/>
      <c r="AB263" s="509"/>
      <c r="AC263" s="509"/>
      <c r="AD263" s="509"/>
    </row>
    <row r="264" spans="3:30">
      <c r="C264" s="509"/>
      <c r="D264" s="509"/>
      <c r="E264" s="509"/>
      <c r="F264" s="509"/>
      <c r="G264" s="509"/>
      <c r="H264" s="509"/>
      <c r="I264" s="509"/>
      <c r="J264" s="509"/>
      <c r="K264" s="509"/>
      <c r="L264" s="509"/>
      <c r="M264" s="509"/>
      <c r="N264" s="509"/>
      <c r="O264" s="509"/>
      <c r="P264" s="509"/>
      <c r="Q264" s="509"/>
      <c r="R264" s="509"/>
      <c r="S264" s="509"/>
      <c r="T264" s="509"/>
      <c r="U264" s="509"/>
      <c r="V264" s="509"/>
      <c r="W264" s="509"/>
      <c r="X264" s="509"/>
      <c r="Y264" s="509"/>
      <c r="Z264" s="509"/>
      <c r="AA264" s="509"/>
      <c r="AB264" s="509"/>
      <c r="AC264" s="509"/>
      <c r="AD264" s="509"/>
    </row>
    <row r="265" spans="3:30">
      <c r="C265" s="509"/>
      <c r="D265" s="509"/>
      <c r="E265" s="509"/>
      <c r="F265" s="509"/>
      <c r="G265" s="509"/>
      <c r="H265" s="509"/>
      <c r="I265" s="509"/>
      <c r="J265" s="509"/>
      <c r="K265" s="509"/>
      <c r="L265" s="509"/>
      <c r="M265" s="509"/>
      <c r="N265" s="509"/>
      <c r="O265" s="509"/>
      <c r="P265" s="509"/>
      <c r="Q265" s="509"/>
      <c r="R265" s="509"/>
      <c r="S265" s="509"/>
      <c r="T265" s="509"/>
      <c r="U265" s="509"/>
      <c r="V265" s="509"/>
      <c r="W265" s="509"/>
      <c r="X265" s="509"/>
      <c r="Y265" s="509"/>
      <c r="Z265" s="509"/>
      <c r="AA265" s="509"/>
      <c r="AB265" s="509"/>
      <c r="AC265" s="509"/>
      <c r="AD265" s="509"/>
    </row>
    <row r="266" spans="3:30">
      <c r="C266" s="509"/>
      <c r="D266" s="509"/>
      <c r="E266" s="509"/>
      <c r="F266" s="509"/>
      <c r="G266" s="509"/>
      <c r="H266" s="509"/>
      <c r="I266" s="509"/>
      <c r="J266" s="509"/>
      <c r="K266" s="509"/>
      <c r="L266" s="509"/>
      <c r="M266" s="509"/>
      <c r="N266" s="509"/>
      <c r="O266" s="509"/>
      <c r="P266" s="509"/>
      <c r="Q266" s="509"/>
      <c r="R266" s="509"/>
      <c r="S266" s="509"/>
      <c r="T266" s="509"/>
      <c r="U266" s="509"/>
      <c r="V266" s="509"/>
      <c r="W266" s="509"/>
      <c r="X266" s="509"/>
      <c r="Y266" s="509"/>
      <c r="Z266" s="509"/>
      <c r="AA266" s="509"/>
      <c r="AB266" s="509"/>
      <c r="AC266" s="509"/>
      <c r="AD266" s="509"/>
    </row>
    <row r="267" spans="3:30">
      <c r="C267" s="509"/>
      <c r="D267" s="509"/>
      <c r="E267" s="509"/>
      <c r="F267" s="509"/>
      <c r="G267" s="509"/>
      <c r="H267" s="509"/>
      <c r="I267" s="509"/>
      <c r="J267" s="509"/>
      <c r="K267" s="509"/>
      <c r="L267" s="509"/>
      <c r="M267" s="509"/>
      <c r="N267" s="509"/>
      <c r="O267" s="509"/>
      <c r="P267" s="509"/>
      <c r="Q267" s="509"/>
      <c r="R267" s="509"/>
      <c r="S267" s="509"/>
      <c r="T267" s="509"/>
      <c r="U267" s="509"/>
      <c r="V267" s="509"/>
      <c r="W267" s="509"/>
      <c r="X267" s="509"/>
      <c r="Y267" s="509"/>
      <c r="Z267" s="509"/>
      <c r="AA267" s="509"/>
      <c r="AB267" s="509"/>
      <c r="AC267" s="509"/>
      <c r="AD267" s="509"/>
    </row>
    <row r="268" spans="3:30">
      <c r="C268" s="509"/>
      <c r="D268" s="509"/>
      <c r="E268" s="509"/>
      <c r="F268" s="509"/>
      <c r="G268" s="509"/>
      <c r="H268" s="509"/>
      <c r="I268" s="509"/>
      <c r="J268" s="509"/>
      <c r="K268" s="509"/>
      <c r="L268" s="509"/>
      <c r="M268" s="509"/>
      <c r="N268" s="509"/>
      <c r="O268" s="509"/>
      <c r="P268" s="509"/>
      <c r="Q268" s="509"/>
      <c r="R268" s="509"/>
      <c r="S268" s="509"/>
      <c r="T268" s="509"/>
      <c r="U268" s="509"/>
      <c r="V268" s="509"/>
      <c r="W268" s="509"/>
      <c r="X268" s="509"/>
      <c r="Y268" s="509"/>
      <c r="Z268" s="509"/>
      <c r="AA268" s="509"/>
      <c r="AB268" s="509"/>
      <c r="AC268" s="509"/>
      <c r="AD268" s="509"/>
    </row>
    <row r="269" spans="3:30">
      <c r="C269" s="509"/>
      <c r="D269" s="509"/>
      <c r="E269" s="509"/>
      <c r="F269" s="509"/>
      <c r="G269" s="509"/>
      <c r="H269" s="509"/>
      <c r="I269" s="509"/>
      <c r="J269" s="509"/>
      <c r="K269" s="509"/>
      <c r="L269" s="509"/>
      <c r="M269" s="509"/>
      <c r="N269" s="509"/>
      <c r="O269" s="509"/>
      <c r="P269" s="509"/>
      <c r="Q269" s="509"/>
      <c r="R269" s="509"/>
      <c r="S269" s="509"/>
      <c r="T269" s="509"/>
      <c r="U269" s="509"/>
      <c r="V269" s="509"/>
      <c r="W269" s="509"/>
      <c r="X269" s="509"/>
      <c r="Y269" s="509"/>
      <c r="Z269" s="509"/>
      <c r="AA269" s="509"/>
      <c r="AB269" s="509"/>
      <c r="AC269" s="509"/>
      <c r="AD269" s="509"/>
    </row>
    <row r="270" spans="3:30">
      <c r="C270" s="509"/>
      <c r="D270" s="509"/>
      <c r="E270" s="509"/>
      <c r="F270" s="509"/>
      <c r="G270" s="509"/>
      <c r="H270" s="509"/>
      <c r="I270" s="509"/>
      <c r="J270" s="509"/>
      <c r="K270" s="509"/>
      <c r="L270" s="509"/>
      <c r="M270" s="509"/>
      <c r="N270" s="509"/>
      <c r="O270" s="509"/>
      <c r="P270" s="509"/>
      <c r="Q270" s="509"/>
      <c r="R270" s="509"/>
      <c r="S270" s="509"/>
      <c r="T270" s="509"/>
      <c r="U270" s="509"/>
      <c r="V270" s="509"/>
      <c r="W270" s="509"/>
      <c r="X270" s="509"/>
      <c r="Y270" s="509"/>
      <c r="Z270" s="509"/>
      <c r="AA270" s="509"/>
      <c r="AB270" s="509"/>
      <c r="AC270" s="509"/>
      <c r="AD270" s="509"/>
    </row>
    <row r="271" spans="3:30">
      <c r="C271" s="509"/>
      <c r="D271" s="509"/>
      <c r="E271" s="509"/>
      <c r="F271" s="509"/>
      <c r="G271" s="509"/>
      <c r="H271" s="509"/>
      <c r="I271" s="509"/>
      <c r="J271" s="509"/>
      <c r="K271" s="509"/>
      <c r="L271" s="509"/>
      <c r="M271" s="509"/>
      <c r="N271" s="509"/>
      <c r="O271" s="509"/>
      <c r="P271" s="509"/>
      <c r="Q271" s="509"/>
      <c r="R271" s="509"/>
      <c r="S271" s="509"/>
      <c r="T271" s="509"/>
      <c r="U271" s="509"/>
      <c r="V271" s="509"/>
      <c r="W271" s="509"/>
      <c r="X271" s="509"/>
      <c r="Y271" s="509"/>
      <c r="Z271" s="509"/>
      <c r="AA271" s="509"/>
      <c r="AB271" s="509"/>
      <c r="AC271" s="509"/>
      <c r="AD271" s="509"/>
    </row>
    <row r="272" spans="3:30">
      <c r="C272" s="509"/>
      <c r="D272" s="509"/>
      <c r="E272" s="509"/>
      <c r="F272" s="509"/>
      <c r="G272" s="509"/>
      <c r="H272" s="509"/>
      <c r="I272" s="509"/>
      <c r="J272" s="509"/>
      <c r="K272" s="509"/>
      <c r="L272" s="509"/>
      <c r="M272" s="509"/>
      <c r="N272" s="509"/>
      <c r="O272" s="509"/>
      <c r="P272" s="509"/>
      <c r="Q272" s="509"/>
      <c r="R272" s="509"/>
      <c r="S272" s="509"/>
      <c r="T272" s="509"/>
      <c r="U272" s="509"/>
      <c r="V272" s="509"/>
      <c r="W272" s="509"/>
      <c r="X272" s="509"/>
      <c r="Y272" s="509"/>
      <c r="Z272" s="509"/>
      <c r="AA272" s="509"/>
      <c r="AB272" s="509"/>
      <c r="AC272" s="509"/>
      <c r="AD272" s="509"/>
    </row>
    <row r="273" spans="3:30">
      <c r="C273" s="509"/>
      <c r="D273" s="509"/>
      <c r="E273" s="509"/>
      <c r="F273" s="509"/>
      <c r="G273" s="509"/>
      <c r="H273" s="509"/>
      <c r="I273" s="509"/>
      <c r="J273" s="509"/>
      <c r="K273" s="509"/>
      <c r="L273" s="509"/>
      <c r="M273" s="509"/>
      <c r="N273" s="509"/>
      <c r="O273" s="509"/>
      <c r="P273" s="509"/>
      <c r="Q273" s="509"/>
      <c r="R273" s="509"/>
      <c r="S273" s="509"/>
      <c r="T273" s="509"/>
      <c r="U273" s="509"/>
      <c r="V273" s="509"/>
      <c r="W273" s="509"/>
      <c r="X273" s="509"/>
      <c r="Y273" s="509"/>
      <c r="Z273" s="509"/>
      <c r="AA273" s="509"/>
      <c r="AB273" s="509"/>
      <c r="AC273" s="509"/>
      <c r="AD273" s="509"/>
    </row>
    <row r="274" spans="3:30">
      <c r="C274" s="509"/>
      <c r="D274" s="509"/>
      <c r="E274" s="509"/>
      <c r="F274" s="509"/>
      <c r="G274" s="509"/>
      <c r="H274" s="509"/>
      <c r="I274" s="509"/>
      <c r="J274" s="509"/>
      <c r="K274" s="509"/>
      <c r="L274" s="509"/>
      <c r="M274" s="509"/>
      <c r="N274" s="509"/>
      <c r="O274" s="509"/>
      <c r="P274" s="509"/>
      <c r="Q274" s="509"/>
      <c r="R274" s="509"/>
      <c r="S274" s="509"/>
      <c r="T274" s="509"/>
      <c r="U274" s="509"/>
      <c r="V274" s="509"/>
      <c r="W274" s="509"/>
      <c r="X274" s="509"/>
      <c r="Y274" s="509"/>
      <c r="Z274" s="509"/>
      <c r="AA274" s="509"/>
      <c r="AB274" s="509"/>
      <c r="AC274" s="509"/>
      <c r="AD274" s="509"/>
    </row>
    <row r="275" spans="3:30">
      <c r="C275" s="509"/>
      <c r="D275" s="509"/>
      <c r="E275" s="509"/>
      <c r="F275" s="509"/>
      <c r="G275" s="509"/>
      <c r="H275" s="509"/>
      <c r="I275" s="509"/>
      <c r="J275" s="509"/>
      <c r="K275" s="509"/>
      <c r="L275" s="509"/>
      <c r="M275" s="509"/>
      <c r="N275" s="509"/>
      <c r="O275" s="509"/>
      <c r="P275" s="509"/>
      <c r="Q275" s="509"/>
      <c r="R275" s="509"/>
      <c r="S275" s="509"/>
      <c r="T275" s="509"/>
      <c r="U275" s="509"/>
      <c r="V275" s="509"/>
      <c r="W275" s="509"/>
      <c r="X275" s="509"/>
      <c r="Y275" s="509"/>
      <c r="Z275" s="509"/>
      <c r="AA275" s="509"/>
      <c r="AB275" s="509"/>
      <c r="AC275" s="509"/>
      <c r="AD275" s="509"/>
    </row>
    <row r="276" spans="3:30">
      <c r="C276" s="509"/>
      <c r="D276" s="509"/>
      <c r="E276" s="509"/>
      <c r="F276" s="509"/>
      <c r="G276" s="509"/>
      <c r="H276" s="509"/>
      <c r="I276" s="509"/>
      <c r="J276" s="509"/>
      <c r="K276" s="509"/>
      <c r="L276" s="509"/>
      <c r="M276" s="509"/>
      <c r="N276" s="509"/>
      <c r="O276" s="509"/>
      <c r="P276" s="509"/>
      <c r="Q276" s="509"/>
      <c r="R276" s="509"/>
      <c r="S276" s="509"/>
      <c r="T276" s="509"/>
      <c r="U276" s="509"/>
      <c r="V276" s="509"/>
      <c r="W276" s="509"/>
      <c r="X276" s="509"/>
      <c r="Y276" s="509"/>
      <c r="Z276" s="509"/>
      <c r="AA276" s="509"/>
      <c r="AB276" s="509"/>
      <c r="AC276" s="509"/>
      <c r="AD276" s="509"/>
    </row>
    <row r="277" spans="3:30">
      <c r="C277" s="509"/>
      <c r="D277" s="509"/>
      <c r="E277" s="509"/>
      <c r="F277" s="509"/>
      <c r="G277" s="509"/>
      <c r="H277" s="509"/>
      <c r="I277" s="509"/>
      <c r="J277" s="509"/>
      <c r="K277" s="509"/>
      <c r="L277" s="509"/>
      <c r="M277" s="509"/>
      <c r="N277" s="509"/>
      <c r="O277" s="509"/>
      <c r="P277" s="509"/>
      <c r="Q277" s="509"/>
      <c r="R277" s="509"/>
      <c r="S277" s="509"/>
      <c r="T277" s="509"/>
      <c r="U277" s="509"/>
      <c r="V277" s="509"/>
      <c r="W277" s="509"/>
      <c r="X277" s="509"/>
      <c r="Y277" s="509"/>
      <c r="Z277" s="509"/>
      <c r="AA277" s="509"/>
      <c r="AB277" s="509"/>
      <c r="AC277" s="509"/>
      <c r="AD277" s="509"/>
    </row>
    <row r="278" spans="3:30">
      <c r="C278" s="509"/>
      <c r="D278" s="509"/>
      <c r="E278" s="509"/>
      <c r="F278" s="509"/>
      <c r="G278" s="509"/>
      <c r="H278" s="509"/>
      <c r="I278" s="509"/>
      <c r="J278" s="509"/>
      <c r="K278" s="509"/>
      <c r="L278" s="509"/>
      <c r="M278" s="509"/>
      <c r="N278" s="509"/>
      <c r="O278" s="509"/>
      <c r="P278" s="509"/>
      <c r="Q278" s="509"/>
      <c r="R278" s="509"/>
      <c r="S278" s="509"/>
      <c r="T278" s="509"/>
      <c r="U278" s="509"/>
      <c r="V278" s="509"/>
      <c r="W278" s="509"/>
      <c r="X278" s="509"/>
      <c r="Y278" s="509"/>
      <c r="Z278" s="509"/>
      <c r="AA278" s="509"/>
      <c r="AB278" s="509"/>
      <c r="AC278" s="509"/>
      <c r="AD278" s="509"/>
    </row>
    <row r="279" spans="3:30">
      <c r="C279" s="509"/>
      <c r="D279" s="509"/>
      <c r="E279" s="509"/>
      <c r="F279" s="509"/>
      <c r="G279" s="509"/>
      <c r="H279" s="509"/>
      <c r="I279" s="509"/>
      <c r="J279" s="509"/>
      <c r="K279" s="509"/>
      <c r="L279" s="509"/>
      <c r="M279" s="509"/>
      <c r="N279" s="509"/>
      <c r="O279" s="509"/>
      <c r="P279" s="509"/>
      <c r="Q279" s="509"/>
      <c r="R279" s="509"/>
      <c r="S279" s="509"/>
      <c r="T279" s="509"/>
      <c r="U279" s="509"/>
      <c r="V279" s="509"/>
      <c r="W279" s="509"/>
      <c r="X279" s="509"/>
      <c r="Y279" s="509"/>
      <c r="Z279" s="509"/>
      <c r="AA279" s="509"/>
      <c r="AB279" s="509"/>
      <c r="AC279" s="509"/>
      <c r="AD279" s="509"/>
    </row>
    <row r="280" spans="3:30">
      <c r="C280" s="509"/>
      <c r="D280" s="509"/>
      <c r="E280" s="509"/>
      <c r="F280" s="509"/>
      <c r="G280" s="509"/>
      <c r="H280" s="509"/>
      <c r="I280" s="509"/>
      <c r="J280" s="509"/>
      <c r="K280" s="509"/>
      <c r="L280" s="509"/>
      <c r="M280" s="509"/>
      <c r="N280" s="509"/>
      <c r="O280" s="509"/>
      <c r="P280" s="509"/>
      <c r="Q280" s="509"/>
      <c r="R280" s="509"/>
      <c r="S280" s="509"/>
      <c r="T280" s="509"/>
      <c r="U280" s="509"/>
      <c r="V280" s="509"/>
      <c r="W280" s="509"/>
      <c r="X280" s="509"/>
      <c r="Y280" s="509"/>
      <c r="Z280" s="509"/>
      <c r="AA280" s="509"/>
      <c r="AB280" s="509"/>
      <c r="AC280" s="509"/>
      <c r="AD280" s="509"/>
    </row>
    <row r="281" spans="3:30">
      <c r="C281" s="509"/>
      <c r="D281" s="509"/>
      <c r="E281" s="509"/>
      <c r="F281" s="509"/>
      <c r="G281" s="509"/>
      <c r="H281" s="509"/>
      <c r="I281" s="509"/>
      <c r="J281" s="509"/>
      <c r="K281" s="509"/>
      <c r="L281" s="509"/>
      <c r="M281" s="509"/>
      <c r="N281" s="509"/>
      <c r="O281" s="509"/>
      <c r="P281" s="509"/>
      <c r="Q281" s="509"/>
      <c r="R281" s="509"/>
      <c r="S281" s="509"/>
      <c r="T281" s="509"/>
      <c r="U281" s="509"/>
      <c r="V281" s="509"/>
      <c r="W281" s="509"/>
      <c r="X281" s="509"/>
      <c r="Y281" s="509"/>
      <c r="Z281" s="509"/>
      <c r="AA281" s="509"/>
      <c r="AB281" s="509"/>
      <c r="AC281" s="509"/>
      <c r="AD281" s="509"/>
    </row>
    <row r="282" spans="3:30">
      <c r="C282" s="509"/>
      <c r="D282" s="509"/>
      <c r="E282" s="509"/>
      <c r="F282" s="509"/>
      <c r="G282" s="509"/>
      <c r="H282" s="509"/>
      <c r="I282" s="509"/>
      <c r="J282" s="509"/>
      <c r="K282" s="509"/>
      <c r="L282" s="509"/>
      <c r="M282" s="509"/>
      <c r="N282" s="509"/>
      <c r="O282" s="509"/>
      <c r="P282" s="509"/>
      <c r="Q282" s="509"/>
      <c r="R282" s="509"/>
      <c r="S282" s="509"/>
      <c r="T282" s="509"/>
      <c r="U282" s="509"/>
      <c r="V282" s="509"/>
      <c r="W282" s="509"/>
      <c r="X282" s="509"/>
      <c r="Y282" s="509"/>
      <c r="Z282" s="509"/>
      <c r="AA282" s="509"/>
      <c r="AB282" s="509"/>
      <c r="AC282" s="509"/>
      <c r="AD282" s="509"/>
    </row>
    <row r="283" spans="3:30">
      <c r="C283" s="509"/>
      <c r="D283" s="509"/>
      <c r="E283" s="509"/>
      <c r="F283" s="509"/>
      <c r="G283" s="509"/>
      <c r="H283" s="509"/>
      <c r="I283" s="509"/>
      <c r="J283" s="509"/>
      <c r="K283" s="509"/>
      <c r="L283" s="509"/>
      <c r="M283" s="509"/>
      <c r="N283" s="509"/>
      <c r="O283" s="509"/>
      <c r="P283" s="509"/>
      <c r="Q283" s="509"/>
      <c r="R283" s="509"/>
      <c r="S283" s="509"/>
      <c r="T283" s="509"/>
      <c r="U283" s="509"/>
      <c r="V283" s="509"/>
      <c r="W283" s="509"/>
      <c r="X283" s="509"/>
      <c r="Y283" s="509"/>
      <c r="Z283" s="509"/>
      <c r="AA283" s="509"/>
      <c r="AB283" s="509"/>
      <c r="AC283" s="509"/>
      <c r="AD283" s="509"/>
    </row>
    <row r="284" spans="3:30">
      <c r="C284" s="509"/>
      <c r="D284" s="509"/>
      <c r="E284" s="509"/>
      <c r="F284" s="509"/>
      <c r="G284" s="509"/>
      <c r="H284" s="509"/>
      <c r="I284" s="509"/>
      <c r="J284" s="509"/>
      <c r="K284" s="509"/>
      <c r="L284" s="509"/>
      <c r="M284" s="509"/>
      <c r="N284" s="509"/>
      <c r="O284" s="509"/>
      <c r="P284" s="509"/>
      <c r="Q284" s="509"/>
      <c r="R284" s="509"/>
      <c r="S284" s="509"/>
      <c r="T284" s="509"/>
      <c r="U284" s="509"/>
      <c r="V284" s="509"/>
      <c r="W284" s="509"/>
      <c r="X284" s="509"/>
      <c r="Y284" s="509"/>
      <c r="Z284" s="509"/>
      <c r="AA284" s="509"/>
      <c r="AB284" s="509"/>
      <c r="AC284" s="509"/>
      <c r="AD284" s="509"/>
    </row>
    <row r="285" spans="3:30">
      <c r="C285" s="509"/>
      <c r="D285" s="509"/>
      <c r="E285" s="509"/>
      <c r="F285" s="509"/>
      <c r="G285" s="509"/>
      <c r="H285" s="509"/>
      <c r="I285" s="509"/>
      <c r="J285" s="509"/>
      <c r="K285" s="509"/>
      <c r="L285" s="509"/>
      <c r="M285" s="509"/>
      <c r="N285" s="509"/>
      <c r="O285" s="509"/>
      <c r="P285" s="509"/>
      <c r="Q285" s="509"/>
      <c r="R285" s="509"/>
      <c r="S285" s="509"/>
      <c r="T285" s="509"/>
      <c r="U285" s="509"/>
      <c r="V285" s="509"/>
      <c r="W285" s="509"/>
      <c r="X285" s="509"/>
      <c r="Y285" s="509"/>
      <c r="Z285" s="509"/>
      <c r="AA285" s="509"/>
      <c r="AB285" s="509"/>
      <c r="AC285" s="509"/>
      <c r="AD285" s="509"/>
    </row>
    <row r="286" spans="3:30">
      <c r="C286" s="509"/>
      <c r="D286" s="509"/>
      <c r="E286" s="509"/>
      <c r="F286" s="509"/>
      <c r="G286" s="509"/>
      <c r="H286" s="509"/>
      <c r="I286" s="509"/>
      <c r="J286" s="509"/>
      <c r="K286" s="509"/>
      <c r="L286" s="509"/>
      <c r="M286" s="509"/>
      <c r="N286" s="509"/>
      <c r="O286" s="509"/>
      <c r="P286" s="509"/>
      <c r="Q286" s="509"/>
      <c r="R286" s="509"/>
      <c r="S286" s="509"/>
      <c r="T286" s="509"/>
      <c r="U286" s="509"/>
      <c r="V286" s="509"/>
      <c r="W286" s="509"/>
      <c r="X286" s="509"/>
      <c r="Y286" s="509"/>
      <c r="Z286" s="509"/>
      <c r="AA286" s="509"/>
      <c r="AB286" s="509"/>
      <c r="AC286" s="509"/>
      <c r="AD286" s="509"/>
    </row>
    <row r="287" spans="3:30">
      <c r="C287" s="509"/>
      <c r="D287" s="509"/>
      <c r="E287" s="509"/>
      <c r="F287" s="509"/>
      <c r="G287" s="509"/>
      <c r="H287" s="509"/>
      <c r="I287" s="509"/>
      <c r="J287" s="509"/>
      <c r="K287" s="509"/>
      <c r="L287" s="509"/>
      <c r="M287" s="509"/>
      <c r="N287" s="509"/>
      <c r="O287" s="509"/>
      <c r="P287" s="509"/>
      <c r="Q287" s="509"/>
      <c r="R287" s="509"/>
      <c r="S287" s="509"/>
      <c r="T287" s="509"/>
      <c r="U287" s="509"/>
      <c r="V287" s="509"/>
      <c r="W287" s="509"/>
      <c r="X287" s="509"/>
      <c r="Y287" s="509"/>
      <c r="Z287" s="509"/>
      <c r="AA287" s="509"/>
      <c r="AB287" s="509"/>
      <c r="AC287" s="509"/>
      <c r="AD287" s="509"/>
    </row>
    <row r="288" spans="3:30">
      <c r="C288" s="509"/>
      <c r="D288" s="509"/>
      <c r="E288" s="509"/>
      <c r="F288" s="509"/>
      <c r="G288" s="509"/>
      <c r="H288" s="509"/>
      <c r="I288" s="509"/>
      <c r="J288" s="509"/>
      <c r="K288" s="509"/>
      <c r="L288" s="509"/>
      <c r="M288" s="509"/>
      <c r="N288" s="509"/>
      <c r="O288" s="509"/>
      <c r="P288" s="509"/>
      <c r="Q288" s="509"/>
      <c r="R288" s="509"/>
      <c r="S288" s="509"/>
      <c r="T288" s="509"/>
      <c r="U288" s="509"/>
      <c r="V288" s="509"/>
      <c r="W288" s="509"/>
      <c r="X288" s="509"/>
      <c r="Y288" s="509"/>
      <c r="Z288" s="509"/>
      <c r="AA288" s="509"/>
      <c r="AB288" s="509"/>
      <c r="AC288" s="509"/>
      <c r="AD288" s="509"/>
    </row>
    <row r="289" spans="3:30">
      <c r="C289" s="509"/>
      <c r="D289" s="509"/>
      <c r="E289" s="509"/>
      <c r="F289" s="509"/>
      <c r="G289" s="509"/>
      <c r="H289" s="509"/>
      <c r="I289" s="509"/>
      <c r="J289" s="509"/>
      <c r="K289" s="509"/>
      <c r="L289" s="509"/>
      <c r="M289" s="509"/>
      <c r="N289" s="509"/>
      <c r="O289" s="509"/>
      <c r="P289" s="509"/>
      <c r="Q289" s="509"/>
      <c r="R289" s="509"/>
      <c r="S289" s="509"/>
      <c r="T289" s="509"/>
      <c r="U289" s="509"/>
      <c r="V289" s="509"/>
      <c r="W289" s="509"/>
      <c r="X289" s="509"/>
      <c r="Y289" s="509"/>
      <c r="Z289" s="509"/>
      <c r="AA289" s="509"/>
      <c r="AB289" s="509"/>
      <c r="AC289" s="509"/>
      <c r="AD289" s="509"/>
    </row>
    <row r="290" spans="3:30">
      <c r="C290" s="509"/>
      <c r="D290" s="509"/>
      <c r="E290" s="509"/>
      <c r="F290" s="509"/>
      <c r="G290" s="509"/>
      <c r="H290" s="509"/>
      <c r="I290" s="509"/>
      <c r="J290" s="509"/>
      <c r="K290" s="509"/>
      <c r="L290" s="509"/>
      <c r="M290" s="509"/>
      <c r="N290" s="509"/>
      <c r="O290" s="509"/>
      <c r="P290" s="509"/>
      <c r="Q290" s="509"/>
      <c r="R290" s="509"/>
      <c r="S290" s="509"/>
      <c r="T290" s="509"/>
      <c r="U290" s="509"/>
      <c r="V290" s="509"/>
      <c r="W290" s="509"/>
      <c r="X290" s="509"/>
      <c r="Y290" s="509"/>
      <c r="Z290" s="509"/>
      <c r="AA290" s="509"/>
      <c r="AB290" s="509"/>
      <c r="AC290" s="509"/>
      <c r="AD290" s="509"/>
    </row>
    <row r="291" spans="3:30">
      <c r="C291" s="509"/>
      <c r="D291" s="509"/>
      <c r="E291" s="509"/>
      <c r="F291" s="509"/>
      <c r="G291" s="509"/>
      <c r="H291" s="509"/>
      <c r="I291" s="509"/>
      <c r="J291" s="509"/>
      <c r="K291" s="509"/>
      <c r="L291" s="509"/>
      <c r="M291" s="509"/>
      <c r="N291" s="509"/>
      <c r="O291" s="509"/>
      <c r="P291" s="509"/>
      <c r="Q291" s="509"/>
      <c r="R291" s="509"/>
      <c r="S291" s="509"/>
      <c r="T291" s="509"/>
      <c r="U291" s="509"/>
      <c r="V291" s="509"/>
      <c r="W291" s="509"/>
      <c r="X291" s="509"/>
      <c r="Y291" s="509"/>
      <c r="Z291" s="509"/>
      <c r="AA291" s="509"/>
      <c r="AB291" s="509"/>
      <c r="AC291" s="509"/>
      <c r="AD291" s="509"/>
    </row>
    <row r="292" spans="3:30">
      <c r="C292" s="509"/>
      <c r="D292" s="509"/>
      <c r="E292" s="509"/>
      <c r="F292" s="509"/>
      <c r="G292" s="509"/>
      <c r="H292" s="509"/>
      <c r="I292" s="509"/>
      <c r="J292" s="509"/>
      <c r="K292" s="509"/>
      <c r="L292" s="509"/>
      <c r="M292" s="509"/>
      <c r="N292" s="509"/>
      <c r="O292" s="509"/>
      <c r="P292" s="509"/>
      <c r="Q292" s="509"/>
      <c r="R292" s="509"/>
      <c r="S292" s="509"/>
      <c r="T292" s="509"/>
      <c r="U292" s="509"/>
      <c r="V292" s="509"/>
      <c r="W292" s="509"/>
      <c r="X292" s="509"/>
      <c r="Y292" s="509"/>
      <c r="Z292" s="509"/>
      <c r="AA292" s="509"/>
      <c r="AB292" s="509"/>
      <c r="AC292" s="509"/>
      <c r="AD292" s="509"/>
    </row>
    <row r="293" spans="3:30">
      <c r="C293" s="509"/>
      <c r="D293" s="509"/>
      <c r="E293" s="509"/>
      <c r="F293" s="509"/>
      <c r="G293" s="509"/>
      <c r="H293" s="509"/>
      <c r="I293" s="509"/>
      <c r="J293" s="509"/>
      <c r="K293" s="509"/>
      <c r="L293" s="509"/>
      <c r="M293" s="509"/>
      <c r="N293" s="509"/>
      <c r="O293" s="509"/>
      <c r="P293" s="509"/>
      <c r="Q293" s="509"/>
      <c r="R293" s="509"/>
      <c r="S293" s="509"/>
      <c r="T293" s="509"/>
      <c r="U293" s="509"/>
      <c r="V293" s="509"/>
      <c r="W293" s="509"/>
      <c r="X293" s="509"/>
      <c r="Y293" s="509"/>
      <c r="Z293" s="509"/>
      <c r="AA293" s="509"/>
      <c r="AB293" s="509"/>
      <c r="AC293" s="509"/>
      <c r="AD293" s="509"/>
    </row>
    <row r="294" spans="3:30">
      <c r="C294" s="509"/>
      <c r="D294" s="509"/>
      <c r="E294" s="509"/>
      <c r="F294" s="509"/>
      <c r="G294" s="509"/>
      <c r="H294" s="509"/>
      <c r="I294" s="509"/>
      <c r="J294" s="509"/>
      <c r="K294" s="509"/>
      <c r="L294" s="509"/>
      <c r="M294" s="509"/>
      <c r="N294" s="509"/>
      <c r="O294" s="509"/>
      <c r="P294" s="509"/>
      <c r="Q294" s="509"/>
      <c r="R294" s="509"/>
      <c r="S294" s="509"/>
      <c r="T294" s="509"/>
      <c r="U294" s="509"/>
      <c r="V294" s="509"/>
      <c r="W294" s="509"/>
      <c r="X294" s="509"/>
      <c r="Y294" s="509"/>
      <c r="Z294" s="509"/>
      <c r="AA294" s="509"/>
      <c r="AB294" s="509"/>
      <c r="AC294" s="509"/>
      <c r="AD294" s="509"/>
    </row>
    <row r="295" spans="3:30">
      <c r="C295" s="509"/>
      <c r="D295" s="509"/>
      <c r="E295" s="509"/>
      <c r="F295" s="509"/>
      <c r="G295" s="509"/>
      <c r="H295" s="509"/>
      <c r="I295" s="509"/>
      <c r="J295" s="509"/>
      <c r="K295" s="509"/>
      <c r="L295" s="509"/>
      <c r="M295" s="509"/>
      <c r="N295" s="509"/>
      <c r="O295" s="509"/>
      <c r="P295" s="509"/>
      <c r="Q295" s="509"/>
      <c r="R295" s="509"/>
      <c r="S295" s="509"/>
      <c r="T295" s="509"/>
      <c r="U295" s="509"/>
      <c r="V295" s="509"/>
      <c r="W295" s="509"/>
      <c r="X295" s="509"/>
      <c r="Y295" s="509"/>
      <c r="Z295" s="509"/>
      <c r="AA295" s="509"/>
      <c r="AB295" s="509"/>
      <c r="AC295" s="509"/>
      <c r="AD295" s="509"/>
    </row>
    <row r="296" spans="3:30">
      <c r="C296" s="509"/>
      <c r="D296" s="509"/>
      <c r="E296" s="509"/>
      <c r="F296" s="509"/>
      <c r="G296" s="509"/>
      <c r="H296" s="509"/>
      <c r="I296" s="509"/>
      <c r="J296" s="509"/>
      <c r="K296" s="509"/>
      <c r="L296" s="509"/>
      <c r="M296" s="509"/>
      <c r="N296" s="509"/>
      <c r="O296" s="509"/>
      <c r="P296" s="509"/>
      <c r="Q296" s="509"/>
      <c r="R296" s="509"/>
      <c r="S296" s="509"/>
      <c r="T296" s="509"/>
      <c r="U296" s="509"/>
      <c r="V296" s="509"/>
      <c r="W296" s="509"/>
      <c r="X296" s="509"/>
      <c r="Y296" s="509"/>
      <c r="Z296" s="509"/>
      <c r="AA296" s="509"/>
      <c r="AB296" s="509"/>
      <c r="AC296" s="509"/>
      <c r="AD296" s="509"/>
    </row>
    <row r="297" spans="3:30">
      <c r="C297" s="509"/>
      <c r="D297" s="509"/>
      <c r="E297" s="509"/>
      <c r="F297" s="509"/>
      <c r="G297" s="509"/>
      <c r="H297" s="509"/>
      <c r="I297" s="509"/>
      <c r="J297" s="509"/>
      <c r="K297" s="509"/>
      <c r="L297" s="509"/>
      <c r="M297" s="509"/>
      <c r="N297" s="509"/>
      <c r="O297" s="509"/>
      <c r="P297" s="509"/>
      <c r="Q297" s="509"/>
      <c r="R297" s="509"/>
      <c r="S297" s="509"/>
      <c r="T297" s="509"/>
      <c r="U297" s="509"/>
      <c r="V297" s="509"/>
      <c r="W297" s="509"/>
      <c r="X297" s="509"/>
      <c r="Y297" s="509"/>
      <c r="Z297" s="509"/>
      <c r="AA297" s="509"/>
      <c r="AB297" s="509"/>
      <c r="AC297" s="509"/>
      <c r="AD297" s="509"/>
    </row>
    <row r="298" spans="3:30">
      <c r="C298" s="509"/>
      <c r="D298" s="509"/>
      <c r="E298" s="509"/>
      <c r="F298" s="509"/>
      <c r="G298" s="509"/>
      <c r="H298" s="509"/>
      <c r="I298" s="509"/>
      <c r="J298" s="509"/>
      <c r="K298" s="509"/>
      <c r="L298" s="509"/>
      <c r="M298" s="509"/>
      <c r="N298" s="509"/>
      <c r="O298" s="509"/>
      <c r="P298" s="509"/>
      <c r="Q298" s="509"/>
      <c r="R298" s="509"/>
      <c r="S298" s="509"/>
      <c r="T298" s="509"/>
      <c r="U298" s="509"/>
      <c r="V298" s="509"/>
      <c r="W298" s="509"/>
      <c r="X298" s="509"/>
      <c r="Y298" s="509"/>
      <c r="Z298" s="509"/>
      <c r="AA298" s="509"/>
      <c r="AB298" s="509"/>
      <c r="AC298" s="509"/>
      <c r="AD298" s="509"/>
    </row>
    <row r="299" spans="3:30">
      <c r="C299" s="509"/>
      <c r="D299" s="509"/>
      <c r="E299" s="509"/>
      <c r="F299" s="509"/>
      <c r="G299" s="509"/>
      <c r="H299" s="509"/>
      <c r="I299" s="509"/>
      <c r="J299" s="509"/>
      <c r="K299" s="509"/>
      <c r="L299" s="509"/>
      <c r="M299" s="509"/>
      <c r="N299" s="509"/>
      <c r="O299" s="509"/>
      <c r="P299" s="509"/>
      <c r="Q299" s="509"/>
      <c r="R299" s="509"/>
      <c r="S299" s="509"/>
      <c r="T299" s="509"/>
      <c r="U299" s="509"/>
      <c r="V299" s="509"/>
      <c r="W299" s="509"/>
      <c r="X299" s="509"/>
      <c r="Y299" s="509"/>
      <c r="Z299" s="509"/>
      <c r="AA299" s="509"/>
      <c r="AB299" s="509"/>
      <c r="AC299" s="509"/>
      <c r="AD299" s="509"/>
    </row>
    <row r="300" spans="3:30">
      <c r="C300" s="509"/>
      <c r="D300" s="509"/>
      <c r="E300" s="509"/>
      <c r="F300" s="509"/>
      <c r="G300" s="509"/>
      <c r="H300" s="509"/>
      <c r="I300" s="509"/>
      <c r="J300" s="509"/>
      <c r="K300" s="509"/>
      <c r="L300" s="509"/>
      <c r="M300" s="509"/>
      <c r="N300" s="509"/>
      <c r="O300" s="509"/>
      <c r="P300" s="509"/>
      <c r="Q300" s="509"/>
      <c r="R300" s="509"/>
      <c r="S300" s="509"/>
      <c r="T300" s="509"/>
      <c r="U300" s="509"/>
      <c r="V300" s="509"/>
      <c r="W300" s="509"/>
      <c r="X300" s="509"/>
      <c r="Y300" s="509"/>
      <c r="Z300" s="509"/>
      <c r="AA300" s="509"/>
      <c r="AB300" s="509"/>
      <c r="AC300" s="509"/>
      <c r="AD300" s="509"/>
    </row>
    <row r="301" spans="3:30">
      <c r="C301" s="509"/>
      <c r="D301" s="509"/>
      <c r="E301" s="509"/>
      <c r="F301" s="509"/>
      <c r="G301" s="509"/>
      <c r="H301" s="509"/>
      <c r="I301" s="509"/>
      <c r="J301" s="509"/>
      <c r="K301" s="509"/>
      <c r="L301" s="509"/>
      <c r="M301" s="509"/>
      <c r="N301" s="509"/>
      <c r="O301" s="509"/>
      <c r="P301" s="509"/>
      <c r="Q301" s="509"/>
      <c r="R301" s="509"/>
      <c r="S301" s="509"/>
      <c r="T301" s="509"/>
      <c r="U301" s="509"/>
      <c r="V301" s="509"/>
      <c r="W301" s="509"/>
      <c r="X301" s="509"/>
      <c r="Y301" s="509"/>
      <c r="Z301" s="509"/>
      <c r="AA301" s="509"/>
      <c r="AB301" s="509"/>
      <c r="AC301" s="509"/>
      <c r="AD301" s="509"/>
    </row>
    <row r="302" spans="3:30">
      <c r="C302" s="509"/>
      <c r="D302" s="509"/>
      <c r="E302" s="509"/>
      <c r="F302" s="509"/>
      <c r="G302" s="509"/>
      <c r="H302" s="509"/>
      <c r="I302" s="509"/>
      <c r="J302" s="509"/>
      <c r="K302" s="509"/>
      <c r="L302" s="509"/>
      <c r="M302" s="509"/>
      <c r="N302" s="509"/>
      <c r="O302" s="509"/>
      <c r="P302" s="509"/>
      <c r="Q302" s="509"/>
      <c r="R302" s="509"/>
      <c r="S302" s="509"/>
      <c r="T302" s="509"/>
      <c r="U302" s="509"/>
      <c r="V302" s="509"/>
      <c r="W302" s="509"/>
      <c r="X302" s="509"/>
      <c r="Y302" s="509"/>
      <c r="Z302" s="509"/>
      <c r="AA302" s="509"/>
      <c r="AB302" s="509"/>
      <c r="AC302" s="509"/>
      <c r="AD302" s="509"/>
    </row>
    <row r="303" spans="3:30">
      <c r="C303" s="509"/>
      <c r="D303" s="509"/>
      <c r="E303" s="509"/>
      <c r="F303" s="509"/>
      <c r="G303" s="509"/>
      <c r="H303" s="509"/>
      <c r="I303" s="509"/>
      <c r="J303" s="509"/>
      <c r="K303" s="509"/>
      <c r="L303" s="509"/>
      <c r="M303" s="509"/>
      <c r="N303" s="509"/>
      <c r="O303" s="509"/>
      <c r="P303" s="509"/>
      <c r="Q303" s="509"/>
      <c r="R303" s="509"/>
      <c r="S303" s="509"/>
      <c r="T303" s="509"/>
      <c r="U303" s="509"/>
      <c r="V303" s="509"/>
      <c r="W303" s="509"/>
      <c r="X303" s="509"/>
      <c r="Y303" s="509"/>
      <c r="Z303" s="509"/>
      <c r="AA303" s="509"/>
      <c r="AB303" s="509"/>
      <c r="AC303" s="509"/>
      <c r="AD303" s="509"/>
    </row>
    <row r="304" spans="3:30">
      <c r="C304" s="509"/>
      <c r="D304" s="509"/>
      <c r="E304" s="509"/>
      <c r="F304" s="509"/>
      <c r="G304" s="509"/>
      <c r="H304" s="509"/>
      <c r="I304" s="509"/>
      <c r="J304" s="509"/>
      <c r="K304" s="509"/>
      <c r="L304" s="509"/>
      <c r="M304" s="509"/>
      <c r="N304" s="509"/>
      <c r="O304" s="509"/>
      <c r="P304" s="509"/>
      <c r="Q304" s="509"/>
      <c r="R304" s="509"/>
      <c r="S304" s="509"/>
      <c r="T304" s="509"/>
      <c r="U304" s="509"/>
      <c r="V304" s="509"/>
      <c r="W304" s="509"/>
      <c r="X304" s="509"/>
      <c r="Y304" s="509"/>
      <c r="Z304" s="509"/>
      <c r="AA304" s="509"/>
      <c r="AB304" s="509"/>
      <c r="AC304" s="509"/>
      <c r="AD304" s="509"/>
    </row>
    <row r="305" spans="3:30">
      <c r="C305" s="509"/>
      <c r="D305" s="509"/>
      <c r="E305" s="509"/>
      <c r="F305" s="509"/>
      <c r="G305" s="509"/>
      <c r="H305" s="509"/>
      <c r="I305" s="509"/>
      <c r="J305" s="509"/>
      <c r="K305" s="509"/>
      <c r="L305" s="509"/>
      <c r="M305" s="509"/>
      <c r="N305" s="509"/>
      <c r="O305" s="509"/>
      <c r="P305" s="509"/>
      <c r="Q305" s="509"/>
      <c r="R305" s="509"/>
      <c r="S305" s="509"/>
      <c r="T305" s="509"/>
      <c r="U305" s="509"/>
      <c r="V305" s="509"/>
      <c r="W305" s="509"/>
      <c r="X305" s="509"/>
      <c r="Y305" s="509"/>
      <c r="Z305" s="509"/>
      <c r="AA305" s="509"/>
      <c r="AB305" s="509"/>
      <c r="AC305" s="509"/>
      <c r="AD305" s="509"/>
    </row>
    <row r="306" spans="3:30">
      <c r="C306" s="509"/>
      <c r="D306" s="509"/>
      <c r="E306" s="509"/>
      <c r="F306" s="509"/>
      <c r="G306" s="509"/>
      <c r="H306" s="509"/>
      <c r="I306" s="509"/>
      <c r="J306" s="509"/>
      <c r="K306" s="509"/>
      <c r="L306" s="509"/>
      <c r="M306" s="509"/>
      <c r="N306" s="509"/>
      <c r="O306" s="509"/>
      <c r="P306" s="509"/>
      <c r="Q306" s="509"/>
      <c r="R306" s="509"/>
      <c r="S306" s="509"/>
      <c r="T306" s="509"/>
      <c r="U306" s="509"/>
      <c r="V306" s="509"/>
      <c r="W306" s="509"/>
      <c r="X306" s="509"/>
      <c r="Y306" s="509"/>
      <c r="Z306" s="509"/>
      <c r="AA306" s="509"/>
      <c r="AB306" s="509"/>
      <c r="AC306" s="509"/>
      <c r="AD306" s="509"/>
    </row>
    <row r="307" spans="3:30">
      <c r="C307" s="509"/>
      <c r="D307" s="509"/>
      <c r="E307" s="509"/>
      <c r="F307" s="509"/>
      <c r="G307" s="509"/>
      <c r="H307" s="509"/>
      <c r="I307" s="509"/>
      <c r="J307" s="509"/>
      <c r="K307" s="509"/>
      <c r="L307" s="509"/>
      <c r="M307" s="509"/>
      <c r="N307" s="509"/>
      <c r="O307" s="509"/>
      <c r="P307" s="509"/>
      <c r="Q307" s="509"/>
      <c r="R307" s="509"/>
      <c r="S307" s="509"/>
      <c r="T307" s="509"/>
      <c r="U307" s="509"/>
      <c r="V307" s="509"/>
      <c r="W307" s="509"/>
      <c r="X307" s="509"/>
      <c r="Y307" s="509"/>
      <c r="Z307" s="509"/>
      <c r="AA307" s="509"/>
      <c r="AB307" s="509"/>
      <c r="AC307" s="509"/>
      <c r="AD307" s="509"/>
    </row>
    <row r="308" spans="3:30">
      <c r="C308" s="509"/>
      <c r="D308" s="509"/>
      <c r="E308" s="509"/>
      <c r="F308" s="509"/>
      <c r="G308" s="509"/>
      <c r="H308" s="509"/>
      <c r="I308" s="509"/>
      <c r="J308" s="509"/>
      <c r="K308" s="509"/>
      <c r="L308" s="509"/>
      <c r="M308" s="509"/>
      <c r="N308" s="509"/>
      <c r="O308" s="509"/>
      <c r="P308" s="509"/>
      <c r="Q308" s="509"/>
      <c r="R308" s="509"/>
      <c r="S308" s="509"/>
      <c r="T308" s="509"/>
      <c r="U308" s="509"/>
      <c r="V308" s="509"/>
      <c r="W308" s="509"/>
      <c r="X308" s="509"/>
      <c r="Y308" s="509"/>
      <c r="Z308" s="509"/>
      <c r="AA308" s="509"/>
      <c r="AB308" s="509"/>
      <c r="AC308" s="509"/>
      <c r="AD308" s="509"/>
    </row>
    <row r="309" spans="3:30">
      <c r="C309" s="509"/>
      <c r="D309" s="509"/>
      <c r="E309" s="509"/>
      <c r="F309" s="509"/>
      <c r="G309" s="509"/>
      <c r="H309" s="509"/>
      <c r="I309" s="509"/>
      <c r="J309" s="509"/>
      <c r="K309" s="509"/>
      <c r="L309" s="509"/>
      <c r="M309" s="509"/>
      <c r="N309" s="509"/>
      <c r="O309" s="509"/>
      <c r="P309" s="509"/>
      <c r="Q309" s="509"/>
      <c r="R309" s="509"/>
      <c r="S309" s="509"/>
      <c r="T309" s="509"/>
      <c r="U309" s="509"/>
      <c r="V309" s="509"/>
      <c r="W309" s="509"/>
      <c r="X309" s="509"/>
      <c r="Y309" s="509"/>
      <c r="Z309" s="509"/>
      <c r="AA309" s="509"/>
      <c r="AB309" s="509"/>
      <c r="AC309" s="509"/>
      <c r="AD309" s="509"/>
    </row>
    <row r="310" spans="3:30">
      <c r="C310" s="509"/>
      <c r="D310" s="509"/>
      <c r="E310" s="509"/>
      <c r="F310" s="509"/>
      <c r="G310" s="509"/>
      <c r="H310" s="509"/>
      <c r="I310" s="509"/>
      <c r="J310" s="509"/>
      <c r="K310" s="509"/>
      <c r="L310" s="509"/>
      <c r="M310" s="509"/>
      <c r="N310" s="509"/>
      <c r="O310" s="509"/>
      <c r="P310" s="509"/>
      <c r="Q310" s="509"/>
      <c r="R310" s="509"/>
      <c r="S310" s="509"/>
      <c r="T310" s="509"/>
      <c r="U310" s="509"/>
      <c r="V310" s="509"/>
      <c r="W310" s="509"/>
      <c r="X310" s="509"/>
      <c r="Y310" s="509"/>
      <c r="Z310" s="509"/>
      <c r="AA310" s="509"/>
      <c r="AB310" s="509"/>
      <c r="AC310" s="509"/>
      <c r="AD310" s="509"/>
    </row>
    <row r="311" spans="3:30">
      <c r="C311" s="509"/>
      <c r="D311" s="509"/>
      <c r="E311" s="509"/>
      <c r="F311" s="509"/>
      <c r="G311" s="509"/>
      <c r="H311" s="509"/>
      <c r="I311" s="509"/>
      <c r="J311" s="509"/>
      <c r="K311" s="509"/>
      <c r="L311" s="509"/>
      <c r="M311" s="509"/>
      <c r="N311" s="509"/>
      <c r="O311" s="509"/>
      <c r="P311" s="509"/>
      <c r="Q311" s="509"/>
      <c r="R311" s="509"/>
      <c r="S311" s="509"/>
      <c r="T311" s="509"/>
      <c r="U311" s="509"/>
      <c r="V311" s="509"/>
      <c r="W311" s="509"/>
      <c r="X311" s="509"/>
      <c r="Y311" s="509"/>
      <c r="Z311" s="509"/>
      <c r="AA311" s="509"/>
      <c r="AB311" s="509"/>
      <c r="AC311" s="509"/>
      <c r="AD311" s="509"/>
    </row>
    <row r="312" spans="3:30">
      <c r="C312" s="509"/>
      <c r="D312" s="509"/>
      <c r="E312" s="509"/>
      <c r="F312" s="509"/>
      <c r="G312" s="509"/>
      <c r="H312" s="509"/>
      <c r="I312" s="509"/>
      <c r="J312" s="509"/>
      <c r="K312" s="509"/>
      <c r="L312" s="509"/>
      <c r="M312" s="509"/>
      <c r="N312" s="509"/>
      <c r="O312" s="509"/>
      <c r="P312" s="509"/>
      <c r="Q312" s="509"/>
      <c r="R312" s="509"/>
      <c r="S312" s="509"/>
      <c r="T312" s="509"/>
      <c r="U312" s="509"/>
      <c r="V312" s="509"/>
      <c r="W312" s="509"/>
      <c r="X312" s="509"/>
      <c r="Y312" s="509"/>
      <c r="Z312" s="509"/>
      <c r="AA312" s="509"/>
      <c r="AB312" s="509"/>
      <c r="AC312" s="509"/>
      <c r="AD312" s="509"/>
    </row>
    <row r="313" spans="3:30">
      <c r="C313" s="509"/>
      <c r="D313" s="509"/>
      <c r="E313" s="509"/>
      <c r="F313" s="509"/>
      <c r="G313" s="509"/>
      <c r="H313" s="509"/>
      <c r="I313" s="509"/>
      <c r="J313" s="509"/>
      <c r="K313" s="509"/>
      <c r="L313" s="509"/>
      <c r="M313" s="509"/>
      <c r="N313" s="509"/>
      <c r="O313" s="509"/>
      <c r="P313" s="509"/>
      <c r="Q313" s="509"/>
      <c r="R313" s="509"/>
      <c r="S313" s="509"/>
      <c r="T313" s="509"/>
      <c r="U313" s="509"/>
      <c r="V313" s="509"/>
      <c r="W313" s="509"/>
      <c r="X313" s="509"/>
      <c r="Y313" s="509"/>
      <c r="Z313" s="509"/>
      <c r="AA313" s="509"/>
      <c r="AB313" s="509"/>
      <c r="AC313" s="509"/>
      <c r="AD313" s="509"/>
    </row>
    <row r="314" spans="3:30">
      <c r="C314" s="509"/>
      <c r="D314" s="509"/>
      <c r="E314" s="509"/>
      <c r="F314" s="509"/>
      <c r="G314" s="509"/>
      <c r="H314" s="509"/>
      <c r="I314" s="509"/>
      <c r="J314" s="509"/>
      <c r="K314" s="509"/>
      <c r="L314" s="509"/>
      <c r="M314" s="509"/>
      <c r="N314" s="509"/>
      <c r="O314" s="509"/>
      <c r="P314" s="509"/>
      <c r="Q314" s="509"/>
      <c r="R314" s="509"/>
      <c r="S314" s="509"/>
      <c r="T314" s="509"/>
      <c r="U314" s="509"/>
      <c r="V314" s="509"/>
      <c r="W314" s="509"/>
      <c r="X314" s="509"/>
      <c r="Y314" s="509"/>
      <c r="Z314" s="509"/>
      <c r="AA314" s="509"/>
      <c r="AB314" s="509"/>
      <c r="AC314" s="509"/>
      <c r="AD314" s="509"/>
    </row>
    <row r="315" spans="3:30">
      <c r="C315" s="509"/>
      <c r="D315" s="509"/>
      <c r="E315" s="509"/>
      <c r="F315" s="509"/>
      <c r="G315" s="509"/>
      <c r="H315" s="509"/>
      <c r="I315" s="509"/>
      <c r="J315" s="509"/>
      <c r="K315" s="509"/>
      <c r="L315" s="509"/>
      <c r="M315" s="509"/>
      <c r="N315" s="509"/>
      <c r="O315" s="509"/>
      <c r="P315" s="509"/>
      <c r="Q315" s="509"/>
      <c r="R315" s="509"/>
      <c r="S315" s="509"/>
      <c r="T315" s="509"/>
      <c r="U315" s="509"/>
      <c r="V315" s="509"/>
      <c r="W315" s="509"/>
      <c r="X315" s="509"/>
      <c r="Y315" s="509"/>
      <c r="Z315" s="509"/>
      <c r="AA315" s="509"/>
      <c r="AB315" s="509"/>
      <c r="AC315" s="509"/>
      <c r="AD315" s="509"/>
    </row>
    <row r="316" spans="3:30">
      <c r="C316" s="509"/>
      <c r="D316" s="509"/>
      <c r="E316" s="509"/>
      <c r="F316" s="509"/>
      <c r="G316" s="509"/>
      <c r="H316" s="509"/>
      <c r="I316" s="509"/>
      <c r="J316" s="509"/>
      <c r="K316" s="509"/>
      <c r="L316" s="509"/>
      <c r="M316" s="509"/>
      <c r="N316" s="509"/>
      <c r="O316" s="509"/>
      <c r="P316" s="509"/>
      <c r="Q316" s="509"/>
      <c r="R316" s="509"/>
      <c r="S316" s="509"/>
      <c r="T316" s="509"/>
      <c r="U316" s="509"/>
      <c r="V316" s="509"/>
      <c r="W316" s="509"/>
      <c r="X316" s="509"/>
      <c r="Y316" s="509"/>
      <c r="Z316" s="509"/>
      <c r="AA316" s="509"/>
      <c r="AB316" s="509"/>
      <c r="AC316" s="509"/>
      <c r="AD316" s="509"/>
    </row>
    <row r="317" spans="3:30">
      <c r="C317" s="509"/>
      <c r="D317" s="509"/>
      <c r="E317" s="509"/>
      <c r="F317" s="509"/>
      <c r="G317" s="509"/>
      <c r="H317" s="509"/>
      <c r="I317" s="509"/>
      <c r="J317" s="509"/>
      <c r="K317" s="509"/>
      <c r="L317" s="509"/>
      <c r="M317" s="509"/>
      <c r="N317" s="509"/>
      <c r="O317" s="509"/>
      <c r="P317" s="509"/>
      <c r="Q317" s="509"/>
      <c r="R317" s="509"/>
      <c r="S317" s="509"/>
      <c r="T317" s="509"/>
      <c r="U317" s="509"/>
      <c r="V317" s="509"/>
      <c r="W317" s="509"/>
      <c r="X317" s="509"/>
      <c r="Y317" s="509"/>
      <c r="Z317" s="509"/>
      <c r="AA317" s="509"/>
      <c r="AB317" s="509"/>
      <c r="AC317" s="509"/>
      <c r="AD317" s="509"/>
    </row>
    <row r="318" spans="3:30">
      <c r="C318" s="509"/>
      <c r="D318" s="509"/>
      <c r="E318" s="509"/>
      <c r="F318" s="509"/>
      <c r="G318" s="509"/>
      <c r="H318" s="509"/>
      <c r="I318" s="509"/>
      <c r="J318" s="509"/>
      <c r="K318" s="509"/>
      <c r="L318" s="509"/>
      <c r="M318" s="509"/>
      <c r="N318" s="509"/>
      <c r="O318" s="509"/>
      <c r="P318" s="509"/>
      <c r="Q318" s="509"/>
      <c r="R318" s="509"/>
      <c r="S318" s="509"/>
      <c r="T318" s="509"/>
      <c r="U318" s="509"/>
      <c r="V318" s="509"/>
      <c r="W318" s="509"/>
      <c r="X318" s="509"/>
      <c r="Y318" s="509"/>
      <c r="Z318" s="509"/>
      <c r="AA318" s="509"/>
      <c r="AB318" s="509"/>
      <c r="AC318" s="509"/>
      <c r="AD318" s="509"/>
    </row>
    <row r="319" spans="3:30">
      <c r="C319" s="509"/>
      <c r="D319" s="509"/>
      <c r="E319" s="509"/>
      <c r="F319" s="509"/>
      <c r="G319" s="509"/>
      <c r="H319" s="509"/>
      <c r="I319" s="509"/>
      <c r="J319" s="509"/>
      <c r="K319" s="509"/>
      <c r="L319" s="509"/>
      <c r="M319" s="509"/>
      <c r="N319" s="509"/>
      <c r="O319" s="509"/>
      <c r="P319" s="509"/>
      <c r="Q319" s="509"/>
      <c r="R319" s="509"/>
      <c r="S319" s="509"/>
      <c r="T319" s="509"/>
      <c r="U319" s="509"/>
      <c r="V319" s="509"/>
      <c r="W319" s="509"/>
      <c r="X319" s="509"/>
      <c r="Y319" s="509"/>
      <c r="Z319" s="509"/>
      <c r="AA319" s="509"/>
      <c r="AB319" s="509"/>
      <c r="AC319" s="509"/>
      <c r="AD319" s="509"/>
    </row>
    <row r="320" spans="3:30">
      <c r="C320" s="509"/>
      <c r="D320" s="509"/>
      <c r="E320" s="509"/>
      <c r="F320" s="509"/>
      <c r="G320" s="509"/>
      <c r="H320" s="509"/>
      <c r="I320" s="509"/>
      <c r="J320" s="509"/>
      <c r="K320" s="509"/>
      <c r="L320" s="509"/>
      <c r="M320" s="509"/>
      <c r="N320" s="509"/>
      <c r="O320" s="509"/>
      <c r="P320" s="509"/>
      <c r="Q320" s="509"/>
      <c r="R320" s="509"/>
      <c r="S320" s="509"/>
      <c r="T320" s="509"/>
      <c r="U320" s="509"/>
      <c r="V320" s="509"/>
      <c r="W320" s="509"/>
      <c r="X320" s="509"/>
      <c r="Y320" s="509"/>
      <c r="Z320" s="509"/>
      <c r="AA320" s="509"/>
      <c r="AB320" s="509"/>
      <c r="AC320" s="509"/>
      <c r="AD320" s="509"/>
    </row>
    <row r="321" spans="3:30">
      <c r="C321" s="509"/>
      <c r="D321" s="509"/>
      <c r="E321" s="509"/>
      <c r="F321" s="509"/>
      <c r="G321" s="509"/>
      <c r="H321" s="509"/>
      <c r="I321" s="509"/>
      <c r="J321" s="509"/>
      <c r="K321" s="509"/>
      <c r="L321" s="509"/>
      <c r="M321" s="509"/>
      <c r="N321" s="509"/>
      <c r="O321" s="509"/>
      <c r="P321" s="509"/>
      <c r="Q321" s="509"/>
      <c r="R321" s="509"/>
      <c r="S321" s="509"/>
      <c r="T321" s="509"/>
      <c r="U321" s="509"/>
      <c r="V321" s="509"/>
      <c r="W321" s="509"/>
      <c r="X321" s="509"/>
      <c r="Y321" s="509"/>
      <c r="Z321" s="509"/>
      <c r="AA321" s="509"/>
      <c r="AB321" s="509"/>
      <c r="AC321" s="509"/>
      <c r="AD321" s="509"/>
    </row>
    <row r="322" spans="3:30">
      <c r="C322" s="509"/>
      <c r="D322" s="509"/>
      <c r="E322" s="509"/>
      <c r="F322" s="509"/>
      <c r="G322" s="509"/>
      <c r="H322" s="509"/>
      <c r="I322" s="509"/>
      <c r="J322" s="509"/>
      <c r="K322" s="509"/>
      <c r="L322" s="509"/>
      <c r="M322" s="509"/>
      <c r="N322" s="509"/>
      <c r="O322" s="509"/>
      <c r="P322" s="509"/>
      <c r="Q322" s="509"/>
      <c r="R322" s="509"/>
      <c r="S322" s="509"/>
      <c r="T322" s="509"/>
      <c r="U322" s="509"/>
      <c r="V322" s="509"/>
      <c r="W322" s="509"/>
      <c r="X322" s="509"/>
      <c r="Y322" s="509"/>
      <c r="Z322" s="509"/>
      <c r="AA322" s="509"/>
      <c r="AB322" s="509"/>
      <c r="AC322" s="509"/>
      <c r="AD322" s="509"/>
    </row>
    <row r="323" spans="3:30">
      <c r="C323" s="509"/>
      <c r="D323" s="509"/>
      <c r="E323" s="509"/>
      <c r="F323" s="509"/>
      <c r="G323" s="509"/>
      <c r="H323" s="509"/>
      <c r="I323" s="509"/>
      <c r="J323" s="509"/>
      <c r="K323" s="509"/>
      <c r="L323" s="509"/>
      <c r="M323" s="509"/>
      <c r="N323" s="509"/>
      <c r="O323" s="509"/>
      <c r="P323" s="509"/>
      <c r="Q323" s="509"/>
      <c r="R323" s="509"/>
      <c r="S323" s="509"/>
      <c r="T323" s="509"/>
      <c r="U323" s="509"/>
      <c r="V323" s="509"/>
      <c r="W323" s="509"/>
      <c r="X323" s="509"/>
      <c r="Y323" s="509"/>
      <c r="Z323" s="509"/>
      <c r="AA323" s="509"/>
      <c r="AB323" s="509"/>
      <c r="AC323" s="509"/>
      <c r="AD323" s="509"/>
    </row>
    <row r="324" spans="3:30">
      <c r="C324" s="509"/>
      <c r="D324" s="509"/>
      <c r="E324" s="509"/>
      <c r="F324" s="509"/>
      <c r="G324" s="509"/>
      <c r="H324" s="509"/>
      <c r="I324" s="509"/>
      <c r="J324" s="509"/>
      <c r="K324" s="509"/>
      <c r="L324" s="509"/>
      <c r="M324" s="509"/>
      <c r="N324" s="509"/>
      <c r="O324" s="509"/>
      <c r="P324" s="509"/>
      <c r="Q324" s="509"/>
      <c r="R324" s="509"/>
      <c r="S324" s="509"/>
      <c r="T324" s="509"/>
      <c r="U324" s="509"/>
      <c r="V324" s="509"/>
      <c r="W324" s="509"/>
      <c r="X324" s="509"/>
      <c r="Y324" s="509"/>
      <c r="Z324" s="509"/>
      <c r="AA324" s="509"/>
      <c r="AB324" s="509"/>
      <c r="AC324" s="509"/>
      <c r="AD324" s="509"/>
    </row>
    <row r="325" spans="3:30">
      <c r="C325" s="509"/>
      <c r="D325" s="509"/>
      <c r="E325" s="509"/>
      <c r="F325" s="509"/>
      <c r="G325" s="509"/>
      <c r="H325" s="509"/>
      <c r="I325" s="509"/>
      <c r="J325" s="509"/>
      <c r="K325" s="509"/>
      <c r="L325" s="509"/>
      <c r="M325" s="509"/>
      <c r="N325" s="509"/>
      <c r="O325" s="509"/>
      <c r="P325" s="509"/>
      <c r="Q325" s="509"/>
      <c r="R325" s="509"/>
      <c r="S325" s="509"/>
      <c r="T325" s="509"/>
      <c r="U325" s="509"/>
      <c r="V325" s="509"/>
      <c r="W325" s="509"/>
      <c r="X325" s="509"/>
      <c r="Y325" s="509"/>
      <c r="Z325" s="509"/>
      <c r="AA325" s="509"/>
      <c r="AB325" s="509"/>
      <c r="AC325" s="509"/>
      <c r="AD325" s="509"/>
    </row>
    <row r="326" spans="3:30">
      <c r="C326" s="509"/>
      <c r="D326" s="509"/>
      <c r="E326" s="509"/>
      <c r="F326" s="509"/>
      <c r="G326" s="509"/>
      <c r="H326" s="509"/>
      <c r="I326" s="509"/>
      <c r="J326" s="509"/>
      <c r="K326" s="509"/>
      <c r="L326" s="509"/>
      <c r="M326" s="509"/>
      <c r="N326" s="509"/>
      <c r="O326" s="509"/>
      <c r="P326" s="509"/>
      <c r="Q326" s="509"/>
      <c r="R326" s="509"/>
      <c r="S326" s="509"/>
      <c r="T326" s="509"/>
      <c r="U326" s="509"/>
      <c r="V326" s="509"/>
      <c r="W326" s="509"/>
      <c r="X326" s="509"/>
      <c r="Y326" s="509"/>
      <c r="Z326" s="509"/>
      <c r="AA326" s="509"/>
      <c r="AB326" s="509"/>
      <c r="AC326" s="509"/>
      <c r="AD326" s="509"/>
    </row>
    <row r="327" spans="3:30">
      <c r="C327" s="509"/>
      <c r="D327" s="509"/>
      <c r="E327" s="509"/>
      <c r="F327" s="509"/>
      <c r="G327" s="509"/>
      <c r="H327" s="509"/>
      <c r="I327" s="509"/>
      <c r="J327" s="509"/>
      <c r="K327" s="509"/>
      <c r="L327" s="509"/>
      <c r="M327" s="509"/>
      <c r="N327" s="509"/>
      <c r="O327" s="509"/>
      <c r="P327" s="509"/>
      <c r="Q327" s="509"/>
      <c r="R327" s="509"/>
      <c r="S327" s="509"/>
      <c r="T327" s="509"/>
      <c r="U327" s="509"/>
      <c r="V327" s="509"/>
      <c r="W327" s="509"/>
      <c r="X327" s="509"/>
      <c r="Y327" s="509"/>
      <c r="Z327" s="509"/>
      <c r="AA327" s="509"/>
      <c r="AB327" s="509"/>
      <c r="AC327" s="509"/>
      <c r="AD327" s="509"/>
    </row>
    <row r="328" spans="3:30">
      <c r="C328" s="509"/>
      <c r="D328" s="509"/>
      <c r="E328" s="509"/>
      <c r="F328" s="509"/>
      <c r="G328" s="509"/>
      <c r="H328" s="509"/>
      <c r="I328" s="509"/>
      <c r="J328" s="509"/>
      <c r="K328" s="509"/>
      <c r="L328" s="509"/>
      <c r="M328" s="509"/>
      <c r="N328" s="509"/>
      <c r="O328" s="509"/>
      <c r="P328" s="509"/>
      <c r="Q328" s="509"/>
      <c r="R328" s="509"/>
      <c r="S328" s="509"/>
      <c r="T328" s="509"/>
      <c r="U328" s="509"/>
      <c r="V328" s="509"/>
      <c r="W328" s="509"/>
      <c r="X328" s="509"/>
      <c r="Y328" s="509"/>
      <c r="Z328" s="509"/>
      <c r="AA328" s="509"/>
      <c r="AB328" s="509"/>
      <c r="AC328" s="509"/>
      <c r="AD328" s="509"/>
    </row>
    <row r="329" spans="3:30">
      <c r="C329" s="509"/>
      <c r="D329" s="509"/>
      <c r="E329" s="509"/>
      <c r="F329" s="509"/>
      <c r="G329" s="509"/>
      <c r="H329" s="509"/>
      <c r="I329" s="509"/>
      <c r="J329" s="509"/>
      <c r="K329" s="509"/>
      <c r="L329" s="509"/>
      <c r="M329" s="509"/>
      <c r="N329" s="509"/>
      <c r="O329" s="509"/>
      <c r="P329" s="509"/>
      <c r="Q329" s="509"/>
      <c r="R329" s="509"/>
      <c r="S329" s="509"/>
      <c r="T329" s="509"/>
      <c r="U329" s="509"/>
      <c r="V329" s="509"/>
      <c r="W329" s="509"/>
      <c r="X329" s="509"/>
      <c r="Y329" s="509"/>
      <c r="Z329" s="509"/>
      <c r="AA329" s="509"/>
      <c r="AB329" s="509"/>
      <c r="AC329" s="509"/>
      <c r="AD329" s="509"/>
    </row>
    <row r="330" spans="3:30">
      <c r="C330" s="509"/>
      <c r="D330" s="509"/>
      <c r="E330" s="509"/>
      <c r="F330" s="509"/>
      <c r="G330" s="509"/>
      <c r="H330" s="509"/>
      <c r="I330" s="509"/>
      <c r="J330" s="509"/>
      <c r="K330" s="509"/>
      <c r="L330" s="509"/>
      <c r="M330" s="509"/>
      <c r="N330" s="509"/>
      <c r="O330" s="509"/>
      <c r="P330" s="509"/>
      <c r="Q330" s="509"/>
      <c r="R330" s="509"/>
      <c r="S330" s="509"/>
      <c r="T330" s="509"/>
      <c r="U330" s="509"/>
      <c r="V330" s="509"/>
      <c r="W330" s="509"/>
      <c r="X330" s="509"/>
      <c r="Y330" s="509"/>
      <c r="Z330" s="509"/>
      <c r="AA330" s="509"/>
      <c r="AB330" s="509"/>
      <c r="AC330" s="509"/>
      <c r="AD330" s="509"/>
    </row>
    <row r="331" spans="3:30">
      <c r="C331" s="509"/>
      <c r="D331" s="509"/>
      <c r="E331" s="509"/>
      <c r="F331" s="509"/>
      <c r="G331" s="509"/>
      <c r="H331" s="509"/>
      <c r="I331" s="509"/>
      <c r="J331" s="509"/>
      <c r="K331" s="509"/>
      <c r="L331" s="509"/>
      <c r="M331" s="509"/>
      <c r="N331" s="509"/>
      <c r="O331" s="509"/>
      <c r="P331" s="509"/>
      <c r="Q331" s="509"/>
      <c r="R331" s="509"/>
      <c r="S331" s="509"/>
      <c r="T331" s="509"/>
      <c r="U331" s="509"/>
      <c r="V331" s="509"/>
      <c r="W331" s="509"/>
      <c r="X331" s="509"/>
      <c r="Y331" s="509"/>
      <c r="Z331" s="509"/>
      <c r="AA331" s="509"/>
      <c r="AB331" s="509"/>
      <c r="AC331" s="509"/>
      <c r="AD331" s="509"/>
    </row>
    <row r="332" spans="3:30">
      <c r="C332" s="509"/>
      <c r="D332" s="509"/>
      <c r="E332" s="509"/>
      <c r="F332" s="509"/>
      <c r="G332" s="509"/>
      <c r="H332" s="509"/>
      <c r="I332" s="509"/>
      <c r="J332" s="509"/>
      <c r="K332" s="509"/>
      <c r="L332" s="509"/>
      <c r="M332" s="509"/>
      <c r="N332" s="509"/>
      <c r="O332" s="509"/>
      <c r="P332" s="509"/>
      <c r="Q332" s="509"/>
      <c r="R332" s="509"/>
      <c r="S332" s="509"/>
      <c r="T332" s="509"/>
      <c r="U332" s="509"/>
      <c r="V332" s="509"/>
      <c r="W332" s="509"/>
      <c r="X332" s="509"/>
      <c r="Y332" s="509"/>
      <c r="Z332" s="509"/>
      <c r="AA332" s="509"/>
      <c r="AB332" s="509"/>
      <c r="AC332" s="509"/>
      <c r="AD332" s="509"/>
    </row>
    <row r="333" spans="3:30">
      <c r="C333" s="509"/>
      <c r="D333" s="509"/>
      <c r="E333" s="509"/>
      <c r="F333" s="509"/>
      <c r="G333" s="509"/>
      <c r="H333" s="509"/>
      <c r="I333" s="509"/>
      <c r="J333" s="509"/>
      <c r="K333" s="509"/>
      <c r="L333" s="509"/>
      <c r="M333" s="509"/>
      <c r="N333" s="509"/>
      <c r="O333" s="509"/>
      <c r="P333" s="509"/>
      <c r="Q333" s="509"/>
      <c r="R333" s="509"/>
      <c r="S333" s="509"/>
      <c r="T333" s="509"/>
      <c r="U333" s="509"/>
      <c r="V333" s="509"/>
      <c r="W333" s="509"/>
      <c r="X333" s="509"/>
      <c r="Y333" s="509"/>
      <c r="Z333" s="509"/>
      <c r="AA333" s="509"/>
      <c r="AB333" s="509"/>
      <c r="AC333" s="509"/>
      <c r="AD333" s="509"/>
    </row>
    <row r="334" spans="3:30">
      <c r="C334" s="509"/>
      <c r="D334" s="509"/>
      <c r="E334" s="509"/>
      <c r="F334" s="509"/>
      <c r="G334" s="509"/>
      <c r="H334" s="509"/>
      <c r="I334" s="509"/>
      <c r="J334" s="509"/>
      <c r="K334" s="509"/>
      <c r="L334" s="509"/>
      <c r="M334" s="509"/>
      <c r="N334" s="509"/>
      <c r="O334" s="509"/>
      <c r="P334" s="509"/>
      <c r="Q334" s="509"/>
      <c r="R334" s="509"/>
      <c r="S334" s="509"/>
      <c r="T334" s="509"/>
      <c r="U334" s="509"/>
      <c r="V334" s="509"/>
      <c r="W334" s="509"/>
      <c r="X334" s="509"/>
      <c r="Y334" s="509"/>
      <c r="Z334" s="509"/>
      <c r="AA334" s="509"/>
      <c r="AB334" s="509"/>
      <c r="AC334" s="509"/>
      <c r="AD334" s="509"/>
    </row>
    <row r="335" spans="3:30">
      <c r="C335" s="509"/>
      <c r="D335" s="509"/>
      <c r="E335" s="509"/>
      <c r="F335" s="509"/>
      <c r="G335" s="509"/>
      <c r="H335" s="509"/>
      <c r="I335" s="509"/>
      <c r="J335" s="509"/>
      <c r="K335" s="509"/>
      <c r="L335" s="509"/>
      <c r="M335" s="509"/>
      <c r="N335" s="509"/>
      <c r="O335" s="509"/>
      <c r="P335" s="509"/>
      <c r="Q335" s="509"/>
      <c r="R335" s="509"/>
      <c r="S335" s="509"/>
      <c r="T335" s="509"/>
      <c r="U335" s="509"/>
      <c r="V335" s="509"/>
      <c r="W335" s="509"/>
      <c r="X335" s="509"/>
      <c r="Y335" s="509"/>
      <c r="Z335" s="509"/>
      <c r="AA335" s="509"/>
      <c r="AB335" s="509"/>
      <c r="AC335" s="509"/>
      <c r="AD335" s="509"/>
    </row>
    <row r="336" spans="3:30">
      <c r="C336" s="509"/>
      <c r="D336" s="509"/>
      <c r="E336" s="509"/>
      <c r="F336" s="509"/>
      <c r="G336" s="509"/>
      <c r="H336" s="509"/>
      <c r="I336" s="509"/>
      <c r="J336" s="509"/>
      <c r="K336" s="509"/>
      <c r="L336" s="509"/>
      <c r="M336" s="509"/>
      <c r="N336" s="509"/>
      <c r="O336" s="509"/>
      <c r="P336" s="509"/>
      <c r="Q336" s="509"/>
      <c r="R336" s="509"/>
      <c r="S336" s="509"/>
      <c r="T336" s="509"/>
      <c r="U336" s="509"/>
      <c r="V336" s="509"/>
      <c r="W336" s="509"/>
      <c r="X336" s="509"/>
      <c r="Y336" s="509"/>
      <c r="Z336" s="509"/>
      <c r="AA336" s="509"/>
      <c r="AB336" s="509"/>
      <c r="AC336" s="509"/>
      <c r="AD336" s="509"/>
    </row>
    <row r="337" spans="3:30">
      <c r="C337" s="509"/>
      <c r="D337" s="509"/>
      <c r="E337" s="509"/>
      <c r="F337" s="509"/>
      <c r="G337" s="509"/>
      <c r="H337" s="509"/>
      <c r="I337" s="509"/>
      <c r="J337" s="509"/>
      <c r="K337" s="509"/>
      <c r="L337" s="509"/>
      <c r="M337" s="509"/>
      <c r="N337" s="509"/>
      <c r="O337" s="509"/>
      <c r="P337" s="509"/>
      <c r="Q337" s="509"/>
      <c r="R337" s="509"/>
      <c r="S337" s="509"/>
      <c r="T337" s="509"/>
      <c r="U337" s="509"/>
      <c r="V337" s="509"/>
      <c r="W337" s="509"/>
      <c r="X337" s="509"/>
      <c r="Y337" s="509"/>
      <c r="Z337" s="509"/>
      <c r="AA337" s="509"/>
      <c r="AB337" s="509"/>
      <c r="AC337" s="509"/>
      <c r="AD337" s="509"/>
    </row>
    <row r="338" spans="3:30">
      <c r="C338" s="509"/>
      <c r="D338" s="509"/>
      <c r="E338" s="509"/>
      <c r="F338" s="509"/>
      <c r="G338" s="509"/>
      <c r="H338" s="509"/>
      <c r="I338" s="509"/>
      <c r="J338" s="509"/>
      <c r="K338" s="509"/>
      <c r="L338" s="509"/>
      <c r="M338" s="509"/>
      <c r="N338" s="509"/>
      <c r="O338" s="509"/>
      <c r="P338" s="509"/>
      <c r="Q338" s="509"/>
      <c r="R338" s="509"/>
      <c r="S338" s="509"/>
      <c r="T338" s="509"/>
      <c r="U338" s="509"/>
      <c r="V338" s="509"/>
      <c r="W338" s="509"/>
      <c r="X338" s="509"/>
      <c r="Y338" s="509"/>
      <c r="Z338" s="509"/>
      <c r="AA338" s="509"/>
      <c r="AB338" s="509"/>
      <c r="AC338" s="509"/>
      <c r="AD338" s="509"/>
    </row>
    <row r="339" spans="3:30">
      <c r="C339" s="509"/>
      <c r="D339" s="509"/>
      <c r="E339" s="509"/>
      <c r="F339" s="509"/>
      <c r="G339" s="509"/>
      <c r="H339" s="509"/>
      <c r="I339" s="509"/>
      <c r="J339" s="509"/>
      <c r="K339" s="509"/>
      <c r="L339" s="509"/>
      <c r="M339" s="509"/>
      <c r="N339" s="509"/>
      <c r="O339" s="509"/>
      <c r="P339" s="509"/>
      <c r="Q339" s="509"/>
      <c r="R339" s="509"/>
      <c r="S339" s="509"/>
      <c r="T339" s="509"/>
      <c r="U339" s="509"/>
      <c r="V339" s="509"/>
      <c r="W339" s="509"/>
      <c r="X339" s="509"/>
      <c r="Y339" s="509"/>
      <c r="Z339" s="509"/>
      <c r="AA339" s="509"/>
      <c r="AB339" s="509"/>
      <c r="AC339" s="509"/>
      <c r="AD339" s="509"/>
    </row>
    <row r="340" spans="3:30">
      <c r="C340" s="509"/>
      <c r="D340" s="509"/>
      <c r="E340" s="509"/>
      <c r="F340" s="509"/>
      <c r="G340" s="509"/>
      <c r="H340" s="509"/>
      <c r="I340" s="509"/>
      <c r="J340" s="509"/>
      <c r="K340" s="509"/>
      <c r="L340" s="509"/>
      <c r="M340" s="509"/>
      <c r="N340" s="509"/>
      <c r="O340" s="509"/>
      <c r="P340" s="509"/>
      <c r="Q340" s="509"/>
      <c r="R340" s="509"/>
      <c r="S340" s="509"/>
      <c r="T340" s="509"/>
      <c r="U340" s="509"/>
      <c r="V340" s="509"/>
      <c r="W340" s="509"/>
      <c r="X340" s="509"/>
      <c r="Y340" s="509"/>
      <c r="Z340" s="509"/>
      <c r="AA340" s="509"/>
      <c r="AB340" s="509"/>
      <c r="AC340" s="509"/>
      <c r="AD340" s="509"/>
    </row>
    <row r="341" spans="3:30">
      <c r="C341" s="509"/>
      <c r="D341" s="509"/>
      <c r="E341" s="509"/>
      <c r="F341" s="509"/>
      <c r="G341" s="509"/>
      <c r="H341" s="509"/>
      <c r="I341" s="509"/>
      <c r="J341" s="509"/>
      <c r="K341" s="509"/>
      <c r="L341" s="509"/>
      <c r="M341" s="509"/>
      <c r="N341" s="509"/>
      <c r="O341" s="509"/>
      <c r="P341" s="509"/>
      <c r="Q341" s="509"/>
      <c r="R341" s="509"/>
      <c r="S341" s="509"/>
      <c r="T341" s="509"/>
      <c r="U341" s="509"/>
      <c r="V341" s="509"/>
      <c r="W341" s="509"/>
      <c r="X341" s="509"/>
      <c r="Y341" s="509"/>
      <c r="Z341" s="509"/>
      <c r="AA341" s="509"/>
      <c r="AB341" s="509"/>
      <c r="AC341" s="509"/>
      <c r="AD341" s="509"/>
    </row>
    <row r="342" spans="3:30">
      <c r="C342" s="509"/>
      <c r="D342" s="509"/>
      <c r="E342" s="509"/>
      <c r="F342" s="509"/>
      <c r="G342" s="509"/>
      <c r="H342" s="509"/>
      <c r="I342" s="509"/>
      <c r="J342" s="509"/>
      <c r="K342" s="509"/>
      <c r="L342" s="509"/>
      <c r="M342" s="509"/>
      <c r="N342" s="509"/>
      <c r="O342" s="509"/>
      <c r="P342" s="509"/>
      <c r="Q342" s="509"/>
      <c r="R342" s="509"/>
      <c r="S342" s="509"/>
      <c r="T342" s="509"/>
      <c r="U342" s="509"/>
      <c r="V342" s="509"/>
      <c r="W342" s="509"/>
      <c r="X342" s="509"/>
      <c r="Y342" s="509"/>
      <c r="Z342" s="509"/>
      <c r="AA342" s="509"/>
      <c r="AB342" s="509"/>
      <c r="AC342" s="509"/>
      <c r="AD342" s="509"/>
    </row>
    <row r="343" spans="3:30">
      <c r="C343" s="509"/>
      <c r="D343" s="509"/>
      <c r="E343" s="509"/>
      <c r="F343" s="509"/>
      <c r="G343" s="509"/>
      <c r="H343" s="509"/>
      <c r="I343" s="509"/>
      <c r="J343" s="509"/>
      <c r="K343" s="509"/>
      <c r="L343" s="509"/>
      <c r="M343" s="509"/>
      <c r="N343" s="509"/>
      <c r="O343" s="509"/>
      <c r="P343" s="509"/>
      <c r="Q343" s="509"/>
      <c r="R343" s="509"/>
      <c r="S343" s="509"/>
      <c r="T343" s="509"/>
      <c r="U343" s="509"/>
      <c r="V343" s="509"/>
      <c r="W343" s="509"/>
      <c r="X343" s="509"/>
      <c r="Y343" s="509"/>
      <c r="Z343" s="509"/>
      <c r="AA343" s="509"/>
      <c r="AB343" s="509"/>
      <c r="AC343" s="509"/>
      <c r="AD343" s="509"/>
    </row>
    <row r="344" spans="3:30">
      <c r="C344" s="509"/>
      <c r="D344" s="509"/>
      <c r="E344" s="509"/>
      <c r="F344" s="509"/>
      <c r="G344" s="509"/>
      <c r="H344" s="509"/>
      <c r="I344" s="509"/>
      <c r="J344" s="509"/>
      <c r="K344" s="509"/>
      <c r="L344" s="509"/>
      <c r="M344" s="509"/>
      <c r="N344" s="509"/>
      <c r="O344" s="509"/>
      <c r="P344" s="509"/>
      <c r="Q344" s="509"/>
      <c r="R344" s="509"/>
      <c r="S344" s="509"/>
      <c r="T344" s="509"/>
      <c r="U344" s="509"/>
      <c r="V344" s="509"/>
      <c r="W344" s="509"/>
      <c r="X344" s="509"/>
      <c r="Y344" s="509"/>
      <c r="Z344" s="509"/>
      <c r="AA344" s="509"/>
      <c r="AB344" s="509"/>
      <c r="AC344" s="509"/>
      <c r="AD344" s="509"/>
    </row>
    <row r="345" spans="3:30">
      <c r="C345" s="509"/>
      <c r="D345" s="509"/>
      <c r="E345" s="509"/>
      <c r="F345" s="509"/>
      <c r="G345" s="509"/>
      <c r="H345" s="509"/>
      <c r="I345" s="509"/>
      <c r="J345" s="509"/>
      <c r="K345" s="509"/>
      <c r="L345" s="509"/>
      <c r="M345" s="509"/>
      <c r="N345" s="509"/>
      <c r="O345" s="509"/>
      <c r="P345" s="509"/>
      <c r="Q345" s="509"/>
      <c r="R345" s="509"/>
      <c r="S345" s="509"/>
      <c r="T345" s="509"/>
      <c r="U345" s="509"/>
      <c r="V345" s="509"/>
      <c r="W345" s="509"/>
      <c r="X345" s="509"/>
      <c r="Y345" s="509"/>
      <c r="Z345" s="509"/>
      <c r="AA345" s="509"/>
      <c r="AB345" s="509"/>
      <c r="AC345" s="509"/>
      <c r="AD345" s="509"/>
    </row>
    <row r="346" spans="3:30">
      <c r="C346" s="509"/>
      <c r="D346" s="509"/>
      <c r="E346" s="509"/>
      <c r="F346" s="509"/>
      <c r="G346" s="509"/>
      <c r="H346" s="509"/>
      <c r="I346" s="509"/>
      <c r="J346" s="509"/>
      <c r="K346" s="509"/>
      <c r="L346" s="509"/>
      <c r="M346" s="509"/>
      <c r="N346" s="509"/>
      <c r="O346" s="509"/>
      <c r="P346" s="509"/>
      <c r="Q346" s="509"/>
      <c r="R346" s="509"/>
      <c r="S346" s="509"/>
      <c r="T346" s="509"/>
      <c r="U346" s="509"/>
      <c r="V346" s="509"/>
      <c r="W346" s="509"/>
      <c r="X346" s="509"/>
      <c r="Y346" s="509"/>
      <c r="Z346" s="509"/>
      <c r="AA346" s="509"/>
      <c r="AB346" s="509"/>
      <c r="AC346" s="509"/>
      <c r="AD346" s="509"/>
    </row>
    <row r="347" spans="3:30">
      <c r="C347" s="509"/>
      <c r="D347" s="509"/>
      <c r="E347" s="509"/>
      <c r="F347" s="509"/>
      <c r="G347" s="509"/>
      <c r="H347" s="509"/>
      <c r="I347" s="509"/>
      <c r="J347" s="509"/>
      <c r="K347" s="509"/>
      <c r="L347" s="509"/>
      <c r="M347" s="509"/>
      <c r="N347" s="509"/>
      <c r="O347" s="509"/>
      <c r="P347" s="509"/>
      <c r="Q347" s="509"/>
      <c r="R347" s="509"/>
      <c r="S347" s="509"/>
      <c r="T347" s="509"/>
      <c r="U347" s="509"/>
      <c r="V347" s="509"/>
      <c r="W347" s="509"/>
      <c r="X347" s="509"/>
      <c r="Y347" s="509"/>
      <c r="Z347" s="509"/>
      <c r="AA347" s="509"/>
      <c r="AB347" s="509"/>
      <c r="AC347" s="509"/>
      <c r="AD347" s="509"/>
    </row>
    <row r="348" spans="3:30">
      <c r="C348" s="509"/>
      <c r="D348" s="509"/>
      <c r="E348" s="509"/>
      <c r="F348" s="509"/>
      <c r="G348" s="509"/>
      <c r="H348" s="509"/>
      <c r="I348" s="509"/>
      <c r="J348" s="509"/>
      <c r="K348" s="509"/>
      <c r="L348" s="509"/>
      <c r="M348" s="509"/>
      <c r="N348" s="509"/>
      <c r="O348" s="509"/>
      <c r="P348" s="509"/>
      <c r="Q348" s="509"/>
      <c r="R348" s="509"/>
      <c r="S348" s="509"/>
      <c r="T348" s="509"/>
      <c r="U348" s="509"/>
      <c r="V348" s="509"/>
      <c r="W348" s="509"/>
      <c r="X348" s="509"/>
      <c r="Y348" s="509"/>
      <c r="Z348" s="509"/>
      <c r="AA348" s="509"/>
      <c r="AB348" s="509"/>
      <c r="AC348" s="509"/>
      <c r="AD348" s="509"/>
    </row>
    <row r="349" spans="3:30">
      <c r="C349" s="509"/>
      <c r="D349" s="509"/>
      <c r="E349" s="509"/>
      <c r="F349" s="509"/>
      <c r="G349" s="509"/>
      <c r="H349" s="509"/>
      <c r="I349" s="509"/>
      <c r="J349" s="509"/>
      <c r="K349" s="509"/>
      <c r="L349" s="509"/>
      <c r="M349" s="509"/>
      <c r="N349" s="509"/>
      <c r="O349" s="509"/>
      <c r="P349" s="509"/>
      <c r="Q349" s="509"/>
      <c r="R349" s="509"/>
      <c r="S349" s="509"/>
      <c r="T349" s="509"/>
      <c r="U349" s="509"/>
      <c r="V349" s="509"/>
      <c r="W349" s="509"/>
      <c r="X349" s="509"/>
      <c r="Y349" s="509"/>
      <c r="Z349" s="509"/>
      <c r="AA349" s="509"/>
      <c r="AB349" s="509"/>
      <c r="AC349" s="509"/>
      <c r="AD349" s="509"/>
    </row>
    <row r="350" spans="3:30">
      <c r="C350" s="509"/>
      <c r="D350" s="509"/>
      <c r="E350" s="509"/>
      <c r="F350" s="509"/>
      <c r="G350" s="509"/>
      <c r="H350" s="509"/>
      <c r="I350" s="509"/>
      <c r="J350" s="509"/>
      <c r="K350" s="509"/>
      <c r="L350" s="509"/>
      <c r="M350" s="509"/>
      <c r="N350" s="509"/>
      <c r="O350" s="509"/>
      <c r="P350" s="509"/>
      <c r="Q350" s="509"/>
      <c r="R350" s="509"/>
      <c r="S350" s="509"/>
      <c r="T350" s="509"/>
      <c r="U350" s="509"/>
      <c r="V350" s="509"/>
      <c r="W350" s="509"/>
      <c r="X350" s="509"/>
      <c r="Y350" s="509"/>
      <c r="Z350" s="509"/>
      <c r="AA350" s="509"/>
      <c r="AB350" s="509"/>
      <c r="AC350" s="509"/>
      <c r="AD350" s="509"/>
    </row>
    <row r="351" spans="3:30">
      <c r="C351" s="509"/>
      <c r="D351" s="509"/>
      <c r="E351" s="509"/>
      <c r="F351" s="509"/>
      <c r="G351" s="509"/>
      <c r="H351" s="509"/>
      <c r="I351" s="509"/>
      <c r="J351" s="509"/>
      <c r="K351" s="509"/>
      <c r="L351" s="509"/>
      <c r="M351" s="509"/>
      <c r="N351" s="509"/>
      <c r="O351" s="509"/>
      <c r="P351" s="509"/>
      <c r="Q351" s="509"/>
      <c r="R351" s="509"/>
      <c r="S351" s="509"/>
      <c r="T351" s="509"/>
      <c r="U351" s="509"/>
      <c r="V351" s="509"/>
      <c r="W351" s="509"/>
      <c r="X351" s="509"/>
      <c r="Y351" s="509"/>
      <c r="Z351" s="509"/>
      <c r="AA351" s="509"/>
      <c r="AB351" s="509"/>
      <c r="AC351" s="509"/>
      <c r="AD351" s="509"/>
    </row>
    <row r="352" spans="3:30">
      <c r="C352" s="509"/>
      <c r="D352" s="509"/>
      <c r="E352" s="509"/>
      <c r="F352" s="509"/>
      <c r="G352" s="509"/>
      <c r="H352" s="509"/>
      <c r="I352" s="509"/>
      <c r="J352" s="509"/>
      <c r="K352" s="509"/>
      <c r="L352" s="509"/>
      <c r="M352" s="509"/>
      <c r="N352" s="509"/>
      <c r="O352" s="509"/>
      <c r="P352" s="509"/>
      <c r="Q352" s="509"/>
      <c r="R352" s="509"/>
      <c r="S352" s="509"/>
      <c r="T352" s="509"/>
      <c r="U352" s="509"/>
      <c r="V352" s="509"/>
      <c r="W352" s="509"/>
      <c r="X352" s="509"/>
      <c r="Y352" s="509"/>
      <c r="Z352" s="509"/>
      <c r="AA352" s="509"/>
      <c r="AB352" s="509"/>
      <c r="AC352" s="509"/>
      <c r="AD352" s="509"/>
    </row>
    <row r="353" spans="3:30">
      <c r="C353" s="509"/>
      <c r="D353" s="509"/>
      <c r="E353" s="509"/>
      <c r="F353" s="509"/>
      <c r="G353" s="509"/>
      <c r="H353" s="509"/>
      <c r="I353" s="509"/>
      <c r="J353" s="509"/>
      <c r="K353" s="509"/>
      <c r="L353" s="509"/>
      <c r="M353" s="509"/>
      <c r="N353" s="509"/>
      <c r="O353" s="509"/>
      <c r="P353" s="509"/>
      <c r="Q353" s="509"/>
      <c r="R353" s="509"/>
      <c r="S353" s="509"/>
      <c r="T353" s="509"/>
      <c r="U353" s="509"/>
      <c r="V353" s="509"/>
      <c r="W353" s="509"/>
      <c r="X353" s="509"/>
      <c r="Y353" s="509"/>
      <c r="Z353" s="509"/>
      <c r="AA353" s="509"/>
      <c r="AB353" s="509"/>
      <c r="AC353" s="509"/>
      <c r="AD353" s="509"/>
    </row>
    <row r="354" spans="3:30">
      <c r="C354" s="509"/>
      <c r="D354" s="509"/>
      <c r="E354" s="509"/>
      <c r="F354" s="509"/>
      <c r="G354" s="509"/>
      <c r="H354" s="509"/>
      <c r="I354" s="509"/>
      <c r="J354" s="509"/>
      <c r="K354" s="509"/>
      <c r="L354" s="509"/>
      <c r="M354" s="509"/>
      <c r="N354" s="509"/>
      <c r="O354" s="509"/>
      <c r="P354" s="509"/>
      <c r="Q354" s="509"/>
      <c r="R354" s="509"/>
      <c r="S354" s="509"/>
      <c r="T354" s="509"/>
      <c r="U354" s="509"/>
      <c r="V354" s="509"/>
      <c r="W354" s="509"/>
      <c r="X354" s="509"/>
      <c r="Y354" s="509"/>
      <c r="Z354" s="509"/>
      <c r="AA354" s="509"/>
      <c r="AB354" s="509"/>
      <c r="AC354" s="509"/>
      <c r="AD354" s="509"/>
    </row>
    <row r="355" spans="3:30">
      <c r="C355" s="509"/>
      <c r="D355" s="509"/>
      <c r="E355" s="509"/>
      <c r="F355" s="509"/>
      <c r="G355" s="509"/>
      <c r="H355" s="509"/>
      <c r="I355" s="509"/>
      <c r="J355" s="509"/>
      <c r="K355" s="509"/>
      <c r="L355" s="509"/>
      <c r="M355" s="509"/>
      <c r="N355" s="509"/>
      <c r="O355" s="509"/>
      <c r="P355" s="509"/>
      <c r="Q355" s="509"/>
      <c r="R355" s="509"/>
      <c r="S355" s="509"/>
      <c r="T355" s="509"/>
      <c r="U355" s="509"/>
      <c r="V355" s="509"/>
      <c r="W355" s="509"/>
      <c r="X355" s="509"/>
      <c r="Y355" s="509"/>
      <c r="Z355" s="509"/>
      <c r="AA355" s="509"/>
      <c r="AB355" s="509"/>
      <c r="AC355" s="509"/>
      <c r="AD355" s="509"/>
    </row>
    <row r="356" spans="3:30">
      <c r="C356" s="509"/>
      <c r="D356" s="509"/>
      <c r="E356" s="509"/>
      <c r="F356" s="509"/>
      <c r="G356" s="509"/>
      <c r="H356" s="509"/>
      <c r="I356" s="509"/>
      <c r="J356" s="509"/>
      <c r="K356" s="509"/>
      <c r="L356" s="509"/>
      <c r="M356" s="509"/>
      <c r="N356" s="509"/>
      <c r="O356" s="509"/>
      <c r="P356" s="509"/>
      <c r="Q356" s="509"/>
      <c r="R356" s="509"/>
      <c r="S356" s="509"/>
      <c r="T356" s="509"/>
      <c r="U356" s="509"/>
      <c r="V356" s="509"/>
      <c r="W356" s="509"/>
      <c r="X356" s="509"/>
      <c r="Y356" s="509"/>
      <c r="Z356" s="509"/>
      <c r="AA356" s="509"/>
      <c r="AB356" s="509"/>
      <c r="AC356" s="509"/>
      <c r="AD356" s="509"/>
    </row>
    <row r="357" spans="3:30">
      <c r="C357" s="509"/>
      <c r="D357" s="509"/>
      <c r="E357" s="509"/>
      <c r="F357" s="509"/>
      <c r="G357" s="509"/>
      <c r="H357" s="509"/>
      <c r="I357" s="509"/>
      <c r="J357" s="509"/>
      <c r="K357" s="509"/>
      <c r="L357" s="509"/>
      <c r="M357" s="509"/>
      <c r="N357" s="509"/>
      <c r="O357" s="509"/>
      <c r="P357" s="509"/>
      <c r="Q357" s="509"/>
      <c r="R357" s="509"/>
      <c r="S357" s="509"/>
      <c r="T357" s="509"/>
      <c r="U357" s="509"/>
      <c r="V357" s="509"/>
      <c r="W357" s="509"/>
      <c r="X357" s="509"/>
      <c r="Y357" s="509"/>
      <c r="Z357" s="509"/>
      <c r="AA357" s="509"/>
      <c r="AB357" s="509"/>
      <c r="AC357" s="509"/>
      <c r="AD357" s="509"/>
    </row>
    <row r="358" spans="3:30">
      <c r="C358" s="509"/>
      <c r="D358" s="509"/>
      <c r="E358" s="509"/>
      <c r="F358" s="509"/>
      <c r="G358" s="509"/>
      <c r="H358" s="509"/>
      <c r="I358" s="509"/>
      <c r="J358" s="509"/>
      <c r="K358" s="509"/>
      <c r="L358" s="509"/>
      <c r="M358" s="509"/>
      <c r="N358" s="509"/>
      <c r="O358" s="509"/>
      <c r="P358" s="509"/>
      <c r="Q358" s="509"/>
      <c r="R358" s="509"/>
      <c r="S358" s="509"/>
      <c r="T358" s="509"/>
      <c r="U358" s="509"/>
      <c r="V358" s="509"/>
      <c r="W358" s="509"/>
      <c r="X358" s="509"/>
      <c r="Y358" s="509"/>
      <c r="Z358" s="509"/>
      <c r="AA358" s="509"/>
      <c r="AB358" s="509"/>
      <c r="AC358" s="509"/>
      <c r="AD358" s="509"/>
    </row>
    <row r="359" spans="3:30">
      <c r="C359" s="509"/>
      <c r="D359" s="509"/>
      <c r="E359" s="509"/>
      <c r="F359" s="509"/>
      <c r="G359" s="509"/>
      <c r="H359" s="509"/>
      <c r="I359" s="509"/>
      <c r="J359" s="509"/>
      <c r="K359" s="509"/>
      <c r="L359" s="509"/>
      <c r="M359" s="509"/>
      <c r="N359" s="509"/>
      <c r="O359" s="509"/>
      <c r="P359" s="509"/>
      <c r="Q359" s="509"/>
      <c r="R359" s="509"/>
      <c r="S359" s="509"/>
      <c r="T359" s="509"/>
      <c r="U359" s="509"/>
      <c r="V359" s="509"/>
      <c r="W359" s="509"/>
      <c r="X359" s="509"/>
      <c r="Y359" s="509"/>
      <c r="Z359" s="509"/>
      <c r="AA359" s="509"/>
      <c r="AB359" s="509"/>
      <c r="AC359" s="509"/>
      <c r="AD359" s="509"/>
    </row>
    <row r="360" spans="3:30">
      <c r="C360" s="509"/>
      <c r="D360" s="509"/>
      <c r="E360" s="509"/>
      <c r="F360" s="509"/>
      <c r="G360" s="509"/>
      <c r="H360" s="509"/>
      <c r="I360" s="509"/>
      <c r="J360" s="509"/>
      <c r="K360" s="509"/>
      <c r="L360" s="509"/>
      <c r="M360" s="509"/>
      <c r="N360" s="509"/>
      <c r="O360" s="509"/>
      <c r="P360" s="509"/>
      <c r="Q360" s="509"/>
      <c r="R360" s="509"/>
      <c r="S360" s="509"/>
      <c r="T360" s="509"/>
      <c r="U360" s="509"/>
      <c r="V360" s="509"/>
      <c r="W360" s="509"/>
      <c r="X360" s="509"/>
      <c r="Y360" s="509"/>
      <c r="Z360" s="509"/>
      <c r="AA360" s="509"/>
      <c r="AB360" s="509"/>
      <c r="AC360" s="509"/>
      <c r="AD360" s="509"/>
    </row>
    <row r="361" spans="3:30">
      <c r="C361" s="509"/>
      <c r="D361" s="509"/>
      <c r="E361" s="509"/>
      <c r="F361" s="509"/>
      <c r="G361" s="509"/>
      <c r="H361" s="509"/>
      <c r="I361" s="509"/>
      <c r="J361" s="509"/>
      <c r="K361" s="509"/>
      <c r="L361" s="509"/>
      <c r="M361" s="509"/>
      <c r="N361" s="509"/>
      <c r="O361" s="509"/>
      <c r="P361" s="509"/>
      <c r="Q361" s="509"/>
      <c r="R361" s="509"/>
      <c r="S361" s="509"/>
      <c r="T361" s="509"/>
      <c r="U361" s="509"/>
      <c r="V361" s="509"/>
      <c r="W361" s="509"/>
      <c r="X361" s="509"/>
      <c r="Y361" s="509"/>
      <c r="Z361" s="509"/>
      <c r="AA361" s="509"/>
      <c r="AB361" s="509"/>
      <c r="AC361" s="509"/>
      <c r="AD361" s="509"/>
    </row>
    <row r="362" spans="3:30">
      <c r="C362" s="509"/>
      <c r="D362" s="509"/>
      <c r="E362" s="509"/>
      <c r="F362" s="509"/>
      <c r="G362" s="509"/>
      <c r="H362" s="509"/>
      <c r="I362" s="509"/>
      <c r="J362" s="509"/>
      <c r="K362" s="509"/>
      <c r="L362" s="509"/>
      <c r="M362" s="509"/>
      <c r="N362" s="509"/>
      <c r="O362" s="509"/>
      <c r="P362" s="509"/>
      <c r="Q362" s="509"/>
      <c r="R362" s="509"/>
      <c r="S362" s="509"/>
      <c r="T362" s="509"/>
      <c r="U362" s="509"/>
      <c r="V362" s="509"/>
      <c r="W362" s="509"/>
      <c r="X362" s="509"/>
      <c r="Y362" s="509"/>
      <c r="Z362" s="509"/>
      <c r="AA362" s="509"/>
      <c r="AB362" s="509"/>
      <c r="AC362" s="509"/>
      <c r="AD362" s="509"/>
    </row>
    <row r="363" spans="3:30">
      <c r="C363" s="509"/>
      <c r="D363" s="509"/>
      <c r="E363" s="509"/>
      <c r="F363" s="509"/>
      <c r="G363" s="509"/>
      <c r="H363" s="509"/>
      <c r="I363" s="509"/>
      <c r="J363" s="509"/>
      <c r="K363" s="509"/>
      <c r="L363" s="509"/>
      <c r="M363" s="509"/>
      <c r="N363" s="509"/>
      <c r="O363" s="509"/>
      <c r="P363" s="509"/>
      <c r="Q363" s="509"/>
      <c r="R363" s="509"/>
      <c r="S363" s="509"/>
      <c r="T363" s="509"/>
      <c r="U363" s="509"/>
      <c r="V363" s="509"/>
      <c r="W363" s="509"/>
      <c r="X363" s="509"/>
      <c r="Y363" s="509"/>
      <c r="Z363" s="509"/>
      <c r="AA363" s="509"/>
      <c r="AB363" s="509"/>
      <c r="AC363" s="509"/>
      <c r="AD363" s="509"/>
    </row>
    <row r="364" spans="3:30">
      <c r="C364" s="509"/>
      <c r="D364" s="509"/>
      <c r="E364" s="509"/>
      <c r="F364" s="509"/>
      <c r="G364" s="509"/>
      <c r="H364" s="509"/>
      <c r="I364" s="509"/>
      <c r="J364" s="509"/>
      <c r="K364" s="509"/>
      <c r="L364" s="509"/>
      <c r="M364" s="509"/>
      <c r="N364" s="509"/>
      <c r="O364" s="509"/>
      <c r="P364" s="509"/>
      <c r="Q364" s="509"/>
      <c r="R364" s="509"/>
      <c r="S364" s="509"/>
      <c r="T364" s="509"/>
      <c r="U364" s="509"/>
      <c r="V364" s="509"/>
      <c r="W364" s="509"/>
      <c r="X364" s="509"/>
      <c r="Y364" s="509"/>
      <c r="Z364" s="509"/>
      <c r="AA364" s="509"/>
      <c r="AB364" s="509"/>
      <c r="AC364" s="509"/>
      <c r="AD364" s="509"/>
    </row>
    <row r="365" spans="3:30">
      <c r="C365" s="509"/>
      <c r="D365" s="509"/>
      <c r="E365" s="509"/>
      <c r="F365" s="509"/>
      <c r="G365" s="509"/>
      <c r="H365" s="509"/>
      <c r="I365" s="509"/>
      <c r="J365" s="509"/>
      <c r="K365" s="509"/>
      <c r="L365" s="509"/>
      <c r="M365" s="509"/>
      <c r="N365" s="509"/>
      <c r="O365" s="509"/>
      <c r="P365" s="509"/>
      <c r="Q365" s="509"/>
      <c r="R365" s="509"/>
      <c r="S365" s="509"/>
      <c r="T365" s="509"/>
      <c r="U365" s="509"/>
      <c r="V365" s="509"/>
      <c r="W365" s="509"/>
      <c r="X365" s="509"/>
      <c r="Y365" s="509"/>
      <c r="Z365" s="509"/>
      <c r="AA365" s="509"/>
      <c r="AB365" s="509"/>
      <c r="AC365" s="509"/>
      <c r="AD365" s="509"/>
    </row>
    <row r="366" spans="3:30">
      <c r="C366" s="509"/>
      <c r="D366" s="509"/>
      <c r="E366" s="509"/>
      <c r="F366" s="509"/>
      <c r="G366" s="509"/>
      <c r="H366" s="509"/>
      <c r="I366" s="509"/>
      <c r="J366" s="509"/>
      <c r="K366" s="509"/>
      <c r="L366" s="509"/>
      <c r="M366" s="509"/>
      <c r="N366" s="509"/>
      <c r="O366" s="509"/>
      <c r="P366" s="509"/>
      <c r="Q366" s="509"/>
      <c r="R366" s="509"/>
      <c r="S366" s="509"/>
      <c r="T366" s="509"/>
      <c r="U366" s="509"/>
      <c r="V366" s="509"/>
      <c r="W366" s="509"/>
      <c r="X366" s="509"/>
      <c r="Y366" s="509"/>
      <c r="Z366" s="509"/>
      <c r="AA366" s="509"/>
      <c r="AB366" s="509"/>
      <c r="AC366" s="509"/>
      <c r="AD366" s="509"/>
    </row>
    <row r="367" spans="3:30">
      <c r="C367" s="509"/>
      <c r="D367" s="509"/>
      <c r="E367" s="509"/>
      <c r="F367" s="509"/>
      <c r="G367" s="509"/>
      <c r="H367" s="509"/>
      <c r="I367" s="509"/>
      <c r="J367" s="509"/>
      <c r="K367" s="509"/>
      <c r="L367" s="509"/>
      <c r="M367" s="509"/>
      <c r="N367" s="509"/>
      <c r="O367" s="509"/>
      <c r="P367" s="509"/>
      <c r="Q367" s="509"/>
      <c r="R367" s="509"/>
      <c r="S367" s="509"/>
      <c r="T367" s="509"/>
      <c r="U367" s="509"/>
      <c r="V367" s="509"/>
      <c r="W367" s="509"/>
      <c r="X367" s="509"/>
      <c r="Y367" s="509"/>
      <c r="Z367" s="509"/>
      <c r="AA367" s="509"/>
      <c r="AB367" s="509"/>
      <c r="AC367" s="509"/>
      <c r="AD367" s="509"/>
    </row>
    <row r="368" spans="3:30">
      <c r="C368" s="509"/>
      <c r="D368" s="509"/>
      <c r="E368" s="509"/>
      <c r="F368" s="509"/>
      <c r="G368" s="509"/>
      <c r="H368" s="509"/>
      <c r="I368" s="509"/>
      <c r="J368" s="509"/>
      <c r="K368" s="509"/>
      <c r="L368" s="509"/>
      <c r="M368" s="509"/>
      <c r="N368" s="509"/>
      <c r="O368" s="509"/>
      <c r="P368" s="509"/>
      <c r="Q368" s="509"/>
      <c r="R368" s="509"/>
      <c r="S368" s="509"/>
      <c r="T368" s="509"/>
      <c r="U368" s="509"/>
      <c r="V368" s="509"/>
      <c r="W368" s="509"/>
      <c r="X368" s="509"/>
      <c r="Y368" s="509"/>
      <c r="Z368" s="509"/>
      <c r="AA368" s="509"/>
      <c r="AB368" s="509"/>
      <c r="AC368" s="509"/>
      <c r="AD368" s="509"/>
    </row>
  </sheetData>
  <mergeCells count="12">
    <mergeCell ref="A44:B44"/>
    <mergeCell ref="C7:F7"/>
    <mergeCell ref="G7:J7"/>
    <mergeCell ref="K7:N7"/>
    <mergeCell ref="O7:R7"/>
    <mergeCell ref="W7:Z7"/>
    <mergeCell ref="S7:V7"/>
    <mergeCell ref="A1:AD1"/>
    <mergeCell ref="A2:AD2"/>
    <mergeCell ref="A3:AD3"/>
    <mergeCell ref="A4:AD4"/>
    <mergeCell ref="AA7:AD7"/>
  </mergeCells>
  <phoneticPr fontId="19" type="noConversion"/>
  <pageMargins left="0.39370078740157483" right="0" top="0.98425196850393704" bottom="0.98425196850393704" header="0" footer="0"/>
  <pageSetup paperSize="5" scale="69" orientation="landscape" horizontalDpi="300"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54"/>
  <sheetViews>
    <sheetView topLeftCell="H43" workbookViewId="0">
      <selection activeCell="F20" sqref="F20"/>
    </sheetView>
  </sheetViews>
  <sheetFormatPr baseColWidth="10" defaultColWidth="11.42578125" defaultRowHeight="12"/>
  <cols>
    <col min="1" max="1" width="12.28515625" style="398" customWidth="1"/>
    <col min="2" max="2" width="18.5703125" style="398" customWidth="1"/>
    <col min="3" max="34" width="7.140625" style="398" customWidth="1"/>
    <col min="35" max="16384" width="11.42578125" style="398"/>
  </cols>
  <sheetData>
    <row r="1" spans="1:31">
      <c r="A1" s="1393" t="s">
        <v>954</v>
      </c>
      <c r="B1" s="1393"/>
      <c r="C1" s="1393"/>
      <c r="D1" s="1393"/>
      <c r="E1" s="1393"/>
      <c r="F1" s="1393"/>
      <c r="G1" s="1393"/>
      <c r="H1" s="1393"/>
      <c r="I1" s="1393"/>
      <c r="J1" s="1393"/>
      <c r="K1" s="1393"/>
      <c r="L1" s="1393"/>
      <c r="M1" s="1393"/>
      <c r="N1" s="1393"/>
      <c r="O1" s="1393"/>
      <c r="P1" s="1393"/>
      <c r="Q1" s="1393"/>
      <c r="R1" s="1393"/>
      <c r="S1" s="1393"/>
      <c r="T1" s="1393"/>
      <c r="U1" s="1393"/>
      <c r="V1" s="1393"/>
      <c r="W1" s="1393"/>
      <c r="X1" s="1393"/>
      <c r="Y1" s="1393"/>
      <c r="Z1" s="1393"/>
      <c r="AA1" s="1393"/>
      <c r="AB1" s="1393"/>
      <c r="AC1" s="1393"/>
      <c r="AD1" s="1393"/>
    </row>
    <row r="2" spans="1:31">
      <c r="A2" s="1393" t="s">
        <v>972</v>
      </c>
      <c r="B2" s="1393"/>
      <c r="C2" s="1393"/>
      <c r="D2" s="1393"/>
      <c r="E2" s="1393"/>
      <c r="F2" s="1393"/>
      <c r="G2" s="1393"/>
      <c r="H2" s="1393"/>
      <c r="I2" s="1393"/>
      <c r="J2" s="1393"/>
      <c r="K2" s="1393"/>
      <c r="L2" s="1393"/>
      <c r="M2" s="1393"/>
      <c r="N2" s="1393"/>
      <c r="O2" s="1393"/>
      <c r="P2" s="1393"/>
      <c r="Q2" s="1393"/>
      <c r="R2" s="1393"/>
      <c r="S2" s="1393"/>
      <c r="T2" s="1393"/>
      <c r="U2" s="1393"/>
      <c r="V2" s="1393"/>
      <c r="W2" s="1393"/>
      <c r="X2" s="1393"/>
      <c r="Y2" s="1393"/>
      <c r="Z2" s="1393"/>
      <c r="AA2" s="1393"/>
      <c r="AB2" s="1393"/>
      <c r="AC2" s="1393"/>
      <c r="AD2" s="1393"/>
    </row>
    <row r="3" spans="1:31">
      <c r="A3" s="1393" t="s">
        <v>910</v>
      </c>
      <c r="B3" s="1393"/>
      <c r="C3" s="1393"/>
      <c r="D3" s="1393"/>
      <c r="E3" s="1393"/>
      <c r="F3" s="1393"/>
      <c r="G3" s="1393"/>
      <c r="H3" s="1393"/>
      <c r="I3" s="1393"/>
      <c r="J3" s="1393"/>
      <c r="K3" s="1393"/>
      <c r="L3" s="1393"/>
      <c r="M3" s="1393"/>
      <c r="N3" s="1393"/>
      <c r="O3" s="1393"/>
      <c r="P3" s="1393"/>
      <c r="Q3" s="1393"/>
      <c r="R3" s="1393"/>
      <c r="S3" s="1393"/>
      <c r="T3" s="1393"/>
      <c r="U3" s="1393"/>
      <c r="V3" s="1393"/>
      <c r="W3" s="1393"/>
      <c r="X3" s="1393"/>
      <c r="Y3" s="1393"/>
      <c r="Z3" s="1393"/>
      <c r="AA3" s="1393"/>
      <c r="AB3" s="1393"/>
      <c r="AC3" s="1393"/>
      <c r="AD3" s="1393"/>
    </row>
    <row r="4" spans="1:31">
      <c r="A4" s="1393" t="str">
        <f>+'44'!A4:AD4</f>
        <v>2012 - 2015</v>
      </c>
      <c r="B4" s="1393"/>
      <c r="C4" s="1393"/>
      <c r="D4" s="1393"/>
      <c r="E4" s="1393"/>
      <c r="F4" s="1393"/>
      <c r="G4" s="1393"/>
      <c r="H4" s="1393"/>
      <c r="I4" s="1393"/>
      <c r="J4" s="1393"/>
      <c r="K4" s="1393"/>
      <c r="L4" s="1393"/>
      <c r="M4" s="1393"/>
      <c r="N4" s="1393"/>
      <c r="O4" s="1393"/>
      <c r="P4" s="1393"/>
      <c r="Q4" s="1393"/>
      <c r="R4" s="1393"/>
      <c r="S4" s="1393"/>
      <c r="T4" s="1393"/>
      <c r="U4" s="1393"/>
      <c r="V4" s="1393"/>
      <c r="W4" s="1393"/>
      <c r="X4" s="1393"/>
      <c r="Y4" s="1393"/>
      <c r="Z4" s="1393"/>
      <c r="AA4" s="1393"/>
      <c r="AB4" s="1393"/>
      <c r="AC4" s="1393"/>
      <c r="AD4" s="1393"/>
    </row>
    <row r="7" spans="1:31" s="507" customFormat="1" ht="22.5" customHeight="1">
      <c r="A7" s="1184" t="s">
        <v>554</v>
      </c>
      <c r="B7" s="506" t="s">
        <v>866</v>
      </c>
      <c r="C7" s="1389" t="s">
        <v>956</v>
      </c>
      <c r="D7" s="1389"/>
      <c r="E7" s="1389"/>
      <c r="F7" s="1390"/>
      <c r="G7" s="1389" t="s">
        <v>957</v>
      </c>
      <c r="H7" s="1389"/>
      <c r="I7" s="1389"/>
      <c r="J7" s="1389"/>
      <c r="K7" s="1388" t="s">
        <v>958</v>
      </c>
      <c r="L7" s="1389"/>
      <c r="M7" s="1389"/>
      <c r="N7" s="1390"/>
      <c r="O7" s="1389" t="s">
        <v>959</v>
      </c>
      <c r="P7" s="1389"/>
      <c r="Q7" s="1389"/>
      <c r="R7" s="1389"/>
      <c r="S7" s="1388" t="s">
        <v>960</v>
      </c>
      <c r="T7" s="1389"/>
      <c r="U7" s="1389"/>
      <c r="V7" s="1390"/>
      <c r="W7" s="1389" t="s">
        <v>961</v>
      </c>
      <c r="X7" s="1389"/>
      <c r="Y7" s="1389"/>
      <c r="Z7" s="1389"/>
      <c r="AA7" s="1388" t="s">
        <v>656</v>
      </c>
      <c r="AB7" s="1389"/>
      <c r="AC7" s="1389"/>
      <c r="AD7" s="1390"/>
    </row>
    <row r="8" spans="1:31" s="507" customFormat="1" ht="22.5" customHeight="1">
      <c r="A8" s="487"/>
      <c r="B8" s="523"/>
      <c r="C8" s="489">
        <f>+'41'!C8</f>
        <v>2012</v>
      </c>
      <c r="D8" s="489">
        <f>+'41'!D8</f>
        <v>2013</v>
      </c>
      <c r="E8" s="489">
        <f>+'41'!E8</f>
        <v>2014</v>
      </c>
      <c r="F8" s="490">
        <f>+'41'!F8</f>
        <v>2015</v>
      </c>
      <c r="G8" s="488">
        <f>+'41'!G8</f>
        <v>2012</v>
      </c>
      <c r="H8" s="489">
        <f>+'41'!H8</f>
        <v>2013</v>
      </c>
      <c r="I8" s="489">
        <f>+'41'!I8</f>
        <v>2014</v>
      </c>
      <c r="J8" s="490">
        <f>+'41'!J8</f>
        <v>2015</v>
      </c>
      <c r="K8" s="489">
        <f>+'41'!K8</f>
        <v>2012</v>
      </c>
      <c r="L8" s="489">
        <f>+'41'!L8</f>
        <v>2013</v>
      </c>
      <c r="M8" s="489">
        <f>+'41'!M8</f>
        <v>2014</v>
      </c>
      <c r="N8" s="489">
        <f>+'41'!N8</f>
        <v>2015</v>
      </c>
      <c r="O8" s="488">
        <f>+'41'!O8</f>
        <v>2012</v>
      </c>
      <c r="P8" s="489">
        <f>+'41'!P8</f>
        <v>2013</v>
      </c>
      <c r="Q8" s="489">
        <f>+'41'!Q8</f>
        <v>2014</v>
      </c>
      <c r="R8" s="490">
        <f>+'41'!R8</f>
        <v>2015</v>
      </c>
      <c r="S8" s="489">
        <f>+'41'!S8</f>
        <v>2012</v>
      </c>
      <c r="T8" s="489">
        <f>+'41'!T8</f>
        <v>2013</v>
      </c>
      <c r="U8" s="489">
        <f>+'41'!U8</f>
        <v>2014</v>
      </c>
      <c r="V8" s="490">
        <f>+'41'!V8</f>
        <v>2015</v>
      </c>
      <c r="W8" s="488">
        <f>+'41'!W8</f>
        <v>2012</v>
      </c>
      <c r="X8" s="489">
        <f>+'41'!X8</f>
        <v>2013</v>
      </c>
      <c r="Y8" s="489">
        <f>+'41'!Y8</f>
        <v>2014</v>
      </c>
      <c r="Z8" s="490">
        <f>+'41'!Z8</f>
        <v>2015</v>
      </c>
      <c r="AA8" s="488">
        <f>+'41'!AA8</f>
        <v>2012</v>
      </c>
      <c r="AB8" s="489">
        <f>+'41'!AB8</f>
        <v>2013</v>
      </c>
      <c r="AC8" s="489">
        <f>+'41'!AC8</f>
        <v>2014</v>
      </c>
      <c r="AD8" s="490">
        <f>+'41'!AD8</f>
        <v>2015</v>
      </c>
    </row>
    <row r="9" spans="1:31" s="507" customFormat="1" ht="22.5" customHeight="1">
      <c r="A9" s="505" t="s">
        <v>962</v>
      </c>
      <c r="B9" s="299" t="s">
        <v>1480</v>
      </c>
      <c r="C9" s="514">
        <v>6561</v>
      </c>
      <c r="D9" s="514">
        <v>5922</v>
      </c>
      <c r="E9" s="514">
        <v>6573</v>
      </c>
      <c r="F9" s="515">
        <v>7791</v>
      </c>
      <c r="G9" s="514">
        <v>1953</v>
      </c>
      <c r="H9" s="514">
        <v>1829</v>
      </c>
      <c r="I9" s="514">
        <v>2278</v>
      </c>
      <c r="J9" s="515">
        <v>1792</v>
      </c>
      <c r="K9" s="514">
        <v>94</v>
      </c>
      <c r="L9" s="514">
        <v>75</v>
      </c>
      <c r="M9" s="514">
        <v>208</v>
      </c>
      <c r="N9" s="515">
        <v>41</v>
      </c>
      <c r="O9" s="514">
        <v>1562</v>
      </c>
      <c r="P9" s="514">
        <v>1218</v>
      </c>
      <c r="Q9" s="514">
        <v>1425</v>
      </c>
      <c r="R9" s="515">
        <v>1626</v>
      </c>
      <c r="S9" s="514">
        <v>110</v>
      </c>
      <c r="T9" s="514">
        <v>108</v>
      </c>
      <c r="U9" s="514">
        <v>138</v>
      </c>
      <c r="V9" s="515">
        <v>144</v>
      </c>
      <c r="W9" s="514">
        <v>444</v>
      </c>
      <c r="X9" s="514">
        <v>412</v>
      </c>
      <c r="Y9" s="514">
        <v>57</v>
      </c>
      <c r="Z9" s="514">
        <v>15</v>
      </c>
      <c r="AA9" s="516">
        <f t="shared" ref="AA9:AD12" si="0">+W9+S9+O9+K9+G9+C9</f>
        <v>10724</v>
      </c>
      <c r="AB9" s="514">
        <f t="shared" si="0"/>
        <v>9564</v>
      </c>
      <c r="AC9" s="514">
        <f t="shared" si="0"/>
        <v>10679</v>
      </c>
      <c r="AD9" s="492">
        <f t="shared" si="0"/>
        <v>11409</v>
      </c>
      <c r="AE9" s="517"/>
    </row>
    <row r="10" spans="1:31" s="507" customFormat="1" ht="22.5" customHeight="1">
      <c r="A10" s="491"/>
      <c r="B10" s="299" t="s">
        <v>1481</v>
      </c>
      <c r="C10" s="514">
        <v>7331</v>
      </c>
      <c r="D10" s="514">
        <v>6590</v>
      </c>
      <c r="E10" s="514">
        <v>6129</v>
      </c>
      <c r="F10" s="515">
        <v>5957</v>
      </c>
      <c r="G10" s="514">
        <v>916</v>
      </c>
      <c r="H10" s="514">
        <v>907</v>
      </c>
      <c r="I10" s="514">
        <v>1170</v>
      </c>
      <c r="J10" s="515">
        <v>1073</v>
      </c>
      <c r="K10" s="514">
        <v>16</v>
      </c>
      <c r="L10" s="514">
        <v>4</v>
      </c>
      <c r="M10" s="514">
        <v>4</v>
      </c>
      <c r="N10" s="515">
        <v>25</v>
      </c>
      <c r="O10" s="514">
        <v>1482</v>
      </c>
      <c r="P10" s="514">
        <v>1531</v>
      </c>
      <c r="Q10" s="514">
        <v>2626</v>
      </c>
      <c r="R10" s="515">
        <v>1639</v>
      </c>
      <c r="S10" s="514">
        <v>118</v>
      </c>
      <c r="T10" s="514">
        <v>82</v>
      </c>
      <c r="U10" s="514">
        <v>73</v>
      </c>
      <c r="V10" s="515">
        <v>104</v>
      </c>
      <c r="W10" s="514">
        <v>186</v>
      </c>
      <c r="X10" s="514">
        <v>20</v>
      </c>
      <c r="Y10" s="514"/>
      <c r="Z10" s="514"/>
      <c r="AA10" s="516">
        <f t="shared" si="0"/>
        <v>10049</v>
      </c>
      <c r="AB10" s="514">
        <f t="shared" si="0"/>
        <v>9134</v>
      </c>
      <c r="AC10" s="514">
        <f t="shared" si="0"/>
        <v>10002</v>
      </c>
      <c r="AD10" s="492">
        <f t="shared" si="0"/>
        <v>8798</v>
      </c>
      <c r="AE10" s="517"/>
    </row>
    <row r="11" spans="1:31" s="507" customFormat="1" ht="22.5" customHeight="1">
      <c r="A11" s="491"/>
      <c r="B11" s="343" t="s">
        <v>829</v>
      </c>
      <c r="C11" s="370">
        <v>698</v>
      </c>
      <c r="D11" s="370">
        <v>659</v>
      </c>
      <c r="E11" s="370">
        <v>852</v>
      </c>
      <c r="F11" s="492">
        <v>978</v>
      </c>
      <c r="G11" s="370">
        <v>177</v>
      </c>
      <c r="H11" s="370">
        <v>174</v>
      </c>
      <c r="I11" s="370">
        <v>173</v>
      </c>
      <c r="J11" s="492">
        <v>122</v>
      </c>
      <c r="K11" s="370">
        <v>3</v>
      </c>
      <c r="L11" s="370">
        <v>8</v>
      </c>
      <c r="M11" s="370">
        <v>12</v>
      </c>
      <c r="N11" s="492">
        <v>2</v>
      </c>
      <c r="O11" s="370">
        <v>150</v>
      </c>
      <c r="P11" s="370">
        <v>107</v>
      </c>
      <c r="Q11" s="370">
        <v>153</v>
      </c>
      <c r="R11" s="492">
        <v>146</v>
      </c>
      <c r="S11" s="370">
        <v>8</v>
      </c>
      <c r="T11" s="370">
        <v>15</v>
      </c>
      <c r="U11" s="370">
        <v>14</v>
      </c>
      <c r="V11" s="492">
        <v>7</v>
      </c>
      <c r="W11" s="370">
        <v>43</v>
      </c>
      <c r="X11" s="370">
        <v>26</v>
      </c>
      <c r="Y11" s="370">
        <v>26</v>
      </c>
      <c r="Z11" s="370"/>
      <c r="AA11" s="516">
        <f t="shared" si="0"/>
        <v>1079</v>
      </c>
      <c r="AB11" s="514">
        <f t="shared" si="0"/>
        <v>989</v>
      </c>
      <c r="AC11" s="514">
        <f t="shared" si="0"/>
        <v>1230</v>
      </c>
      <c r="AD11" s="492">
        <f t="shared" si="0"/>
        <v>1255</v>
      </c>
      <c r="AE11" s="517"/>
    </row>
    <row r="12" spans="1:31" s="507" customFormat="1" ht="22.5" customHeight="1">
      <c r="A12" s="491"/>
      <c r="B12" s="299" t="s">
        <v>1282</v>
      </c>
      <c r="C12" s="370">
        <v>200</v>
      </c>
      <c r="D12" s="370">
        <v>154</v>
      </c>
      <c r="E12" s="370">
        <v>177</v>
      </c>
      <c r="F12" s="492">
        <v>157</v>
      </c>
      <c r="G12" s="370">
        <v>52</v>
      </c>
      <c r="H12" s="370">
        <v>65</v>
      </c>
      <c r="I12" s="370">
        <v>70</v>
      </c>
      <c r="J12" s="492">
        <v>62</v>
      </c>
      <c r="K12" s="370"/>
      <c r="L12" s="370">
        <v>3</v>
      </c>
      <c r="M12" s="370">
        <v>11</v>
      </c>
      <c r="N12" s="492">
        <v>1</v>
      </c>
      <c r="O12" s="370">
        <v>32</v>
      </c>
      <c r="P12" s="370">
        <v>24</v>
      </c>
      <c r="Q12" s="370">
        <v>32</v>
      </c>
      <c r="R12" s="492">
        <v>41</v>
      </c>
      <c r="S12" s="370">
        <v>4</v>
      </c>
      <c r="T12" s="370">
        <v>7</v>
      </c>
      <c r="U12" s="370">
        <v>5</v>
      </c>
      <c r="V12" s="492">
        <v>2</v>
      </c>
      <c r="W12" s="370">
        <v>6</v>
      </c>
      <c r="X12" s="370">
        <v>12</v>
      </c>
      <c r="Y12" s="370">
        <v>7</v>
      </c>
      <c r="Z12" s="370">
        <v>8</v>
      </c>
      <c r="AA12" s="516">
        <f t="shared" si="0"/>
        <v>294</v>
      </c>
      <c r="AB12" s="514">
        <f t="shared" si="0"/>
        <v>265</v>
      </c>
      <c r="AC12" s="514">
        <f t="shared" si="0"/>
        <v>302</v>
      </c>
      <c r="AD12" s="492">
        <f>+Z12+V12+R12+N12+J12+F12</f>
        <v>271</v>
      </c>
      <c r="AE12" s="517"/>
    </row>
    <row r="13" spans="1:31" s="507" customFormat="1" ht="22.5" customHeight="1">
      <c r="A13" s="491"/>
      <c r="B13" s="343" t="s">
        <v>644</v>
      </c>
      <c r="C13" s="370">
        <f t="shared" ref="C13" si="1">SUM(C9:C12)</f>
        <v>14790</v>
      </c>
      <c r="D13" s="370">
        <f>SUM(D9:D12)</f>
        <v>13325</v>
      </c>
      <c r="E13" s="370">
        <f>SUM(E9:E12)</f>
        <v>13731</v>
      </c>
      <c r="F13" s="492">
        <f>SUM(F9:F12)</f>
        <v>14883</v>
      </c>
      <c r="G13" s="370">
        <f t="shared" ref="G13:I13" si="2">SUM(G9:G12)</f>
        <v>3098</v>
      </c>
      <c r="H13" s="370">
        <f t="shared" si="2"/>
        <v>2975</v>
      </c>
      <c r="I13" s="370">
        <f t="shared" si="2"/>
        <v>3691</v>
      </c>
      <c r="J13" s="492">
        <f t="shared" ref="J13:AD13" si="3">SUM(J9:J12)</f>
        <v>3049</v>
      </c>
      <c r="K13" s="370">
        <f t="shared" ref="K13:M13" si="4">SUM(K9:K12)</f>
        <v>113</v>
      </c>
      <c r="L13" s="370">
        <f t="shared" si="4"/>
        <v>90</v>
      </c>
      <c r="M13" s="370">
        <f t="shared" si="4"/>
        <v>235</v>
      </c>
      <c r="N13" s="492">
        <f t="shared" si="3"/>
        <v>69</v>
      </c>
      <c r="O13" s="370">
        <f t="shared" ref="O13:Q13" si="5">SUM(O9:O12)</f>
        <v>3226</v>
      </c>
      <c r="P13" s="370">
        <f t="shared" si="5"/>
        <v>2880</v>
      </c>
      <c r="Q13" s="370">
        <f t="shared" si="5"/>
        <v>4236</v>
      </c>
      <c r="R13" s="492">
        <f t="shared" si="3"/>
        <v>3452</v>
      </c>
      <c r="S13" s="370">
        <f t="shared" ref="S13:U13" si="6">SUM(S9:S12)</f>
        <v>240</v>
      </c>
      <c r="T13" s="370">
        <f t="shared" si="6"/>
        <v>212</v>
      </c>
      <c r="U13" s="370">
        <f t="shared" si="6"/>
        <v>230</v>
      </c>
      <c r="V13" s="492">
        <f t="shared" si="3"/>
        <v>257</v>
      </c>
      <c r="W13" s="370">
        <f t="shared" ref="W13:Y13" si="7">SUM(W9:W12)</f>
        <v>679</v>
      </c>
      <c r="X13" s="370">
        <f t="shared" si="7"/>
        <v>470</v>
      </c>
      <c r="Y13" s="370">
        <f t="shared" si="7"/>
        <v>90</v>
      </c>
      <c r="Z13" s="492">
        <f t="shared" si="3"/>
        <v>23</v>
      </c>
      <c r="AA13" s="369">
        <f t="shared" si="3"/>
        <v>22146</v>
      </c>
      <c r="AB13" s="370">
        <f t="shared" si="3"/>
        <v>19952</v>
      </c>
      <c r="AC13" s="370">
        <f t="shared" si="3"/>
        <v>22213</v>
      </c>
      <c r="AD13" s="492">
        <f t="shared" si="3"/>
        <v>21733</v>
      </c>
      <c r="AE13" s="517"/>
    </row>
    <row r="14" spans="1:31" s="507" customFormat="1" ht="22.5" customHeight="1">
      <c r="A14" s="491" t="s">
        <v>540</v>
      </c>
      <c r="B14" s="343" t="s">
        <v>830</v>
      </c>
      <c r="C14" s="514">
        <v>2767</v>
      </c>
      <c r="D14" s="514">
        <v>2503</v>
      </c>
      <c r="E14" s="370">
        <v>3175</v>
      </c>
      <c r="F14" s="492">
        <v>3245</v>
      </c>
      <c r="G14" s="514">
        <v>363</v>
      </c>
      <c r="H14" s="514">
        <v>592</v>
      </c>
      <c r="I14" s="370">
        <v>738</v>
      </c>
      <c r="J14" s="492">
        <v>490</v>
      </c>
      <c r="K14" s="514">
        <v>4</v>
      </c>
      <c r="L14" s="514">
        <v>22</v>
      </c>
      <c r="M14" s="370">
        <v>60</v>
      </c>
      <c r="N14" s="492">
        <v>15</v>
      </c>
      <c r="O14" s="514">
        <v>204</v>
      </c>
      <c r="P14" s="514">
        <v>210</v>
      </c>
      <c r="Q14" s="370">
        <v>553</v>
      </c>
      <c r="R14" s="492">
        <v>251</v>
      </c>
      <c r="S14" s="514">
        <v>208</v>
      </c>
      <c r="T14" s="514">
        <v>367</v>
      </c>
      <c r="U14" s="370">
        <v>662</v>
      </c>
      <c r="V14" s="492">
        <v>982</v>
      </c>
      <c r="W14" s="514"/>
      <c r="X14" s="514"/>
      <c r="Y14" s="370"/>
      <c r="Z14" s="492"/>
      <c r="AA14" s="516">
        <f>+W14+S14+O14+K14+G14+C14</f>
        <v>3546</v>
      </c>
      <c r="AB14" s="514">
        <f>+X14+T14+P14+L14+H14+D14</f>
        <v>3694</v>
      </c>
      <c r="AC14" s="514">
        <f>+Y14+U14+Q14+M14+I14+E14</f>
        <v>5188</v>
      </c>
      <c r="AD14" s="492">
        <f>+Z14+V14+R14+N14+J14+F14</f>
        <v>4983</v>
      </c>
      <c r="AE14" s="517"/>
    </row>
    <row r="15" spans="1:31" s="507" customFormat="1" ht="22.5" customHeight="1">
      <c r="A15" s="491"/>
      <c r="B15" s="299" t="s">
        <v>1287</v>
      </c>
      <c r="C15" s="514">
        <v>698</v>
      </c>
      <c r="D15" s="514">
        <v>308</v>
      </c>
      <c r="E15" s="370">
        <v>379</v>
      </c>
      <c r="F15" s="492">
        <v>414</v>
      </c>
      <c r="G15" s="514">
        <v>177</v>
      </c>
      <c r="H15" s="514">
        <v>96</v>
      </c>
      <c r="I15" s="370">
        <v>169</v>
      </c>
      <c r="J15" s="492">
        <v>75</v>
      </c>
      <c r="K15" s="514">
        <v>3</v>
      </c>
      <c r="L15" s="514">
        <v>5</v>
      </c>
      <c r="M15" s="370">
        <v>12</v>
      </c>
      <c r="N15" s="492">
        <v>5</v>
      </c>
      <c r="O15" s="514">
        <v>150</v>
      </c>
      <c r="P15" s="514">
        <v>22</v>
      </c>
      <c r="Q15" s="370">
        <v>72</v>
      </c>
      <c r="R15" s="492">
        <v>24</v>
      </c>
      <c r="S15" s="514">
        <v>8</v>
      </c>
      <c r="T15" s="514"/>
      <c r="U15" s="370"/>
      <c r="V15" s="492"/>
      <c r="W15" s="514">
        <v>43</v>
      </c>
      <c r="X15" s="514"/>
      <c r="Y15" s="370"/>
      <c r="Z15" s="492"/>
      <c r="AA15" s="516">
        <f t="shared" ref="AA15:AA16" si="8">+W15+S15+O15+K15+G15+C15</f>
        <v>1079</v>
      </c>
      <c r="AB15" s="514">
        <f t="shared" ref="AB15:AD16" si="9">+X15+T15+P15+L15+H15+D15</f>
        <v>431</v>
      </c>
      <c r="AC15" s="514">
        <f t="shared" si="9"/>
        <v>632</v>
      </c>
      <c r="AD15" s="492">
        <f t="shared" si="9"/>
        <v>518</v>
      </c>
      <c r="AE15" s="517"/>
    </row>
    <row r="16" spans="1:31" s="507" customFormat="1" ht="22.5" customHeight="1">
      <c r="A16" s="491"/>
      <c r="B16" s="299" t="s">
        <v>1284</v>
      </c>
      <c r="C16" s="514">
        <v>508</v>
      </c>
      <c r="D16" s="514">
        <v>516</v>
      </c>
      <c r="E16" s="370">
        <v>606</v>
      </c>
      <c r="F16" s="492">
        <v>550</v>
      </c>
      <c r="G16" s="514">
        <v>117</v>
      </c>
      <c r="H16" s="514">
        <v>138</v>
      </c>
      <c r="I16" s="370">
        <v>160</v>
      </c>
      <c r="J16" s="492">
        <v>137</v>
      </c>
      <c r="K16" s="514">
        <v>2</v>
      </c>
      <c r="L16" s="514">
        <v>18</v>
      </c>
      <c r="M16" s="370">
        <v>7</v>
      </c>
      <c r="N16" s="492">
        <v>6</v>
      </c>
      <c r="O16" s="514">
        <v>52</v>
      </c>
      <c r="P16" s="514">
        <v>55</v>
      </c>
      <c r="Q16" s="370">
        <v>91</v>
      </c>
      <c r="R16" s="492">
        <v>69</v>
      </c>
      <c r="S16" s="514"/>
      <c r="T16" s="514"/>
      <c r="U16" s="370"/>
      <c r="V16" s="492"/>
      <c r="W16" s="514"/>
      <c r="X16" s="514">
        <v>6</v>
      </c>
      <c r="Y16" s="370"/>
      <c r="Z16" s="492"/>
      <c r="AA16" s="516">
        <f t="shared" si="8"/>
        <v>679</v>
      </c>
      <c r="AB16" s="514">
        <f t="shared" si="9"/>
        <v>733</v>
      </c>
      <c r="AC16" s="514">
        <f t="shared" si="9"/>
        <v>864</v>
      </c>
      <c r="AD16" s="492">
        <f t="shared" si="9"/>
        <v>762</v>
      </c>
      <c r="AE16" s="517"/>
    </row>
    <row r="17" spans="1:44" s="507" customFormat="1" ht="22.5" customHeight="1">
      <c r="A17" s="491"/>
      <c r="B17" s="343" t="s">
        <v>644</v>
      </c>
      <c r="C17" s="370">
        <f t="shared" ref="C17" si="10">SUM(C14:C16)</f>
        <v>3973</v>
      </c>
      <c r="D17" s="370">
        <f>SUM(D14:D16)</f>
        <v>3327</v>
      </c>
      <c r="E17" s="370">
        <f>SUM(E14:E16)</f>
        <v>4160</v>
      </c>
      <c r="F17" s="492">
        <f>SUM(F14:F16)</f>
        <v>4209</v>
      </c>
      <c r="G17" s="370">
        <f t="shared" ref="G17:I17" si="11">SUM(G14:G16)</f>
        <v>657</v>
      </c>
      <c r="H17" s="370">
        <f t="shared" si="11"/>
        <v>826</v>
      </c>
      <c r="I17" s="370">
        <f t="shared" si="11"/>
        <v>1067</v>
      </c>
      <c r="J17" s="492">
        <f t="shared" ref="J17:AD17" si="12">SUM(J14:J16)</f>
        <v>702</v>
      </c>
      <c r="K17" s="370">
        <f t="shared" ref="K17:M17" si="13">SUM(K14:K16)</f>
        <v>9</v>
      </c>
      <c r="L17" s="370">
        <f t="shared" si="13"/>
        <v>45</v>
      </c>
      <c r="M17" s="370">
        <f t="shared" si="13"/>
        <v>79</v>
      </c>
      <c r="N17" s="492">
        <f t="shared" si="12"/>
        <v>26</v>
      </c>
      <c r="O17" s="370">
        <f t="shared" ref="O17:Q17" si="14">SUM(O14:O16)</f>
        <v>406</v>
      </c>
      <c r="P17" s="370">
        <f t="shared" si="14"/>
        <v>287</v>
      </c>
      <c r="Q17" s="370">
        <f t="shared" si="14"/>
        <v>716</v>
      </c>
      <c r="R17" s="492">
        <f t="shared" si="12"/>
        <v>344</v>
      </c>
      <c r="S17" s="370">
        <f t="shared" ref="S17:U17" si="15">SUM(S14:S16)</f>
        <v>216</v>
      </c>
      <c r="T17" s="370">
        <f t="shared" si="15"/>
        <v>367</v>
      </c>
      <c r="U17" s="370">
        <f t="shared" si="15"/>
        <v>662</v>
      </c>
      <c r="V17" s="492">
        <f t="shared" si="12"/>
        <v>982</v>
      </c>
      <c r="W17" s="370">
        <f t="shared" ref="W17:Y17" si="16">SUM(W14:W16)</f>
        <v>43</v>
      </c>
      <c r="X17" s="370">
        <f t="shared" si="16"/>
        <v>6</v>
      </c>
      <c r="Y17" s="370">
        <f t="shared" si="16"/>
        <v>0</v>
      </c>
      <c r="Z17" s="492">
        <f t="shared" si="12"/>
        <v>0</v>
      </c>
      <c r="AA17" s="369">
        <f t="shared" si="12"/>
        <v>5304</v>
      </c>
      <c r="AB17" s="370">
        <f t="shared" si="12"/>
        <v>4858</v>
      </c>
      <c r="AC17" s="370">
        <f t="shared" si="12"/>
        <v>6684</v>
      </c>
      <c r="AD17" s="492">
        <f t="shared" si="12"/>
        <v>6263</v>
      </c>
      <c r="AE17" s="517"/>
    </row>
    <row r="18" spans="1:44" s="507" customFormat="1" ht="22.5" customHeight="1">
      <c r="A18" s="491" t="s">
        <v>963</v>
      </c>
      <c r="B18" s="343" t="s">
        <v>832</v>
      </c>
      <c r="C18" s="514">
        <v>2561</v>
      </c>
      <c r="D18" s="514">
        <v>1857</v>
      </c>
      <c r="E18" s="370">
        <v>2989</v>
      </c>
      <c r="F18" s="492">
        <v>2914</v>
      </c>
      <c r="G18" s="514">
        <v>366</v>
      </c>
      <c r="H18" s="514">
        <v>372</v>
      </c>
      <c r="I18" s="370">
        <v>287</v>
      </c>
      <c r="J18" s="492">
        <v>248</v>
      </c>
      <c r="K18" s="514">
        <v>19</v>
      </c>
      <c r="L18" s="514">
        <v>15</v>
      </c>
      <c r="M18" s="370">
        <v>185</v>
      </c>
      <c r="N18" s="492">
        <v>31</v>
      </c>
      <c r="O18" s="514">
        <v>353</v>
      </c>
      <c r="P18" s="514">
        <v>266</v>
      </c>
      <c r="Q18" s="370">
        <v>369</v>
      </c>
      <c r="R18" s="492">
        <v>469</v>
      </c>
      <c r="S18" s="514">
        <v>47</v>
      </c>
      <c r="T18" s="514">
        <v>18</v>
      </c>
      <c r="U18" s="370">
        <v>81</v>
      </c>
      <c r="V18" s="492">
        <v>102</v>
      </c>
      <c r="W18" s="514"/>
      <c r="X18" s="514"/>
      <c r="Y18" s="370"/>
      <c r="Z18" s="492"/>
      <c r="AA18" s="516">
        <f t="shared" ref="AA18:AD19" si="17">+W18+S18+O18+K18+G18+C18</f>
        <v>3346</v>
      </c>
      <c r="AB18" s="514">
        <f t="shared" si="17"/>
        <v>2528</v>
      </c>
      <c r="AC18" s="514">
        <f t="shared" si="17"/>
        <v>3911</v>
      </c>
      <c r="AD18" s="492">
        <f t="shared" si="17"/>
        <v>3764</v>
      </c>
      <c r="AE18" s="517"/>
    </row>
    <row r="19" spans="1:44" s="507" customFormat="1" ht="22.5" customHeight="1">
      <c r="A19" s="491"/>
      <c r="B19" s="299" t="s">
        <v>1286</v>
      </c>
      <c r="C19" s="514">
        <v>365</v>
      </c>
      <c r="D19" s="514">
        <v>376</v>
      </c>
      <c r="E19" s="370">
        <v>413</v>
      </c>
      <c r="F19" s="492">
        <v>430</v>
      </c>
      <c r="G19" s="514">
        <v>24</v>
      </c>
      <c r="H19" s="514">
        <v>33</v>
      </c>
      <c r="I19" s="370">
        <v>106</v>
      </c>
      <c r="J19" s="492">
        <v>46</v>
      </c>
      <c r="K19" s="514">
        <v>4</v>
      </c>
      <c r="L19" s="514">
        <v>5</v>
      </c>
      <c r="M19" s="370">
        <v>7</v>
      </c>
      <c r="N19" s="492">
        <v>3</v>
      </c>
      <c r="O19" s="514">
        <v>35</v>
      </c>
      <c r="P19" s="514">
        <v>58</v>
      </c>
      <c r="Q19" s="370">
        <v>61</v>
      </c>
      <c r="R19" s="492">
        <v>67</v>
      </c>
      <c r="S19" s="514"/>
      <c r="T19" s="514"/>
      <c r="U19" s="370"/>
      <c r="V19" s="492"/>
      <c r="W19" s="514"/>
      <c r="X19" s="514"/>
      <c r="Y19" s="370">
        <v>15</v>
      </c>
      <c r="Z19" s="492"/>
      <c r="AA19" s="514">
        <f t="shared" si="17"/>
        <v>428</v>
      </c>
      <c r="AB19" s="514">
        <f t="shared" si="17"/>
        <v>472</v>
      </c>
      <c r="AC19" s="514">
        <f t="shared" si="17"/>
        <v>602</v>
      </c>
      <c r="AD19" s="492">
        <f t="shared" si="17"/>
        <v>546</v>
      </c>
      <c r="AE19" s="517"/>
    </row>
    <row r="20" spans="1:44" s="507" customFormat="1" ht="22.5" customHeight="1">
      <c r="A20" s="491"/>
      <c r="B20" s="343" t="s">
        <v>644</v>
      </c>
      <c r="C20" s="370">
        <f t="shared" ref="C20" si="18">SUM(C18:C19)</f>
        <v>2926</v>
      </c>
      <c r="D20" s="370">
        <f>SUM(D18:D19)</f>
        <v>2233</v>
      </c>
      <c r="E20" s="370">
        <f>SUM(E18:E19)</f>
        <v>3402</v>
      </c>
      <c r="F20" s="492">
        <f>SUM(F18:F19)</f>
        <v>3344</v>
      </c>
      <c r="G20" s="370">
        <f t="shared" ref="G20:I20" si="19">SUM(G18:G19)</f>
        <v>390</v>
      </c>
      <c r="H20" s="370">
        <f t="shared" si="19"/>
        <v>405</v>
      </c>
      <c r="I20" s="370">
        <f t="shared" si="19"/>
        <v>393</v>
      </c>
      <c r="J20" s="492">
        <f t="shared" ref="J20:AD20" si="20">SUM(J18:J19)</f>
        <v>294</v>
      </c>
      <c r="K20" s="370">
        <f t="shared" ref="K20:M20" si="21">SUM(K18:K19)</f>
        <v>23</v>
      </c>
      <c r="L20" s="370">
        <f t="shared" si="21"/>
        <v>20</v>
      </c>
      <c r="M20" s="370">
        <f t="shared" si="21"/>
        <v>192</v>
      </c>
      <c r="N20" s="492">
        <f t="shared" si="20"/>
        <v>34</v>
      </c>
      <c r="O20" s="370">
        <f t="shared" ref="O20:Q20" si="22">SUM(O18:O19)</f>
        <v>388</v>
      </c>
      <c r="P20" s="370">
        <f t="shared" si="22"/>
        <v>324</v>
      </c>
      <c r="Q20" s="370">
        <f t="shared" si="22"/>
        <v>430</v>
      </c>
      <c r="R20" s="492">
        <f t="shared" si="20"/>
        <v>536</v>
      </c>
      <c r="S20" s="370">
        <f t="shared" ref="S20:U20" si="23">SUM(S18:S19)</f>
        <v>47</v>
      </c>
      <c r="T20" s="370">
        <f t="shared" si="23"/>
        <v>18</v>
      </c>
      <c r="U20" s="370">
        <f t="shared" si="23"/>
        <v>81</v>
      </c>
      <c r="V20" s="492">
        <f t="shared" si="20"/>
        <v>102</v>
      </c>
      <c r="W20" s="370">
        <f t="shared" ref="W20:Y20" si="24">SUM(W18:W19)</f>
        <v>0</v>
      </c>
      <c r="X20" s="370">
        <f t="shared" si="24"/>
        <v>0</v>
      </c>
      <c r="Y20" s="370">
        <f t="shared" si="24"/>
        <v>15</v>
      </c>
      <c r="Z20" s="492">
        <f t="shared" si="20"/>
        <v>0</v>
      </c>
      <c r="AA20" s="369">
        <f t="shared" si="20"/>
        <v>3774</v>
      </c>
      <c r="AB20" s="370">
        <f t="shared" si="20"/>
        <v>3000</v>
      </c>
      <c r="AC20" s="370">
        <f t="shared" si="20"/>
        <v>4513</v>
      </c>
      <c r="AD20" s="492">
        <f t="shared" si="20"/>
        <v>4310</v>
      </c>
      <c r="AE20" s="517"/>
    </row>
    <row r="21" spans="1:44" s="507" customFormat="1" ht="22.5" customHeight="1">
      <c r="A21" s="491" t="s">
        <v>542</v>
      </c>
      <c r="B21" s="343" t="s">
        <v>833</v>
      </c>
      <c r="C21" s="514">
        <v>2984</v>
      </c>
      <c r="D21" s="514">
        <v>4151</v>
      </c>
      <c r="E21" s="370">
        <v>2779</v>
      </c>
      <c r="F21" s="492">
        <v>3119</v>
      </c>
      <c r="G21" s="514">
        <v>227</v>
      </c>
      <c r="H21" s="514">
        <v>230</v>
      </c>
      <c r="I21" s="370">
        <v>733</v>
      </c>
      <c r="J21" s="492">
        <v>481</v>
      </c>
      <c r="K21" s="514">
        <v>15</v>
      </c>
      <c r="L21" s="514">
        <v>32</v>
      </c>
      <c r="M21" s="370">
        <v>66</v>
      </c>
      <c r="N21" s="492">
        <v>41</v>
      </c>
      <c r="O21" s="514">
        <v>149</v>
      </c>
      <c r="P21" s="514">
        <v>200</v>
      </c>
      <c r="Q21" s="370">
        <v>417</v>
      </c>
      <c r="R21" s="492">
        <v>341</v>
      </c>
      <c r="S21" s="514">
        <v>54</v>
      </c>
      <c r="T21" s="514">
        <v>41</v>
      </c>
      <c r="U21" s="370">
        <v>59</v>
      </c>
      <c r="V21" s="492">
        <v>57</v>
      </c>
      <c r="W21" s="514"/>
      <c r="X21" s="514">
        <v>92</v>
      </c>
      <c r="Y21" s="370">
        <v>40</v>
      </c>
      <c r="Z21" s="492">
        <v>39</v>
      </c>
      <c r="AA21" s="516">
        <f>+W21+S21+O21+K21+G21+C21</f>
        <v>3429</v>
      </c>
      <c r="AB21" s="514">
        <f>+X21+T21+P21+L21+H21+D21</f>
        <v>4746</v>
      </c>
      <c r="AC21" s="514">
        <f>+Y21+U21+Q21+M21+I21+E21</f>
        <v>4094</v>
      </c>
      <c r="AD21" s="492">
        <f>+Z21+V21+R21+N21+J21+F21</f>
        <v>4078</v>
      </c>
      <c r="AE21" s="517"/>
    </row>
    <row r="22" spans="1:44" s="507" customFormat="1" ht="22.5" customHeight="1">
      <c r="A22" s="501" t="s">
        <v>964</v>
      </c>
      <c r="B22" s="1044"/>
      <c r="C22" s="499">
        <f t="shared" ref="C22" si="25">+C13+C17+C20+C21</f>
        <v>24673</v>
      </c>
      <c r="D22" s="499">
        <f>+D13+D17+D20+D21</f>
        <v>23036</v>
      </c>
      <c r="E22" s="499">
        <f>+E13+E17+E20+E21</f>
        <v>24072</v>
      </c>
      <c r="F22" s="500">
        <f>+F13+F17+F20+F21</f>
        <v>25555</v>
      </c>
      <c r="G22" s="499">
        <f t="shared" ref="G22:I22" si="26">+G13+G17+G20+G21</f>
        <v>4372</v>
      </c>
      <c r="H22" s="499">
        <f t="shared" si="26"/>
        <v>4436</v>
      </c>
      <c r="I22" s="499">
        <f t="shared" si="26"/>
        <v>5884</v>
      </c>
      <c r="J22" s="500">
        <f t="shared" ref="J22:AD22" si="27">+J13+J17+J20+J21</f>
        <v>4526</v>
      </c>
      <c r="K22" s="499">
        <f t="shared" ref="K22:M22" si="28">+K13+K17+K20+K21</f>
        <v>160</v>
      </c>
      <c r="L22" s="499">
        <f t="shared" si="28"/>
        <v>187</v>
      </c>
      <c r="M22" s="499">
        <f t="shared" si="28"/>
        <v>572</v>
      </c>
      <c r="N22" s="500">
        <f t="shared" si="27"/>
        <v>170</v>
      </c>
      <c r="O22" s="499">
        <f t="shared" ref="O22:Q22" si="29">+O13+O17+O20+O21</f>
        <v>4169</v>
      </c>
      <c r="P22" s="499">
        <f t="shared" si="29"/>
        <v>3691</v>
      </c>
      <c r="Q22" s="499">
        <f t="shared" si="29"/>
        <v>5799</v>
      </c>
      <c r="R22" s="500">
        <f t="shared" si="27"/>
        <v>4673</v>
      </c>
      <c r="S22" s="499">
        <f t="shared" ref="S22:U22" si="30">+S13+S17+S20+S21</f>
        <v>557</v>
      </c>
      <c r="T22" s="499">
        <f t="shared" si="30"/>
        <v>638</v>
      </c>
      <c r="U22" s="499">
        <f t="shared" si="30"/>
        <v>1032</v>
      </c>
      <c r="V22" s="500">
        <f t="shared" si="27"/>
        <v>1398</v>
      </c>
      <c r="W22" s="499">
        <f t="shared" ref="W22:Y22" si="31">+W13+W17+W20+W21</f>
        <v>722</v>
      </c>
      <c r="X22" s="499">
        <f t="shared" si="31"/>
        <v>568</v>
      </c>
      <c r="Y22" s="499">
        <f t="shared" si="31"/>
        <v>145</v>
      </c>
      <c r="Z22" s="500">
        <f t="shared" si="27"/>
        <v>62</v>
      </c>
      <c r="AA22" s="499">
        <f t="shared" si="27"/>
        <v>34653</v>
      </c>
      <c r="AB22" s="499">
        <f t="shared" si="27"/>
        <v>32556</v>
      </c>
      <c r="AC22" s="499">
        <f t="shared" si="27"/>
        <v>37504</v>
      </c>
      <c r="AD22" s="500">
        <f t="shared" si="27"/>
        <v>36384</v>
      </c>
      <c r="AE22" s="518"/>
      <c r="AF22" s="511"/>
      <c r="AG22" s="511"/>
      <c r="AH22" s="511"/>
      <c r="AI22" s="511"/>
      <c r="AJ22" s="511"/>
      <c r="AK22" s="511"/>
      <c r="AL22" s="511"/>
      <c r="AM22" s="511"/>
      <c r="AN22" s="511"/>
      <c r="AO22" s="511"/>
      <c r="AP22" s="511"/>
      <c r="AQ22" s="511"/>
      <c r="AR22" s="511"/>
    </row>
    <row r="23" spans="1:44" s="507" customFormat="1" ht="22.5" customHeight="1">
      <c r="A23" s="491" t="s">
        <v>965</v>
      </c>
      <c r="B23" s="299" t="s">
        <v>1483</v>
      </c>
      <c r="C23" s="514">
        <v>7796</v>
      </c>
      <c r="D23" s="514">
        <v>7020</v>
      </c>
      <c r="E23" s="370">
        <v>7511</v>
      </c>
      <c r="F23" s="492">
        <v>7538</v>
      </c>
      <c r="G23" s="514">
        <v>1155</v>
      </c>
      <c r="H23" s="514">
        <v>1032</v>
      </c>
      <c r="I23" s="370">
        <v>1605</v>
      </c>
      <c r="J23" s="492">
        <v>998</v>
      </c>
      <c r="K23" s="514">
        <v>15</v>
      </c>
      <c r="L23" s="514">
        <v>28</v>
      </c>
      <c r="M23" s="370">
        <v>114</v>
      </c>
      <c r="N23" s="492">
        <v>33</v>
      </c>
      <c r="O23" s="514">
        <v>1558</v>
      </c>
      <c r="P23" s="514">
        <v>1438</v>
      </c>
      <c r="Q23" s="370">
        <v>2087</v>
      </c>
      <c r="R23" s="492">
        <v>1490</v>
      </c>
      <c r="S23" s="514">
        <v>266</v>
      </c>
      <c r="T23" s="514">
        <v>154</v>
      </c>
      <c r="U23" s="370">
        <v>296</v>
      </c>
      <c r="V23" s="492">
        <v>535</v>
      </c>
      <c r="W23" s="514"/>
      <c r="X23" s="514"/>
      <c r="Y23" s="370"/>
      <c r="Z23" s="492"/>
      <c r="AA23" s="516">
        <f t="shared" ref="AA23:AC26" si="32">+W23+S23+O23+K23+G23+C23</f>
        <v>10790</v>
      </c>
      <c r="AB23" s="514">
        <f t="shared" si="32"/>
        <v>9672</v>
      </c>
      <c r="AC23" s="514">
        <f t="shared" si="32"/>
        <v>11613</v>
      </c>
      <c r="AD23" s="492">
        <f>+Z23+V23+R23+N23+J23+F23</f>
        <v>10594</v>
      </c>
      <c r="AE23" s="517"/>
    </row>
    <row r="24" spans="1:44" s="507" customFormat="1" ht="22.5" customHeight="1">
      <c r="A24" s="491"/>
      <c r="B24" s="299" t="s">
        <v>1482</v>
      </c>
      <c r="C24" s="514">
        <v>8706</v>
      </c>
      <c r="D24" s="514">
        <v>10095</v>
      </c>
      <c r="E24" s="370">
        <v>9983</v>
      </c>
      <c r="F24" s="492">
        <v>8555</v>
      </c>
      <c r="G24" s="514">
        <v>985</v>
      </c>
      <c r="H24" s="514">
        <v>1168</v>
      </c>
      <c r="I24" s="370">
        <v>1648</v>
      </c>
      <c r="J24" s="492">
        <v>1021</v>
      </c>
      <c r="K24" s="514">
        <v>117</v>
      </c>
      <c r="L24" s="514">
        <v>132</v>
      </c>
      <c r="M24" s="370">
        <v>93</v>
      </c>
      <c r="N24" s="492">
        <v>69</v>
      </c>
      <c r="O24" s="514">
        <v>761</v>
      </c>
      <c r="P24" s="514">
        <v>1172</v>
      </c>
      <c r="Q24" s="370">
        <v>1551</v>
      </c>
      <c r="R24" s="492">
        <v>1339</v>
      </c>
      <c r="S24" s="514">
        <v>652</v>
      </c>
      <c r="T24" s="514">
        <v>730</v>
      </c>
      <c r="U24" s="370">
        <v>679</v>
      </c>
      <c r="V24" s="492">
        <v>819</v>
      </c>
      <c r="W24" s="514">
        <v>8</v>
      </c>
      <c r="X24" s="514">
        <v>34</v>
      </c>
      <c r="Y24" s="370">
        <v>16</v>
      </c>
      <c r="Z24" s="492"/>
      <c r="AA24" s="516">
        <f t="shared" ref="AA24:AD26" si="33">+W24+S24+O24+K24+G24+C24</f>
        <v>11229</v>
      </c>
      <c r="AB24" s="514">
        <f t="shared" si="33"/>
        <v>13331</v>
      </c>
      <c r="AC24" s="514">
        <f t="shared" si="33"/>
        <v>13970</v>
      </c>
      <c r="AD24" s="492">
        <f>+Z24+V24+R24+N24+J24+F24</f>
        <v>11803</v>
      </c>
      <c r="AE24" s="517"/>
    </row>
    <row r="25" spans="1:44" s="507" customFormat="1" ht="22.5" customHeight="1">
      <c r="A25" s="491"/>
      <c r="B25" s="343" t="s">
        <v>550</v>
      </c>
      <c r="C25" s="514">
        <v>960</v>
      </c>
      <c r="D25" s="514">
        <v>906</v>
      </c>
      <c r="E25" s="370">
        <v>1161</v>
      </c>
      <c r="F25" s="492">
        <v>1023</v>
      </c>
      <c r="G25" s="514">
        <v>123</v>
      </c>
      <c r="H25" s="514">
        <v>129</v>
      </c>
      <c r="I25" s="370">
        <v>212</v>
      </c>
      <c r="J25" s="492">
        <v>149</v>
      </c>
      <c r="K25" s="514">
        <v>11</v>
      </c>
      <c r="L25" s="514">
        <v>6</v>
      </c>
      <c r="M25" s="370">
        <v>16</v>
      </c>
      <c r="N25" s="492">
        <v>9</v>
      </c>
      <c r="O25" s="514">
        <v>155</v>
      </c>
      <c r="P25" s="514">
        <v>143</v>
      </c>
      <c r="Q25" s="370">
        <v>162</v>
      </c>
      <c r="R25" s="492">
        <v>128</v>
      </c>
      <c r="S25" s="514">
        <v>44</v>
      </c>
      <c r="T25" s="514">
        <v>19</v>
      </c>
      <c r="U25" s="370">
        <v>6</v>
      </c>
      <c r="V25" s="492">
        <v>29</v>
      </c>
      <c r="W25" s="514">
        <v>3</v>
      </c>
      <c r="X25" s="514"/>
      <c r="Y25" s="370"/>
      <c r="Z25" s="492"/>
      <c r="AA25" s="516">
        <f t="shared" si="33"/>
        <v>1296</v>
      </c>
      <c r="AB25" s="514">
        <f t="shared" si="33"/>
        <v>1203</v>
      </c>
      <c r="AC25" s="514">
        <f t="shared" si="33"/>
        <v>1557</v>
      </c>
      <c r="AD25" s="492">
        <f t="shared" si="33"/>
        <v>1338</v>
      </c>
      <c r="AE25" s="517"/>
    </row>
    <row r="26" spans="1:44" s="507" customFormat="1" ht="22.5" customHeight="1">
      <c r="A26" s="491"/>
      <c r="B26" s="343" t="s">
        <v>837</v>
      </c>
      <c r="C26" s="514">
        <v>1722</v>
      </c>
      <c r="D26" s="514">
        <v>1679</v>
      </c>
      <c r="E26" s="370">
        <v>1969</v>
      </c>
      <c r="F26" s="492">
        <v>2008</v>
      </c>
      <c r="G26" s="514">
        <v>193</v>
      </c>
      <c r="H26" s="514">
        <v>298</v>
      </c>
      <c r="I26" s="370">
        <v>424</v>
      </c>
      <c r="J26" s="492">
        <v>631</v>
      </c>
      <c r="K26" s="514">
        <v>12</v>
      </c>
      <c r="L26" s="514">
        <v>18</v>
      </c>
      <c r="M26" s="370">
        <v>8</v>
      </c>
      <c r="N26" s="492">
        <v>26</v>
      </c>
      <c r="O26" s="514">
        <v>268</v>
      </c>
      <c r="P26" s="514">
        <v>231</v>
      </c>
      <c r="Q26" s="370">
        <v>410</v>
      </c>
      <c r="R26" s="492">
        <v>509</v>
      </c>
      <c r="S26" s="514">
        <v>78</v>
      </c>
      <c r="T26" s="514">
        <v>48</v>
      </c>
      <c r="U26" s="370">
        <v>50</v>
      </c>
      <c r="V26" s="492">
        <v>73</v>
      </c>
      <c r="W26" s="514">
        <v>7</v>
      </c>
      <c r="X26" s="514">
        <v>103</v>
      </c>
      <c r="Y26" s="370"/>
      <c r="Z26" s="492"/>
      <c r="AA26" s="516">
        <f t="shared" si="32"/>
        <v>2280</v>
      </c>
      <c r="AB26" s="514">
        <f t="shared" si="32"/>
        <v>2377</v>
      </c>
      <c r="AC26" s="514">
        <f t="shared" si="32"/>
        <v>2861</v>
      </c>
      <c r="AD26" s="492">
        <f t="shared" si="33"/>
        <v>3247</v>
      </c>
      <c r="AE26" s="517"/>
    </row>
    <row r="27" spans="1:44" s="507" customFormat="1" ht="22.5" customHeight="1">
      <c r="A27" s="491"/>
      <c r="B27" s="343" t="s">
        <v>644</v>
      </c>
      <c r="C27" s="370">
        <f t="shared" ref="C27" si="34">SUM(C23:C26)</f>
        <v>19184</v>
      </c>
      <c r="D27" s="370">
        <f>SUM(D23:D26)</f>
        <v>19700</v>
      </c>
      <c r="E27" s="370">
        <f>SUM(E23:E26)</f>
        <v>20624</v>
      </c>
      <c r="F27" s="492">
        <f>SUM(F23:F26)</f>
        <v>19124</v>
      </c>
      <c r="G27" s="370">
        <f t="shared" ref="G27:I27" si="35">SUM(G23:G26)</f>
        <v>2456</v>
      </c>
      <c r="H27" s="370">
        <f t="shared" si="35"/>
        <v>2627</v>
      </c>
      <c r="I27" s="370">
        <f t="shared" si="35"/>
        <v>3889</v>
      </c>
      <c r="J27" s="492">
        <f t="shared" ref="J27:AD27" si="36">SUM(J23:J26)</f>
        <v>2799</v>
      </c>
      <c r="K27" s="370">
        <f t="shared" ref="K27:M27" si="37">SUM(K23:K26)</f>
        <v>155</v>
      </c>
      <c r="L27" s="370">
        <f t="shared" si="37"/>
        <v>184</v>
      </c>
      <c r="M27" s="370">
        <f t="shared" si="37"/>
        <v>231</v>
      </c>
      <c r="N27" s="492">
        <f t="shared" si="36"/>
        <v>137</v>
      </c>
      <c r="O27" s="370">
        <f t="shared" ref="O27:Q27" si="38">SUM(O23:O26)</f>
        <v>2742</v>
      </c>
      <c r="P27" s="370">
        <f t="shared" si="38"/>
        <v>2984</v>
      </c>
      <c r="Q27" s="370">
        <f t="shared" si="38"/>
        <v>4210</v>
      </c>
      <c r="R27" s="492">
        <f t="shared" si="36"/>
        <v>3466</v>
      </c>
      <c r="S27" s="370">
        <f t="shared" ref="S27:U27" si="39">SUM(S23:S26)</f>
        <v>1040</v>
      </c>
      <c r="T27" s="370">
        <f t="shared" si="39"/>
        <v>951</v>
      </c>
      <c r="U27" s="370">
        <f t="shared" si="39"/>
        <v>1031</v>
      </c>
      <c r="V27" s="492">
        <f t="shared" si="36"/>
        <v>1456</v>
      </c>
      <c r="W27" s="370">
        <f t="shared" ref="W27:Y27" si="40">SUM(W23:W26)</f>
        <v>18</v>
      </c>
      <c r="X27" s="370">
        <f t="shared" si="40"/>
        <v>137</v>
      </c>
      <c r="Y27" s="370">
        <f t="shared" si="40"/>
        <v>16</v>
      </c>
      <c r="Z27" s="492">
        <f t="shared" si="36"/>
        <v>0</v>
      </c>
      <c r="AA27" s="369">
        <f t="shared" si="36"/>
        <v>25595</v>
      </c>
      <c r="AB27" s="370">
        <f t="shared" si="36"/>
        <v>26583</v>
      </c>
      <c r="AC27" s="370">
        <f t="shared" si="36"/>
        <v>30001</v>
      </c>
      <c r="AD27" s="492">
        <f t="shared" si="36"/>
        <v>26982</v>
      </c>
      <c r="AE27" s="517"/>
    </row>
    <row r="28" spans="1:44" s="507" customFormat="1" ht="22.5" customHeight="1">
      <c r="A28" s="491" t="s">
        <v>545</v>
      </c>
      <c r="B28" s="343" t="s">
        <v>838</v>
      </c>
      <c r="C28" s="514">
        <v>5023</v>
      </c>
      <c r="D28" s="514">
        <v>4632</v>
      </c>
      <c r="E28" s="370">
        <v>5177</v>
      </c>
      <c r="F28" s="492">
        <v>4295</v>
      </c>
      <c r="G28" s="514">
        <v>838</v>
      </c>
      <c r="H28" s="514">
        <v>1829</v>
      </c>
      <c r="I28" s="370">
        <v>1396</v>
      </c>
      <c r="J28" s="492">
        <v>1647</v>
      </c>
      <c r="K28" s="514">
        <v>26</v>
      </c>
      <c r="L28" s="514">
        <v>27</v>
      </c>
      <c r="M28" s="370">
        <v>104</v>
      </c>
      <c r="N28" s="492">
        <v>56</v>
      </c>
      <c r="O28" s="514">
        <v>815</v>
      </c>
      <c r="P28" s="514">
        <v>937</v>
      </c>
      <c r="Q28" s="370">
        <v>1453</v>
      </c>
      <c r="R28" s="492">
        <v>1161</v>
      </c>
      <c r="S28" s="514">
        <v>317</v>
      </c>
      <c r="T28" s="514">
        <v>302</v>
      </c>
      <c r="U28" s="370">
        <v>274</v>
      </c>
      <c r="V28" s="492">
        <v>319</v>
      </c>
      <c r="W28" s="514">
        <v>198</v>
      </c>
      <c r="X28" s="514">
        <v>176</v>
      </c>
      <c r="Y28" s="370">
        <v>299</v>
      </c>
      <c r="Z28" s="492">
        <v>74</v>
      </c>
      <c r="AA28" s="516">
        <f>+W28+S28+O28+K28+G28+C28</f>
        <v>7217</v>
      </c>
      <c r="AB28" s="514">
        <f>+X28+T28+P28+L28+H28+D28</f>
        <v>7903</v>
      </c>
      <c r="AC28" s="514">
        <f>+Y28+U28+Q28+M28+I28+E28</f>
        <v>8703</v>
      </c>
      <c r="AD28" s="492">
        <f>+Z28+V28+R28+N28+J28+F28</f>
        <v>7552</v>
      </c>
      <c r="AE28" s="517"/>
    </row>
    <row r="29" spans="1:44" s="507" customFormat="1" ht="22.5" customHeight="1">
      <c r="A29" s="491"/>
      <c r="B29" s="299" t="s">
        <v>1276</v>
      </c>
      <c r="C29" s="514">
        <v>1195</v>
      </c>
      <c r="D29" s="514">
        <v>887</v>
      </c>
      <c r="E29" s="370">
        <v>1036</v>
      </c>
      <c r="F29" s="492">
        <v>1024</v>
      </c>
      <c r="G29" s="514">
        <v>7</v>
      </c>
      <c r="H29" s="514">
        <v>239</v>
      </c>
      <c r="I29" s="370">
        <v>209</v>
      </c>
      <c r="J29" s="492">
        <v>267</v>
      </c>
      <c r="K29" s="514">
        <v>3</v>
      </c>
      <c r="L29" s="514">
        <v>6</v>
      </c>
      <c r="M29" s="370">
        <v>9</v>
      </c>
      <c r="N29" s="492">
        <v>9</v>
      </c>
      <c r="O29" s="514">
        <v>205</v>
      </c>
      <c r="P29" s="514">
        <v>263</v>
      </c>
      <c r="Q29" s="370">
        <v>259</v>
      </c>
      <c r="R29" s="492">
        <v>226</v>
      </c>
      <c r="S29" s="514"/>
      <c r="T29" s="514">
        <v>1</v>
      </c>
      <c r="U29" s="370"/>
      <c r="V29" s="492"/>
      <c r="W29" s="514">
        <v>79</v>
      </c>
      <c r="X29" s="514">
        <v>153</v>
      </c>
      <c r="Y29" s="370">
        <v>514</v>
      </c>
      <c r="Z29" s="492">
        <v>261</v>
      </c>
      <c r="AA29" s="516">
        <f t="shared" ref="AA29:AA30" si="41">+W29+S29+O29+K29+G29+C29</f>
        <v>1489</v>
      </c>
      <c r="AB29" s="514">
        <f t="shared" ref="AB29:AD31" si="42">+X29+T29+P29+L29+H29+D29</f>
        <v>1549</v>
      </c>
      <c r="AC29" s="514">
        <f t="shared" si="42"/>
        <v>2027</v>
      </c>
      <c r="AD29" s="492">
        <f t="shared" si="42"/>
        <v>1787</v>
      </c>
      <c r="AE29" s="517"/>
    </row>
    <row r="30" spans="1:44" s="507" customFormat="1" ht="22.5" customHeight="1">
      <c r="A30" s="491"/>
      <c r="B30" s="299" t="s">
        <v>1340</v>
      </c>
      <c r="C30" s="514"/>
      <c r="D30" s="514"/>
      <c r="E30" s="370"/>
      <c r="F30" s="492"/>
      <c r="G30" s="514"/>
      <c r="H30" s="514"/>
      <c r="I30" s="370">
        <v>3</v>
      </c>
      <c r="J30" s="492"/>
      <c r="K30" s="514"/>
      <c r="L30" s="514"/>
      <c r="M30" s="370"/>
      <c r="N30" s="492"/>
      <c r="O30" s="514"/>
      <c r="P30" s="514"/>
      <c r="Q30" s="370">
        <v>1</v>
      </c>
      <c r="R30" s="492"/>
      <c r="S30" s="514"/>
      <c r="T30" s="514"/>
      <c r="U30" s="370">
        <v>145</v>
      </c>
      <c r="V30" s="492">
        <v>621</v>
      </c>
      <c r="W30" s="514"/>
      <c r="X30" s="514"/>
      <c r="Y30" s="370"/>
      <c r="Z30" s="492"/>
      <c r="AA30" s="516">
        <f t="shared" si="41"/>
        <v>0</v>
      </c>
      <c r="AB30" s="514">
        <f t="shared" si="42"/>
        <v>0</v>
      </c>
      <c r="AC30" s="514">
        <f t="shared" si="42"/>
        <v>149</v>
      </c>
      <c r="AD30" s="492">
        <f t="shared" si="42"/>
        <v>621</v>
      </c>
      <c r="AE30" s="517"/>
    </row>
    <row r="31" spans="1:44" s="507" customFormat="1" ht="22.5" customHeight="1">
      <c r="A31" s="491"/>
      <c r="B31" s="343" t="s">
        <v>966</v>
      </c>
      <c r="C31" s="514">
        <v>1</v>
      </c>
      <c r="D31" s="514">
        <v>6</v>
      </c>
      <c r="E31" s="370">
        <v>1</v>
      </c>
      <c r="F31" s="492">
        <v>5</v>
      </c>
      <c r="G31" s="514"/>
      <c r="H31" s="514"/>
      <c r="I31" s="370"/>
      <c r="J31" s="492"/>
      <c r="K31" s="514"/>
      <c r="L31" s="514"/>
      <c r="M31" s="370"/>
      <c r="N31" s="492"/>
      <c r="O31" s="514"/>
      <c r="P31" s="514"/>
      <c r="Q31" s="370"/>
      <c r="R31" s="492"/>
      <c r="S31" s="514"/>
      <c r="T31" s="514"/>
      <c r="U31" s="370"/>
      <c r="V31" s="492"/>
      <c r="W31" s="514"/>
      <c r="X31" s="514"/>
      <c r="Y31" s="370"/>
      <c r="Z31" s="492"/>
      <c r="AA31" s="516">
        <f>+W31+S31+O31+K31+G31+C31</f>
        <v>1</v>
      </c>
      <c r="AB31" s="514">
        <f t="shared" si="42"/>
        <v>6</v>
      </c>
      <c r="AC31" s="514">
        <f t="shared" si="42"/>
        <v>1</v>
      </c>
      <c r="AD31" s="492">
        <f t="shared" si="42"/>
        <v>5</v>
      </c>
      <c r="AE31" s="517"/>
    </row>
    <row r="32" spans="1:44" s="507" customFormat="1" ht="22.5" customHeight="1">
      <c r="A32" s="491"/>
      <c r="B32" s="343" t="s">
        <v>644</v>
      </c>
      <c r="C32" s="370">
        <f t="shared" ref="C32" si="43">SUM(C28:C31)</f>
        <v>6219</v>
      </c>
      <c r="D32" s="370">
        <f>SUM(D28:D31)</f>
        <v>5525</v>
      </c>
      <c r="E32" s="370">
        <f>SUM(E28:E31)</f>
        <v>6214</v>
      </c>
      <c r="F32" s="492">
        <f>SUM(F28:F31)</f>
        <v>5324</v>
      </c>
      <c r="G32" s="370">
        <f t="shared" ref="G32:I32" si="44">SUM(G28:G31)</f>
        <v>845</v>
      </c>
      <c r="H32" s="370">
        <f t="shared" si="44"/>
        <v>2068</v>
      </c>
      <c r="I32" s="370">
        <f t="shared" si="44"/>
        <v>1608</v>
      </c>
      <c r="J32" s="492">
        <f t="shared" ref="J32:AD32" si="45">SUM(J28:J31)</f>
        <v>1914</v>
      </c>
      <c r="K32" s="370">
        <f t="shared" ref="K32:M32" si="46">SUM(K28:K31)</f>
        <v>29</v>
      </c>
      <c r="L32" s="370">
        <f t="shared" si="46"/>
        <v>33</v>
      </c>
      <c r="M32" s="370">
        <f t="shared" si="46"/>
        <v>113</v>
      </c>
      <c r="N32" s="492">
        <f t="shared" si="45"/>
        <v>65</v>
      </c>
      <c r="O32" s="370">
        <f t="shared" ref="O32:Q32" si="47">SUM(O28:O31)</f>
        <v>1020</v>
      </c>
      <c r="P32" s="370">
        <f t="shared" si="47"/>
        <v>1200</v>
      </c>
      <c r="Q32" s="370">
        <f t="shared" si="47"/>
        <v>1713</v>
      </c>
      <c r="R32" s="492">
        <f t="shared" si="45"/>
        <v>1387</v>
      </c>
      <c r="S32" s="370">
        <f t="shared" ref="S32:U32" si="48">SUM(S28:S31)</f>
        <v>317</v>
      </c>
      <c r="T32" s="370">
        <f t="shared" si="48"/>
        <v>303</v>
      </c>
      <c r="U32" s="370">
        <f t="shared" si="48"/>
        <v>419</v>
      </c>
      <c r="V32" s="492">
        <f t="shared" si="45"/>
        <v>940</v>
      </c>
      <c r="W32" s="370">
        <f t="shared" ref="W32:Y32" si="49">SUM(W28:W31)</f>
        <v>277</v>
      </c>
      <c r="X32" s="370">
        <f t="shared" si="49"/>
        <v>329</v>
      </c>
      <c r="Y32" s="370">
        <f t="shared" si="49"/>
        <v>813</v>
      </c>
      <c r="Z32" s="492">
        <f t="shared" si="45"/>
        <v>335</v>
      </c>
      <c r="AA32" s="369">
        <f t="shared" si="45"/>
        <v>8707</v>
      </c>
      <c r="AB32" s="370">
        <f t="shared" si="45"/>
        <v>9458</v>
      </c>
      <c r="AC32" s="370">
        <f t="shared" si="45"/>
        <v>10880</v>
      </c>
      <c r="AD32" s="492">
        <f t="shared" si="45"/>
        <v>9965</v>
      </c>
      <c r="AE32" s="517"/>
    </row>
    <row r="33" spans="1:53" s="507" customFormat="1" ht="22.5" customHeight="1">
      <c r="A33" s="491" t="s">
        <v>546</v>
      </c>
      <c r="B33" s="343" t="s">
        <v>648</v>
      </c>
      <c r="C33" s="514">
        <v>2624</v>
      </c>
      <c r="D33" s="514">
        <v>2477</v>
      </c>
      <c r="E33" s="370">
        <v>3329</v>
      </c>
      <c r="F33" s="492">
        <v>3730</v>
      </c>
      <c r="G33" s="514">
        <v>175</v>
      </c>
      <c r="H33" s="514">
        <v>550</v>
      </c>
      <c r="I33" s="370">
        <v>939</v>
      </c>
      <c r="J33" s="492">
        <v>504</v>
      </c>
      <c r="K33" s="370">
        <v>18</v>
      </c>
      <c r="L33" s="370">
        <v>31</v>
      </c>
      <c r="M33" s="370">
        <v>282</v>
      </c>
      <c r="N33" s="492">
        <v>42</v>
      </c>
      <c r="O33" s="514">
        <v>470</v>
      </c>
      <c r="P33" s="514">
        <v>478</v>
      </c>
      <c r="Q33" s="370">
        <v>565</v>
      </c>
      <c r="R33" s="492">
        <v>485</v>
      </c>
      <c r="S33" s="514">
        <v>57</v>
      </c>
      <c r="T33" s="514">
        <v>47</v>
      </c>
      <c r="U33" s="370">
        <v>40</v>
      </c>
      <c r="V33" s="492">
        <v>32</v>
      </c>
      <c r="W33" s="514">
        <v>25</v>
      </c>
      <c r="X33" s="514">
        <v>55</v>
      </c>
      <c r="Y33" s="370">
        <v>106</v>
      </c>
      <c r="Z33" s="492">
        <v>48</v>
      </c>
      <c r="AA33" s="516">
        <f t="shared" ref="AA33:AC41" si="50">+W33+S33+O33+K33+G33+C33</f>
        <v>3369</v>
      </c>
      <c r="AB33" s="514">
        <f t="shared" si="50"/>
        <v>3638</v>
      </c>
      <c r="AC33" s="514">
        <f t="shared" si="50"/>
        <v>5261</v>
      </c>
      <c r="AD33" s="492">
        <f>+Z33+V33+R33+N33+J33+F33</f>
        <v>4841</v>
      </c>
      <c r="AE33" s="517"/>
    </row>
    <row r="34" spans="1:53" s="507" customFormat="1" ht="22.5" customHeight="1">
      <c r="A34" s="491"/>
      <c r="B34" s="343" t="s">
        <v>840</v>
      </c>
      <c r="C34" s="514">
        <v>583</v>
      </c>
      <c r="D34" s="514">
        <v>526</v>
      </c>
      <c r="E34" s="370">
        <v>631</v>
      </c>
      <c r="F34" s="492">
        <v>846</v>
      </c>
      <c r="G34" s="514">
        <v>62</v>
      </c>
      <c r="H34" s="514">
        <v>113</v>
      </c>
      <c r="I34" s="370">
        <v>239</v>
      </c>
      <c r="J34" s="492">
        <v>100</v>
      </c>
      <c r="K34" s="370">
        <v>1</v>
      </c>
      <c r="L34" s="370">
        <v>9</v>
      </c>
      <c r="M34" s="370">
        <v>57</v>
      </c>
      <c r="N34" s="492">
        <v>18</v>
      </c>
      <c r="O34" s="514">
        <v>66</v>
      </c>
      <c r="P34" s="514">
        <v>64</v>
      </c>
      <c r="Q34" s="370">
        <v>83</v>
      </c>
      <c r="R34" s="492">
        <v>80</v>
      </c>
      <c r="S34" s="514">
        <v>15</v>
      </c>
      <c r="T34" s="514">
        <v>7</v>
      </c>
      <c r="U34" s="370">
        <v>13</v>
      </c>
      <c r="V34" s="492">
        <v>8</v>
      </c>
      <c r="W34" s="514">
        <v>4</v>
      </c>
      <c r="X34" s="514">
        <v>0</v>
      </c>
      <c r="Y34" s="370">
        <v>10</v>
      </c>
      <c r="Z34" s="492">
        <v>1</v>
      </c>
      <c r="AA34" s="516">
        <f t="shared" ref="AA34:AC35" si="51">+W34+S34+O34+K34+G34+C34</f>
        <v>731</v>
      </c>
      <c r="AB34" s="514">
        <f t="shared" si="51"/>
        <v>719</v>
      </c>
      <c r="AC34" s="514">
        <f t="shared" si="51"/>
        <v>1033</v>
      </c>
      <c r="AD34" s="492">
        <f>+Z34+V34+R34+N34+J34+F34</f>
        <v>1053</v>
      </c>
      <c r="AE34" s="517"/>
    </row>
    <row r="35" spans="1:53" s="507" customFormat="1" ht="22.5" customHeight="1">
      <c r="A35" s="491"/>
      <c r="B35" s="299" t="s">
        <v>1277</v>
      </c>
      <c r="C35" s="514">
        <v>163</v>
      </c>
      <c r="D35" s="514">
        <v>143</v>
      </c>
      <c r="E35" s="370">
        <v>129</v>
      </c>
      <c r="F35" s="492">
        <v>218</v>
      </c>
      <c r="G35" s="514">
        <v>7</v>
      </c>
      <c r="H35" s="514">
        <v>26</v>
      </c>
      <c r="I35" s="370">
        <v>87</v>
      </c>
      <c r="J35" s="492">
        <v>56</v>
      </c>
      <c r="K35" s="370"/>
      <c r="L35" s="370">
        <v>1</v>
      </c>
      <c r="M35" s="370">
        <v>21</v>
      </c>
      <c r="N35" s="492">
        <v>12</v>
      </c>
      <c r="O35" s="514">
        <v>33</v>
      </c>
      <c r="P35" s="514">
        <v>39</v>
      </c>
      <c r="Q35" s="370">
        <v>33</v>
      </c>
      <c r="R35" s="492">
        <v>25</v>
      </c>
      <c r="S35" s="514">
        <v>2</v>
      </c>
      <c r="T35" s="514">
        <v>3</v>
      </c>
      <c r="U35" s="370"/>
      <c r="V35" s="492">
        <v>1</v>
      </c>
      <c r="W35" s="514">
        <v>2</v>
      </c>
      <c r="X35" s="514">
        <v>1</v>
      </c>
      <c r="Y35" s="370">
        <v>12</v>
      </c>
      <c r="Z35" s="492"/>
      <c r="AA35" s="516">
        <f t="shared" si="51"/>
        <v>207</v>
      </c>
      <c r="AB35" s="514">
        <f t="shared" si="51"/>
        <v>213</v>
      </c>
      <c r="AC35" s="514">
        <f t="shared" si="51"/>
        <v>282</v>
      </c>
      <c r="AD35" s="492">
        <f>+Z35+V35+R35+N35+J35+F35</f>
        <v>312</v>
      </c>
      <c r="AE35" s="517"/>
    </row>
    <row r="36" spans="1:53" s="507" customFormat="1" ht="22.5" customHeight="1">
      <c r="A36" s="491"/>
      <c r="B36" s="343" t="s">
        <v>644</v>
      </c>
      <c r="C36" s="370">
        <f t="shared" ref="C36:E36" si="52">SUM(C33:C35)</f>
        <v>3370</v>
      </c>
      <c r="D36" s="370">
        <f t="shared" si="52"/>
        <v>3146</v>
      </c>
      <c r="E36" s="370">
        <f t="shared" si="52"/>
        <v>4089</v>
      </c>
      <c r="F36" s="492">
        <f t="shared" ref="F36:AD36" si="53">SUM(F33:F35)</f>
        <v>4794</v>
      </c>
      <c r="G36" s="370">
        <f t="shared" ref="G36:I36" si="54">SUM(G33:G35)</f>
        <v>244</v>
      </c>
      <c r="H36" s="370">
        <f t="shared" si="54"/>
        <v>689</v>
      </c>
      <c r="I36" s="370">
        <f t="shared" si="54"/>
        <v>1265</v>
      </c>
      <c r="J36" s="492">
        <f t="shared" si="53"/>
        <v>660</v>
      </c>
      <c r="K36" s="370">
        <f t="shared" ref="K36:M36" si="55">SUM(K33:K35)</f>
        <v>19</v>
      </c>
      <c r="L36" s="370">
        <f t="shared" si="55"/>
        <v>41</v>
      </c>
      <c r="M36" s="370">
        <f t="shared" si="55"/>
        <v>360</v>
      </c>
      <c r="N36" s="492">
        <f t="shared" si="53"/>
        <v>72</v>
      </c>
      <c r="O36" s="370">
        <f t="shared" ref="O36:Q36" si="56">SUM(O33:O35)</f>
        <v>569</v>
      </c>
      <c r="P36" s="370">
        <f t="shared" si="56"/>
        <v>581</v>
      </c>
      <c r="Q36" s="370">
        <f t="shared" si="56"/>
        <v>681</v>
      </c>
      <c r="R36" s="492">
        <f t="shared" si="53"/>
        <v>590</v>
      </c>
      <c r="S36" s="370">
        <f t="shared" ref="S36:U36" si="57">SUM(S33:S35)</f>
        <v>74</v>
      </c>
      <c r="T36" s="370">
        <f t="shared" si="57"/>
        <v>57</v>
      </c>
      <c r="U36" s="370">
        <f t="shared" si="57"/>
        <v>53</v>
      </c>
      <c r="V36" s="492">
        <f t="shared" si="53"/>
        <v>41</v>
      </c>
      <c r="W36" s="370">
        <f t="shared" ref="W36:Y36" si="58">SUM(W33:W35)</f>
        <v>31</v>
      </c>
      <c r="X36" s="370">
        <f t="shared" si="58"/>
        <v>56</v>
      </c>
      <c r="Y36" s="370">
        <f t="shared" si="58"/>
        <v>128</v>
      </c>
      <c r="Z36" s="370">
        <f t="shared" si="53"/>
        <v>49</v>
      </c>
      <c r="AA36" s="369">
        <f t="shared" si="53"/>
        <v>4307</v>
      </c>
      <c r="AB36" s="370">
        <f t="shared" si="53"/>
        <v>4570</v>
      </c>
      <c r="AC36" s="370">
        <f t="shared" si="53"/>
        <v>6576</v>
      </c>
      <c r="AD36" s="492">
        <f t="shared" si="53"/>
        <v>6206</v>
      </c>
      <c r="AE36" s="354"/>
    </row>
    <row r="37" spans="1:53" s="507" customFormat="1" ht="22.5" customHeight="1">
      <c r="A37" s="491" t="s">
        <v>547</v>
      </c>
      <c r="B37" s="343" t="s">
        <v>841</v>
      </c>
      <c r="C37" s="514">
        <v>2157</v>
      </c>
      <c r="D37" s="514">
        <v>2726</v>
      </c>
      <c r="E37" s="370">
        <v>3325</v>
      </c>
      <c r="F37" s="492">
        <v>2300</v>
      </c>
      <c r="G37" s="514">
        <v>364</v>
      </c>
      <c r="H37" s="514">
        <v>304</v>
      </c>
      <c r="I37" s="370">
        <v>276</v>
      </c>
      <c r="J37" s="492">
        <v>275</v>
      </c>
      <c r="K37" s="370">
        <v>7</v>
      </c>
      <c r="L37" s="370">
        <v>5</v>
      </c>
      <c r="M37" s="370">
        <v>170</v>
      </c>
      <c r="N37" s="492">
        <v>16</v>
      </c>
      <c r="O37" s="370">
        <v>623</v>
      </c>
      <c r="P37" s="370">
        <v>608</v>
      </c>
      <c r="Q37" s="370">
        <v>585</v>
      </c>
      <c r="R37" s="492">
        <v>482</v>
      </c>
      <c r="S37" s="514">
        <v>196</v>
      </c>
      <c r="T37" s="514">
        <v>137</v>
      </c>
      <c r="U37" s="370">
        <v>61</v>
      </c>
      <c r="V37" s="492">
        <v>147</v>
      </c>
      <c r="W37" s="514">
        <v>7</v>
      </c>
      <c r="X37" s="514"/>
      <c r="Y37" s="370"/>
      <c r="Z37" s="492"/>
      <c r="AA37" s="516">
        <f t="shared" si="50"/>
        <v>3354</v>
      </c>
      <c r="AB37" s="514">
        <f t="shared" si="50"/>
        <v>3780</v>
      </c>
      <c r="AC37" s="514">
        <f t="shared" si="50"/>
        <v>4417</v>
      </c>
      <c r="AD37" s="492">
        <f>+Z37+V37+R37+N37+J37+F37</f>
        <v>3220</v>
      </c>
      <c r="AE37" s="517"/>
    </row>
    <row r="38" spans="1:53" s="507" customFormat="1" ht="22.5" customHeight="1">
      <c r="A38" s="491" t="s">
        <v>967</v>
      </c>
      <c r="B38" s="343" t="s">
        <v>842</v>
      </c>
      <c r="C38" s="514">
        <v>6669</v>
      </c>
      <c r="D38" s="514">
        <v>6945</v>
      </c>
      <c r="E38" s="370">
        <v>6703</v>
      </c>
      <c r="F38" s="492">
        <v>7695</v>
      </c>
      <c r="G38" s="514">
        <v>1164</v>
      </c>
      <c r="H38" s="514">
        <v>1138</v>
      </c>
      <c r="I38" s="370">
        <v>1208</v>
      </c>
      <c r="J38" s="492">
        <v>1156</v>
      </c>
      <c r="K38" s="370">
        <v>2</v>
      </c>
      <c r="L38" s="370">
        <v>7</v>
      </c>
      <c r="M38" s="370">
        <v>27</v>
      </c>
      <c r="N38" s="492"/>
      <c r="O38" s="370">
        <v>1368</v>
      </c>
      <c r="P38" s="370">
        <v>1153</v>
      </c>
      <c r="Q38" s="370">
        <v>1352</v>
      </c>
      <c r="R38" s="492">
        <v>987</v>
      </c>
      <c r="S38" s="514">
        <v>220</v>
      </c>
      <c r="T38" s="514">
        <v>136</v>
      </c>
      <c r="U38" s="370">
        <v>131</v>
      </c>
      <c r="V38" s="492">
        <v>120</v>
      </c>
      <c r="W38" s="514"/>
      <c r="X38" s="514"/>
      <c r="Y38" s="370"/>
      <c r="Z38" s="492"/>
      <c r="AA38" s="516">
        <f t="shared" si="50"/>
        <v>9423</v>
      </c>
      <c r="AB38" s="514">
        <f t="shared" si="50"/>
        <v>9379</v>
      </c>
      <c r="AC38" s="514">
        <f t="shared" si="50"/>
        <v>9421</v>
      </c>
      <c r="AD38" s="492">
        <f>+Z38+V38+R38+N38+J38+F38</f>
        <v>9958</v>
      </c>
      <c r="AE38" s="517"/>
    </row>
    <row r="39" spans="1:53" s="507" customFormat="1" ht="22.5" customHeight="1">
      <c r="A39" s="491"/>
      <c r="B39" s="299" t="s">
        <v>1001</v>
      </c>
      <c r="C39" s="514"/>
      <c r="D39" s="514"/>
      <c r="E39" s="370">
        <v>104</v>
      </c>
      <c r="F39" s="492">
        <v>135</v>
      </c>
      <c r="G39" s="514"/>
      <c r="H39" s="514"/>
      <c r="I39" s="370"/>
      <c r="J39" s="492">
        <v>119</v>
      </c>
      <c r="K39" s="370"/>
      <c r="L39" s="370"/>
      <c r="M39" s="370"/>
      <c r="N39" s="492"/>
      <c r="O39" s="370"/>
      <c r="P39" s="370"/>
      <c r="Q39" s="370">
        <v>2</v>
      </c>
      <c r="R39" s="492">
        <v>5</v>
      </c>
      <c r="S39" s="514"/>
      <c r="T39" s="514"/>
      <c r="U39" s="370">
        <v>52</v>
      </c>
      <c r="V39" s="492">
        <v>454</v>
      </c>
      <c r="W39" s="514"/>
      <c r="X39" s="514"/>
      <c r="Y39" s="370"/>
      <c r="Z39" s="492"/>
      <c r="AA39" s="516">
        <f t="shared" si="50"/>
        <v>0</v>
      </c>
      <c r="AB39" s="514">
        <f t="shared" si="50"/>
        <v>0</v>
      </c>
      <c r="AC39" s="514">
        <f t="shared" si="50"/>
        <v>158</v>
      </c>
      <c r="AD39" s="492">
        <f>+Z39+V39+R39+N39+J39+F39</f>
        <v>713</v>
      </c>
      <c r="AE39" s="517"/>
    </row>
    <row r="40" spans="1:53" s="507" customFormat="1" ht="22.5" customHeight="1">
      <c r="A40" s="491" t="s">
        <v>549</v>
      </c>
      <c r="B40" s="343" t="s">
        <v>843</v>
      </c>
      <c r="C40" s="514">
        <v>3626</v>
      </c>
      <c r="D40" s="514">
        <v>3225</v>
      </c>
      <c r="E40" s="370">
        <v>3483</v>
      </c>
      <c r="F40" s="492">
        <v>4105</v>
      </c>
      <c r="G40" s="514">
        <v>518</v>
      </c>
      <c r="H40" s="514">
        <v>365</v>
      </c>
      <c r="I40" s="370">
        <v>1122</v>
      </c>
      <c r="J40" s="492">
        <v>714</v>
      </c>
      <c r="K40" s="370">
        <v>367</v>
      </c>
      <c r="L40" s="370">
        <v>243</v>
      </c>
      <c r="M40" s="370">
        <v>98</v>
      </c>
      <c r="N40" s="492">
        <v>43</v>
      </c>
      <c r="O40" s="370">
        <v>544</v>
      </c>
      <c r="P40" s="370">
        <v>611</v>
      </c>
      <c r="Q40" s="370">
        <v>662</v>
      </c>
      <c r="R40" s="492">
        <v>665</v>
      </c>
      <c r="S40" s="514">
        <v>83</v>
      </c>
      <c r="T40" s="514">
        <v>98</v>
      </c>
      <c r="U40" s="370">
        <v>105</v>
      </c>
      <c r="V40" s="492">
        <v>153</v>
      </c>
      <c r="W40" s="514">
        <v>16</v>
      </c>
      <c r="X40" s="514">
        <v>69</v>
      </c>
      <c r="Y40" s="370">
        <v>38</v>
      </c>
      <c r="Z40" s="492">
        <v>52</v>
      </c>
      <c r="AA40" s="516">
        <f t="shared" si="50"/>
        <v>5154</v>
      </c>
      <c r="AB40" s="514">
        <f t="shared" si="50"/>
        <v>4611</v>
      </c>
      <c r="AC40" s="514">
        <f t="shared" si="50"/>
        <v>5508</v>
      </c>
      <c r="AD40" s="492">
        <f>+Z40+V40+R40+N40+J40+F40</f>
        <v>5732</v>
      </c>
      <c r="AE40" s="517"/>
    </row>
    <row r="41" spans="1:53" s="507" customFormat="1" ht="22.5" customHeight="1">
      <c r="A41" s="491"/>
      <c r="B41" s="299" t="s">
        <v>1270</v>
      </c>
      <c r="C41" s="514">
        <v>412</v>
      </c>
      <c r="D41" s="514">
        <v>397</v>
      </c>
      <c r="E41" s="370">
        <v>212</v>
      </c>
      <c r="F41" s="492">
        <v>336</v>
      </c>
      <c r="G41" s="514">
        <v>75</v>
      </c>
      <c r="H41" s="514">
        <v>40</v>
      </c>
      <c r="I41" s="370">
        <v>181</v>
      </c>
      <c r="J41" s="492">
        <v>95</v>
      </c>
      <c r="K41" s="370">
        <v>88</v>
      </c>
      <c r="L41" s="370">
        <v>45</v>
      </c>
      <c r="M41" s="370">
        <v>48</v>
      </c>
      <c r="N41" s="492">
        <v>1</v>
      </c>
      <c r="O41" s="370">
        <v>72</v>
      </c>
      <c r="P41" s="370">
        <v>45</v>
      </c>
      <c r="Q41" s="370">
        <v>101</v>
      </c>
      <c r="R41" s="492">
        <v>63</v>
      </c>
      <c r="S41" s="514"/>
      <c r="T41" s="514"/>
      <c r="U41" s="370"/>
      <c r="V41" s="492"/>
      <c r="W41" s="514">
        <v>12</v>
      </c>
      <c r="X41" s="514">
        <v>33</v>
      </c>
      <c r="Y41" s="370">
        <v>22</v>
      </c>
      <c r="Z41" s="492">
        <v>15</v>
      </c>
      <c r="AA41" s="516">
        <f t="shared" si="50"/>
        <v>659</v>
      </c>
      <c r="AB41" s="514">
        <f t="shared" si="50"/>
        <v>560</v>
      </c>
      <c r="AC41" s="514">
        <f t="shared" si="50"/>
        <v>564</v>
      </c>
      <c r="AD41" s="492">
        <f>+Z41+V41+R41+N41+J41+F41</f>
        <v>510</v>
      </c>
      <c r="AE41" s="517"/>
    </row>
    <row r="42" spans="1:53" s="507" customFormat="1" ht="22.5" customHeight="1">
      <c r="A42" s="491"/>
      <c r="B42" s="343" t="s">
        <v>644</v>
      </c>
      <c r="C42" s="370">
        <f t="shared" ref="C42" si="59">SUM(C40:C41)</f>
        <v>4038</v>
      </c>
      <c r="D42" s="370">
        <f>SUM(D40:D41)</f>
        <v>3622</v>
      </c>
      <c r="E42" s="370">
        <f>SUM(E40:E41)</f>
        <v>3695</v>
      </c>
      <c r="F42" s="492">
        <f>SUM(F40:F41)</f>
        <v>4441</v>
      </c>
      <c r="G42" s="370">
        <f t="shared" ref="G42:I42" si="60">SUM(G40:G41)</f>
        <v>593</v>
      </c>
      <c r="H42" s="370">
        <f t="shared" si="60"/>
        <v>405</v>
      </c>
      <c r="I42" s="370">
        <f t="shared" si="60"/>
        <v>1303</v>
      </c>
      <c r="J42" s="492">
        <f t="shared" ref="J42:AD42" si="61">SUM(J40:J41)</f>
        <v>809</v>
      </c>
      <c r="K42" s="370">
        <f t="shared" ref="K42:M42" si="62">SUM(K40:K41)</f>
        <v>455</v>
      </c>
      <c r="L42" s="370">
        <f t="shared" si="62"/>
        <v>288</v>
      </c>
      <c r="M42" s="370">
        <f t="shared" si="62"/>
        <v>146</v>
      </c>
      <c r="N42" s="492">
        <f t="shared" si="61"/>
        <v>44</v>
      </c>
      <c r="O42" s="370">
        <f t="shared" ref="O42:Q42" si="63">SUM(O40:O41)</f>
        <v>616</v>
      </c>
      <c r="P42" s="370">
        <f t="shared" si="63"/>
        <v>656</v>
      </c>
      <c r="Q42" s="370">
        <f t="shared" si="63"/>
        <v>763</v>
      </c>
      <c r="R42" s="492">
        <f t="shared" si="61"/>
        <v>728</v>
      </c>
      <c r="S42" s="370">
        <f t="shared" ref="S42:U42" si="64">SUM(S40:S41)</f>
        <v>83</v>
      </c>
      <c r="T42" s="370">
        <f t="shared" si="64"/>
        <v>98</v>
      </c>
      <c r="U42" s="370">
        <f t="shared" si="64"/>
        <v>105</v>
      </c>
      <c r="V42" s="492">
        <f t="shared" si="61"/>
        <v>153</v>
      </c>
      <c r="W42" s="370">
        <f t="shared" ref="W42:Y42" si="65">SUM(W40:W41)</f>
        <v>28</v>
      </c>
      <c r="X42" s="370">
        <f t="shared" si="65"/>
        <v>102</v>
      </c>
      <c r="Y42" s="370">
        <f t="shared" si="65"/>
        <v>60</v>
      </c>
      <c r="Z42" s="492">
        <f t="shared" si="61"/>
        <v>67</v>
      </c>
      <c r="AA42" s="369">
        <f t="shared" si="61"/>
        <v>5813</v>
      </c>
      <c r="AB42" s="370">
        <f t="shared" si="61"/>
        <v>5171</v>
      </c>
      <c r="AC42" s="370">
        <f t="shared" si="61"/>
        <v>6072</v>
      </c>
      <c r="AD42" s="492">
        <f t="shared" si="61"/>
        <v>6242</v>
      </c>
      <c r="AE42" s="517"/>
    </row>
    <row r="43" spans="1:53" s="6" customFormat="1" ht="22.5" customHeight="1">
      <c r="A43" s="501" t="s">
        <v>968</v>
      </c>
      <c r="B43" s="1044"/>
      <c r="C43" s="499">
        <f t="shared" ref="C43" si="66">+C27+C32+C36+C37+C38+C42+C39</f>
        <v>41637</v>
      </c>
      <c r="D43" s="499">
        <f>+D27+D32+D36+D37+D38+D42+D39</f>
        <v>41664</v>
      </c>
      <c r="E43" s="499">
        <f>+E27+E32+E36+E37+E38+E42+E39</f>
        <v>44754</v>
      </c>
      <c r="F43" s="500">
        <f>+F27+F32+F36+F37+F38+F42+F39</f>
        <v>43813</v>
      </c>
      <c r="G43" s="499">
        <f t="shared" ref="G43:K43" si="67">+G27+G32+G36+G37+G38+G42+G39</f>
        <v>5666</v>
      </c>
      <c r="H43" s="499">
        <f t="shared" si="67"/>
        <v>7231</v>
      </c>
      <c r="I43" s="499">
        <f t="shared" si="67"/>
        <v>9549</v>
      </c>
      <c r="J43" s="500">
        <f t="shared" si="67"/>
        <v>7732</v>
      </c>
      <c r="K43" s="499">
        <f t="shared" si="67"/>
        <v>667</v>
      </c>
      <c r="L43" s="499">
        <f>+L27+L32+L36+L37+L38+L42+L39</f>
        <v>558</v>
      </c>
      <c r="M43" s="499">
        <f t="shared" ref="M43:AD43" si="68">+M27+M32+M36+M37+M38+M42+M39</f>
        <v>1047</v>
      </c>
      <c r="N43" s="500">
        <f t="shared" si="68"/>
        <v>334</v>
      </c>
      <c r="O43" s="499">
        <f t="shared" si="68"/>
        <v>6938</v>
      </c>
      <c r="P43" s="499">
        <f t="shared" si="68"/>
        <v>7182</v>
      </c>
      <c r="Q43" s="499">
        <f t="shared" si="68"/>
        <v>9306</v>
      </c>
      <c r="R43" s="500">
        <f t="shared" si="68"/>
        <v>7645</v>
      </c>
      <c r="S43" s="499">
        <f t="shared" si="68"/>
        <v>1930</v>
      </c>
      <c r="T43" s="499">
        <f t="shared" si="68"/>
        <v>1682</v>
      </c>
      <c r="U43" s="499">
        <f t="shared" si="68"/>
        <v>1852</v>
      </c>
      <c r="V43" s="500">
        <f t="shared" si="68"/>
        <v>3311</v>
      </c>
      <c r="W43" s="499">
        <f t="shared" si="68"/>
        <v>361</v>
      </c>
      <c r="X43" s="499">
        <f t="shared" si="68"/>
        <v>624</v>
      </c>
      <c r="Y43" s="499">
        <f t="shared" si="68"/>
        <v>1017</v>
      </c>
      <c r="Z43" s="500">
        <f t="shared" si="68"/>
        <v>451</v>
      </c>
      <c r="AA43" s="499">
        <f t="shared" si="68"/>
        <v>57199</v>
      </c>
      <c r="AB43" s="499">
        <f t="shared" si="68"/>
        <v>58941</v>
      </c>
      <c r="AC43" s="499">
        <f t="shared" si="68"/>
        <v>67525</v>
      </c>
      <c r="AD43" s="500">
        <f t="shared" si="68"/>
        <v>63286</v>
      </c>
      <c r="AE43" s="354"/>
    </row>
    <row r="44" spans="1:53" s="507" customFormat="1" ht="22.5" customHeight="1">
      <c r="A44" s="1407" t="s">
        <v>656</v>
      </c>
      <c r="B44" s="1409"/>
      <c r="C44" s="520">
        <f t="shared" ref="C44:AD44" si="69">+C22+C43</f>
        <v>66310</v>
      </c>
      <c r="D44" s="520">
        <f t="shared" si="69"/>
        <v>64700</v>
      </c>
      <c r="E44" s="520">
        <f t="shared" si="69"/>
        <v>68826</v>
      </c>
      <c r="F44" s="504">
        <f t="shared" si="69"/>
        <v>69368</v>
      </c>
      <c r="G44" s="519">
        <f t="shared" si="69"/>
        <v>10038</v>
      </c>
      <c r="H44" s="520">
        <f t="shared" si="69"/>
        <v>11667</v>
      </c>
      <c r="I44" s="520">
        <f t="shared" si="69"/>
        <v>15433</v>
      </c>
      <c r="J44" s="504">
        <f t="shared" si="69"/>
        <v>12258</v>
      </c>
      <c r="K44" s="520">
        <f t="shared" si="69"/>
        <v>827</v>
      </c>
      <c r="L44" s="520">
        <f t="shared" si="69"/>
        <v>745</v>
      </c>
      <c r="M44" s="520">
        <f t="shared" si="69"/>
        <v>1619</v>
      </c>
      <c r="N44" s="504">
        <f t="shared" si="69"/>
        <v>504</v>
      </c>
      <c r="O44" s="519">
        <f t="shared" si="69"/>
        <v>11107</v>
      </c>
      <c r="P44" s="520">
        <f t="shared" si="69"/>
        <v>10873</v>
      </c>
      <c r="Q44" s="520">
        <f t="shared" si="69"/>
        <v>15105</v>
      </c>
      <c r="R44" s="504">
        <f t="shared" si="69"/>
        <v>12318</v>
      </c>
      <c r="S44" s="520">
        <f t="shared" si="69"/>
        <v>2487</v>
      </c>
      <c r="T44" s="520">
        <f t="shared" si="69"/>
        <v>2320</v>
      </c>
      <c r="U44" s="520">
        <f t="shared" si="69"/>
        <v>2884</v>
      </c>
      <c r="V44" s="504">
        <f t="shared" si="69"/>
        <v>4709</v>
      </c>
      <c r="W44" s="520">
        <f t="shared" si="69"/>
        <v>1083</v>
      </c>
      <c r="X44" s="520">
        <f t="shared" si="69"/>
        <v>1192</v>
      </c>
      <c r="Y44" s="520">
        <f t="shared" si="69"/>
        <v>1162</v>
      </c>
      <c r="Z44" s="504">
        <f t="shared" si="69"/>
        <v>513</v>
      </c>
      <c r="AA44" s="519">
        <f t="shared" si="69"/>
        <v>91852</v>
      </c>
      <c r="AB44" s="520">
        <f t="shared" si="69"/>
        <v>91497</v>
      </c>
      <c r="AC44" s="520">
        <f t="shared" si="69"/>
        <v>105029</v>
      </c>
      <c r="AD44" s="504">
        <f t="shared" si="69"/>
        <v>99670</v>
      </c>
      <c r="AE44" s="518"/>
      <c r="AF44" s="511"/>
      <c r="AG44" s="511"/>
      <c r="AH44" s="511"/>
      <c r="AI44" s="511"/>
      <c r="AJ44" s="511"/>
      <c r="AK44" s="511"/>
      <c r="AL44" s="511"/>
      <c r="AM44" s="511"/>
      <c r="AN44" s="511"/>
      <c r="AO44" s="511"/>
      <c r="AP44" s="511"/>
      <c r="AQ44" s="511"/>
      <c r="AR44" s="511"/>
      <c r="AS44" s="511"/>
      <c r="AT44" s="511"/>
      <c r="AU44" s="511"/>
      <c r="AV44" s="511"/>
      <c r="AW44" s="511"/>
      <c r="AX44" s="511"/>
      <c r="AY44" s="511"/>
      <c r="AZ44" s="511"/>
      <c r="BA44" s="511"/>
    </row>
    <row r="45" spans="1:53">
      <c r="C45" s="521"/>
      <c r="D45" s="521"/>
      <c r="E45" s="521"/>
      <c r="F45" s="521"/>
      <c r="G45" s="521"/>
      <c r="H45" s="521"/>
      <c r="I45" s="521"/>
      <c r="J45" s="521"/>
      <c r="K45" s="521"/>
      <c r="L45" s="521"/>
      <c r="M45" s="521"/>
      <c r="N45" s="521"/>
      <c r="O45" s="521"/>
      <c r="P45" s="521"/>
      <c r="Q45" s="521"/>
      <c r="R45" s="521"/>
      <c r="S45" s="521"/>
      <c r="T45" s="521"/>
      <c r="U45" s="521"/>
      <c r="V45" s="521"/>
      <c r="W45" s="521"/>
      <c r="X45" s="521"/>
      <c r="Y45" s="521"/>
      <c r="Z45" s="521"/>
      <c r="AA45" s="521"/>
      <c r="AB45" s="521"/>
      <c r="AC45" s="521"/>
      <c r="AD45" s="521"/>
      <c r="AE45" s="521"/>
    </row>
    <row r="46" spans="1:53">
      <c r="C46" s="521"/>
      <c r="D46" s="521"/>
      <c r="E46" s="521"/>
      <c r="F46" s="512"/>
      <c r="G46" s="512"/>
      <c r="H46" s="512"/>
      <c r="I46" s="512"/>
      <c r="J46" s="512"/>
      <c r="K46" s="512"/>
      <c r="L46" s="512"/>
      <c r="M46" s="512"/>
      <c r="N46" s="512"/>
      <c r="O46" s="512"/>
      <c r="P46" s="512"/>
      <c r="Q46" s="512"/>
      <c r="R46" s="512"/>
      <c r="S46" s="512"/>
      <c r="T46" s="512"/>
      <c r="U46" s="512"/>
      <c r="V46" s="512"/>
      <c r="W46" s="512"/>
      <c r="X46" s="512"/>
      <c r="Y46" s="512"/>
      <c r="Z46" s="512"/>
      <c r="AA46" s="512"/>
      <c r="AB46" s="512"/>
      <c r="AC46" s="512"/>
      <c r="AD46" s="512"/>
      <c r="AE46" s="521"/>
    </row>
    <row r="47" spans="1:53">
      <c r="C47" s="521"/>
      <c r="D47" s="521"/>
      <c r="E47" s="521"/>
      <c r="F47" s="512"/>
      <c r="G47" s="512"/>
      <c r="H47" s="512"/>
      <c r="I47" s="512"/>
      <c r="J47" s="512"/>
      <c r="K47" s="512"/>
      <c r="L47" s="512"/>
      <c r="M47" s="512"/>
      <c r="N47" s="512"/>
      <c r="O47" s="512"/>
      <c r="P47" s="512"/>
      <c r="Q47" s="512"/>
      <c r="R47" s="512"/>
      <c r="S47" s="512"/>
      <c r="T47" s="512"/>
      <c r="U47" s="512"/>
      <c r="V47" s="512"/>
      <c r="W47" s="512"/>
      <c r="X47" s="512"/>
      <c r="Y47" s="512"/>
      <c r="Z47" s="512"/>
      <c r="AA47" s="512"/>
      <c r="AB47" s="512"/>
      <c r="AC47" s="512"/>
      <c r="AD47" s="512"/>
      <c r="AE47" s="521"/>
    </row>
    <row r="48" spans="1:53">
      <c r="C48" s="521"/>
      <c r="D48" s="521"/>
      <c r="E48" s="521"/>
      <c r="F48" s="512"/>
      <c r="G48" s="512"/>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21"/>
    </row>
    <row r="49" spans="3:31">
      <c r="C49" s="521"/>
      <c r="D49" s="521"/>
      <c r="E49" s="521"/>
      <c r="F49" s="512"/>
      <c r="G49" s="509"/>
      <c r="H49" s="509"/>
      <c r="I49" s="509"/>
      <c r="J49" s="512"/>
      <c r="K49" s="509"/>
      <c r="L49" s="509"/>
      <c r="M49" s="509"/>
      <c r="N49" s="512"/>
      <c r="O49" s="509"/>
      <c r="P49" s="509"/>
      <c r="Q49" s="509"/>
      <c r="R49" s="512"/>
      <c r="S49" s="509"/>
      <c r="T49" s="509"/>
      <c r="U49" s="509"/>
      <c r="V49" s="512"/>
      <c r="W49" s="509"/>
      <c r="X49" s="509"/>
      <c r="Y49" s="509"/>
      <c r="Z49" s="512"/>
      <c r="AA49" s="509"/>
      <c r="AB49" s="509"/>
      <c r="AC49" s="509"/>
      <c r="AD49" s="512"/>
      <c r="AE49" s="521"/>
    </row>
    <row r="50" spans="3:31">
      <c r="C50" s="521"/>
      <c r="D50" s="521"/>
      <c r="E50" s="521"/>
      <c r="F50" s="521"/>
      <c r="G50" s="521"/>
      <c r="H50" s="521"/>
      <c r="I50" s="521"/>
      <c r="J50" s="521"/>
      <c r="K50" s="521"/>
      <c r="L50" s="521"/>
      <c r="M50" s="521"/>
      <c r="N50" s="521"/>
      <c r="O50" s="521"/>
      <c r="P50" s="521"/>
      <c r="Q50" s="521"/>
      <c r="R50" s="521"/>
      <c r="S50" s="521"/>
      <c r="T50" s="521"/>
      <c r="U50" s="521"/>
      <c r="V50" s="521"/>
      <c r="W50" s="521"/>
      <c r="X50" s="521"/>
      <c r="Y50" s="521"/>
      <c r="Z50" s="521"/>
      <c r="AA50" s="521"/>
      <c r="AB50" s="521"/>
      <c r="AC50" s="521"/>
      <c r="AD50" s="521"/>
      <c r="AE50" s="521"/>
    </row>
    <row r="51" spans="3:31">
      <c r="C51" s="521"/>
      <c r="D51" s="521"/>
      <c r="E51" s="521"/>
      <c r="F51" s="521"/>
      <c r="G51" s="521"/>
      <c r="H51" s="521"/>
      <c r="I51" s="521"/>
      <c r="J51" s="521"/>
      <c r="K51" s="521"/>
      <c r="L51" s="521"/>
      <c r="M51" s="521"/>
      <c r="N51" s="521"/>
      <c r="O51" s="521"/>
      <c r="P51" s="521"/>
      <c r="Q51" s="521"/>
      <c r="R51" s="521"/>
      <c r="S51" s="521"/>
      <c r="T51" s="521"/>
      <c r="U51" s="521"/>
      <c r="V51" s="521"/>
      <c r="W51" s="521"/>
      <c r="X51" s="521"/>
      <c r="Y51" s="521"/>
      <c r="Z51" s="521"/>
      <c r="AA51" s="521"/>
      <c r="AB51" s="521"/>
      <c r="AC51" s="521"/>
      <c r="AD51" s="521"/>
      <c r="AE51" s="521"/>
    </row>
    <row r="52" spans="3:31">
      <c r="C52" s="521"/>
      <c r="D52" s="521"/>
      <c r="E52" s="521"/>
      <c r="F52" s="521"/>
      <c r="G52" s="521"/>
      <c r="H52" s="521"/>
      <c r="I52" s="521"/>
      <c r="J52" s="521"/>
      <c r="K52" s="521"/>
      <c r="L52" s="521"/>
      <c r="M52" s="521"/>
      <c r="N52" s="521"/>
      <c r="O52" s="521"/>
      <c r="P52" s="521"/>
      <c r="Q52" s="521"/>
      <c r="R52" s="521"/>
      <c r="S52" s="521"/>
      <c r="T52" s="521"/>
      <c r="U52" s="521"/>
      <c r="V52" s="521"/>
      <c r="W52" s="521"/>
      <c r="X52" s="521"/>
      <c r="Y52" s="521"/>
      <c r="Z52" s="521"/>
      <c r="AA52" s="521"/>
      <c r="AB52" s="521"/>
      <c r="AC52" s="521"/>
      <c r="AD52" s="521"/>
      <c r="AE52" s="521"/>
    </row>
    <row r="53" spans="3:31">
      <c r="C53" s="521"/>
      <c r="D53" s="521"/>
      <c r="E53" s="521"/>
      <c r="F53" s="521"/>
      <c r="G53" s="521"/>
      <c r="H53" s="521"/>
      <c r="I53" s="521"/>
      <c r="J53" s="521"/>
      <c r="K53" s="521"/>
      <c r="L53" s="521"/>
      <c r="M53" s="521"/>
      <c r="N53" s="521"/>
      <c r="O53" s="521"/>
      <c r="P53" s="521"/>
      <c r="Q53" s="521"/>
      <c r="R53" s="521"/>
      <c r="S53" s="521"/>
      <c r="T53" s="521"/>
      <c r="U53" s="521"/>
      <c r="V53" s="521"/>
      <c r="W53" s="521"/>
      <c r="X53" s="521"/>
      <c r="Y53" s="521"/>
      <c r="Z53" s="512"/>
      <c r="AA53" s="521"/>
      <c r="AB53" s="521"/>
      <c r="AC53" s="521"/>
      <c r="AD53" s="521"/>
      <c r="AE53" s="521"/>
    </row>
    <row r="54" spans="3:31">
      <c r="C54" s="521"/>
      <c r="D54" s="521"/>
      <c r="E54" s="521"/>
      <c r="F54" s="521"/>
      <c r="G54" s="521"/>
      <c r="H54" s="521"/>
      <c r="I54" s="521"/>
      <c r="J54" s="521"/>
      <c r="K54" s="521"/>
      <c r="L54" s="521"/>
      <c r="M54" s="521"/>
      <c r="N54" s="521"/>
      <c r="O54" s="521"/>
      <c r="P54" s="521"/>
      <c r="Q54" s="521"/>
      <c r="R54" s="521"/>
      <c r="S54" s="521"/>
      <c r="T54" s="521"/>
      <c r="U54" s="521"/>
      <c r="V54" s="521"/>
      <c r="W54" s="521"/>
      <c r="X54" s="521"/>
      <c r="Y54" s="521"/>
      <c r="Z54" s="521"/>
      <c r="AA54" s="521"/>
      <c r="AB54" s="521"/>
      <c r="AC54" s="521"/>
      <c r="AD54" s="521"/>
      <c r="AE54" s="521"/>
    </row>
  </sheetData>
  <mergeCells count="12">
    <mergeCell ref="S7:V7"/>
    <mergeCell ref="W7:Z7"/>
    <mergeCell ref="AA7:AD7"/>
    <mergeCell ref="A1:AD1"/>
    <mergeCell ref="A2:AD2"/>
    <mergeCell ref="A3:AD3"/>
    <mergeCell ref="A4:AD4"/>
    <mergeCell ref="A44:B44"/>
    <mergeCell ref="C7:F7"/>
    <mergeCell ref="G7:J7"/>
    <mergeCell ref="K7:N7"/>
    <mergeCell ref="O7:R7"/>
  </mergeCells>
  <phoneticPr fontId="19" type="noConversion"/>
  <pageMargins left="0.39370078740157483" right="0" top="0.98425196850393704" bottom="0.98425196850393704" header="0" footer="0"/>
  <pageSetup paperSize="5" scale="69" orientation="landscape" horizontalDpi="300"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58"/>
  <sheetViews>
    <sheetView topLeftCell="C43" workbookViewId="0">
      <selection activeCell="AC32" sqref="AC32"/>
    </sheetView>
  </sheetViews>
  <sheetFormatPr baseColWidth="10" defaultColWidth="11.42578125" defaultRowHeight="12"/>
  <cols>
    <col min="1" max="1" width="12.7109375" style="398" customWidth="1"/>
    <col min="2" max="2" width="18.42578125" style="398" customWidth="1"/>
    <col min="3" max="29" width="7.140625" style="398" customWidth="1"/>
    <col min="30" max="30" width="8.85546875" style="398" customWidth="1"/>
    <col min="31" max="68" width="7.140625" style="398" customWidth="1"/>
    <col min="69" max="16384" width="11.42578125" style="398"/>
  </cols>
  <sheetData>
    <row r="1" spans="1:73">
      <c r="A1" s="1393" t="s">
        <v>954</v>
      </c>
      <c r="B1" s="1393"/>
      <c r="C1" s="1393"/>
      <c r="D1" s="1393"/>
      <c r="E1" s="1393"/>
      <c r="F1" s="1393"/>
      <c r="G1" s="1393"/>
      <c r="H1" s="1393"/>
      <c r="I1" s="1393"/>
      <c r="J1" s="1393"/>
      <c r="K1" s="1393"/>
      <c r="L1" s="1393"/>
      <c r="M1" s="1393"/>
      <c r="N1" s="1393"/>
      <c r="O1" s="1393"/>
      <c r="P1" s="1393"/>
      <c r="Q1" s="1393"/>
      <c r="R1" s="1393"/>
      <c r="S1" s="1393"/>
      <c r="T1" s="1393"/>
      <c r="U1" s="1393"/>
      <c r="V1" s="1393"/>
      <c r="W1" s="1393"/>
      <c r="X1" s="1393"/>
      <c r="Y1" s="1393"/>
      <c r="Z1" s="1393"/>
      <c r="AA1" s="1393"/>
      <c r="AB1" s="1393"/>
      <c r="AC1" s="1393"/>
      <c r="AD1" s="1393"/>
    </row>
    <row r="2" spans="1:73">
      <c r="A2" s="1393" t="s">
        <v>973</v>
      </c>
      <c r="B2" s="1393"/>
      <c r="C2" s="1393"/>
      <c r="D2" s="1393"/>
      <c r="E2" s="1393"/>
      <c r="F2" s="1393"/>
      <c r="G2" s="1393"/>
      <c r="H2" s="1393"/>
      <c r="I2" s="1393"/>
      <c r="J2" s="1393"/>
      <c r="K2" s="1393"/>
      <c r="L2" s="1393"/>
      <c r="M2" s="1393"/>
      <c r="N2" s="1393"/>
      <c r="O2" s="1393"/>
      <c r="P2" s="1393"/>
      <c r="Q2" s="1393"/>
      <c r="R2" s="1393"/>
      <c r="S2" s="1393"/>
      <c r="T2" s="1393"/>
      <c r="U2" s="1393"/>
      <c r="V2" s="1393"/>
      <c r="W2" s="1393"/>
      <c r="X2" s="1393"/>
      <c r="Y2" s="1393"/>
      <c r="Z2" s="1393"/>
      <c r="AA2" s="1393"/>
      <c r="AB2" s="1393"/>
      <c r="AC2" s="1393"/>
      <c r="AD2" s="1393"/>
    </row>
    <row r="3" spans="1:73">
      <c r="A3" s="1393" t="s">
        <v>910</v>
      </c>
      <c r="B3" s="1393"/>
      <c r="C3" s="1393"/>
      <c r="D3" s="1393"/>
      <c r="E3" s="1393"/>
      <c r="F3" s="1393"/>
      <c r="G3" s="1393"/>
      <c r="H3" s="1393"/>
      <c r="I3" s="1393"/>
      <c r="J3" s="1393"/>
      <c r="K3" s="1393"/>
      <c r="L3" s="1393"/>
      <c r="M3" s="1393"/>
      <c r="N3" s="1393"/>
      <c r="O3" s="1393"/>
      <c r="P3" s="1393"/>
      <c r="Q3" s="1393"/>
      <c r="R3" s="1393"/>
      <c r="S3" s="1393"/>
      <c r="T3" s="1393"/>
      <c r="U3" s="1393"/>
      <c r="V3" s="1393"/>
      <c r="W3" s="1393"/>
      <c r="X3" s="1393"/>
      <c r="Y3" s="1393"/>
      <c r="Z3" s="1393"/>
      <c r="AA3" s="1393"/>
      <c r="AB3" s="1393"/>
      <c r="AC3" s="1393"/>
      <c r="AD3" s="1393"/>
    </row>
    <row r="4" spans="1:73">
      <c r="A4" s="1393" t="str">
        <f>+'45'!A4:AD4</f>
        <v>2012 - 2015</v>
      </c>
      <c r="B4" s="1393"/>
      <c r="C4" s="1393"/>
      <c r="D4" s="1393"/>
      <c r="E4" s="1393"/>
      <c r="F4" s="1393"/>
      <c r="G4" s="1393"/>
      <c r="H4" s="1393"/>
      <c r="I4" s="1393"/>
      <c r="J4" s="1393"/>
      <c r="K4" s="1393"/>
      <c r="L4" s="1393"/>
      <c r="M4" s="1393"/>
      <c r="N4" s="1393"/>
      <c r="O4" s="1393"/>
      <c r="P4" s="1393"/>
      <c r="Q4" s="1393"/>
      <c r="R4" s="1393"/>
      <c r="S4" s="1393"/>
      <c r="T4" s="1393"/>
      <c r="U4" s="1393"/>
      <c r="V4" s="1393"/>
      <c r="W4" s="1393"/>
      <c r="X4" s="1393"/>
      <c r="Y4" s="1393"/>
      <c r="Z4" s="1393"/>
      <c r="AA4" s="1393"/>
      <c r="AB4" s="1393"/>
      <c r="AC4" s="1393"/>
      <c r="AD4" s="1393"/>
    </row>
    <row r="5" spans="1:73">
      <c r="S5" s="1133"/>
    </row>
    <row r="7" spans="1:73" ht="22.5" customHeight="1">
      <c r="A7" s="522" t="s">
        <v>554</v>
      </c>
      <c r="B7" s="506" t="s">
        <v>866</v>
      </c>
      <c r="C7" s="1388" t="s">
        <v>956</v>
      </c>
      <c r="D7" s="1389"/>
      <c r="E7" s="1389"/>
      <c r="F7" s="1390"/>
      <c r="G7" s="1388" t="s">
        <v>957</v>
      </c>
      <c r="H7" s="1389"/>
      <c r="I7" s="1389"/>
      <c r="J7" s="1390"/>
      <c r="K7" s="1389" t="s">
        <v>958</v>
      </c>
      <c r="L7" s="1389"/>
      <c r="M7" s="1389"/>
      <c r="N7" s="1389"/>
      <c r="O7" s="1388" t="s">
        <v>959</v>
      </c>
      <c r="P7" s="1389"/>
      <c r="Q7" s="1389"/>
      <c r="R7" s="1390"/>
      <c r="S7" s="1389" t="s">
        <v>960</v>
      </c>
      <c r="T7" s="1389"/>
      <c r="U7" s="1389"/>
      <c r="V7" s="1389"/>
      <c r="W7" s="1388" t="s">
        <v>961</v>
      </c>
      <c r="X7" s="1389"/>
      <c r="Y7" s="1389"/>
      <c r="Z7" s="1390"/>
      <c r="AA7" s="1389" t="s">
        <v>656</v>
      </c>
      <c r="AB7" s="1389"/>
      <c r="AC7" s="1389"/>
      <c r="AD7" s="1390"/>
    </row>
    <row r="8" spans="1:73" ht="22.5" customHeight="1">
      <c r="A8" s="416"/>
      <c r="B8" s="523"/>
      <c r="C8" s="488">
        <f>+'41'!C8</f>
        <v>2012</v>
      </c>
      <c r="D8" s="489">
        <f>+'41'!D8</f>
        <v>2013</v>
      </c>
      <c r="E8" s="489">
        <f>+'41'!E8</f>
        <v>2014</v>
      </c>
      <c r="F8" s="490">
        <f>+'41'!F8</f>
        <v>2015</v>
      </c>
      <c r="G8" s="488">
        <f>+'41'!G8</f>
        <v>2012</v>
      </c>
      <c r="H8" s="489">
        <f>+'41'!H8</f>
        <v>2013</v>
      </c>
      <c r="I8" s="489">
        <f>+'41'!I8</f>
        <v>2014</v>
      </c>
      <c r="J8" s="490">
        <f>+'41'!J8</f>
        <v>2015</v>
      </c>
      <c r="K8" s="488">
        <f>+'41'!K8</f>
        <v>2012</v>
      </c>
      <c r="L8" s="489">
        <f>+'41'!L8</f>
        <v>2013</v>
      </c>
      <c r="M8" s="489">
        <f>+'41'!M8</f>
        <v>2014</v>
      </c>
      <c r="N8" s="490">
        <f>+'41'!N8</f>
        <v>2015</v>
      </c>
      <c r="O8" s="488">
        <f>+'41'!O8</f>
        <v>2012</v>
      </c>
      <c r="P8" s="489">
        <f>+'41'!P8</f>
        <v>2013</v>
      </c>
      <c r="Q8" s="489">
        <f>+'41'!Q8</f>
        <v>2014</v>
      </c>
      <c r="R8" s="490">
        <f>+'41'!R8</f>
        <v>2015</v>
      </c>
      <c r="S8" s="488">
        <f>+'41'!S8</f>
        <v>2012</v>
      </c>
      <c r="T8" s="489">
        <f>+'41'!T8</f>
        <v>2013</v>
      </c>
      <c r="U8" s="489">
        <f>+'41'!U8</f>
        <v>2014</v>
      </c>
      <c r="V8" s="490">
        <f>+'41'!V8</f>
        <v>2015</v>
      </c>
      <c r="W8" s="488">
        <f>+'41'!W8</f>
        <v>2012</v>
      </c>
      <c r="X8" s="489">
        <f>+'41'!X8</f>
        <v>2013</v>
      </c>
      <c r="Y8" s="489">
        <f>+'41'!Y8</f>
        <v>2014</v>
      </c>
      <c r="Z8" s="490">
        <f>+'41'!Z8</f>
        <v>2015</v>
      </c>
      <c r="AA8" s="489">
        <f>+'41'!AA8</f>
        <v>2012</v>
      </c>
      <c r="AB8" s="489">
        <f>+'41'!AB8</f>
        <v>2013</v>
      </c>
      <c r="AC8" s="489">
        <f>+'41'!AC8</f>
        <v>2014</v>
      </c>
      <c r="AD8" s="490">
        <f>+'41'!AD8</f>
        <v>2015</v>
      </c>
      <c r="AE8" s="509"/>
      <c r="AF8" s="509"/>
      <c r="AG8" s="509"/>
      <c r="AH8" s="509"/>
      <c r="AI8" s="509"/>
      <c r="AJ8" s="509"/>
      <c r="AK8" s="509"/>
      <c r="AL8" s="509"/>
      <c r="AM8" s="509"/>
      <c r="AN8" s="509"/>
      <c r="AO8" s="509"/>
      <c r="AP8" s="509"/>
      <c r="AQ8" s="509"/>
    </row>
    <row r="9" spans="1:73" s="507" customFormat="1" ht="22.5" customHeight="1">
      <c r="A9" s="491" t="s">
        <v>962</v>
      </c>
      <c r="B9" s="299" t="s">
        <v>1480</v>
      </c>
      <c r="C9" s="369">
        <f>+'45'!C9+'44'!C9+'43'!C9+'42'!C9+'41'!C9</f>
        <v>23190</v>
      </c>
      <c r="D9" s="370">
        <f>+'45'!D9+'44'!D9+'43'!D9+'42'!D9+'41'!D9</f>
        <v>19168</v>
      </c>
      <c r="E9" s="370">
        <f>+'45'!E9+'44'!E9+'43'!E9+'42'!E9+'41'!E9</f>
        <v>20878</v>
      </c>
      <c r="F9" s="370">
        <f>+'45'!F9+'44'!F9+'43'!F9+'42'!F9+'41'!F9</f>
        <v>23597</v>
      </c>
      <c r="G9" s="369">
        <f>+'45'!G9+'44'!G9+'43'!G9+'42'!G9+'41'!G9</f>
        <v>6352</v>
      </c>
      <c r="H9" s="370">
        <f>+'45'!H9+'44'!H9+'43'!H9+'42'!H9+'41'!H9</f>
        <v>6227</v>
      </c>
      <c r="I9" s="370">
        <f>+'45'!I9+'44'!I9+'43'!I9+'42'!I9+'41'!I9</f>
        <v>6179</v>
      </c>
      <c r="J9" s="370">
        <f>+'45'!J9+'44'!J9+'43'!J9+'42'!J9+'41'!J9</f>
        <v>6068</v>
      </c>
      <c r="K9" s="369">
        <f>+'45'!K9+'44'!K9+'43'!K9+'42'!K9+'41'!K9</f>
        <v>9839</v>
      </c>
      <c r="L9" s="370">
        <f>+'45'!L9+'44'!L9+'43'!L9+'42'!L9+'41'!L9</f>
        <v>7846</v>
      </c>
      <c r="M9" s="370">
        <f>+'45'!M9+'44'!M9+'43'!M9+'42'!M9+'41'!M9</f>
        <v>8050</v>
      </c>
      <c r="N9" s="370">
        <f>+'45'!N9+'44'!N9+'43'!N9+'42'!N9+'41'!N9</f>
        <v>7989</v>
      </c>
      <c r="O9" s="369">
        <f>+'45'!O9+'44'!O9+'43'!O9+'42'!O9+'41'!O9</f>
        <v>5878</v>
      </c>
      <c r="P9" s="370">
        <f>+'45'!P9+'44'!P9+'43'!P9+'42'!P9+'41'!P9</f>
        <v>4753</v>
      </c>
      <c r="Q9" s="370">
        <f>+'45'!Q9+'44'!Q9+'43'!Q9+'42'!Q9+'41'!Q9</f>
        <v>4644</v>
      </c>
      <c r="R9" s="370">
        <f>+'45'!R9+'44'!R9+'43'!R9+'42'!R9+'41'!R9</f>
        <v>4851</v>
      </c>
      <c r="S9" s="369">
        <f>+'45'!S9+'44'!S9+'43'!S9+'42'!S9+'41'!S9</f>
        <v>613</v>
      </c>
      <c r="T9" s="370">
        <f>+'45'!T9+'44'!T9+'43'!T9+'42'!T9+'41'!T9</f>
        <v>612</v>
      </c>
      <c r="U9" s="370">
        <f>+'45'!U9+'44'!U9+'43'!U9+'42'!U9+'41'!U9</f>
        <v>604</v>
      </c>
      <c r="V9" s="370">
        <f>+'45'!V9+'44'!V9+'43'!V9+'42'!V9+'41'!V9</f>
        <v>722</v>
      </c>
      <c r="W9" s="369">
        <f>+'45'!W9+'44'!W9+'43'!W9+'42'!W9+'41'!W9</f>
        <v>1622</v>
      </c>
      <c r="X9" s="370">
        <f>+'45'!X9+'44'!X9+'43'!X9+'42'!X9+'41'!X9</f>
        <v>1540</v>
      </c>
      <c r="Y9" s="370">
        <f>+'45'!Y9+'44'!Y9+'43'!Y9+'42'!Y9+'41'!Y9</f>
        <v>258</v>
      </c>
      <c r="Z9" s="493">
        <f>+'45'!Z9+'44'!Z9+'43'!Z9+'42'!Z9+'41'!Z9</f>
        <v>37</v>
      </c>
      <c r="AA9" s="370">
        <f t="shared" ref="AA9:AD11" si="0">+W9+S9+O9+K9+G9+C9</f>
        <v>47494</v>
      </c>
      <c r="AB9" s="370">
        <f t="shared" si="0"/>
        <v>40146</v>
      </c>
      <c r="AC9" s="370">
        <f t="shared" si="0"/>
        <v>40613</v>
      </c>
      <c r="AD9" s="492">
        <f>+Z9+V9+R9+N9+J9+F9</f>
        <v>43264</v>
      </c>
      <c r="AE9" s="524"/>
      <c r="AF9" s="524"/>
      <c r="AG9" s="524"/>
      <c r="AH9" s="524"/>
      <c r="AI9" s="524"/>
      <c r="AJ9" s="524"/>
      <c r="AK9" s="524"/>
      <c r="AL9" s="524"/>
      <c r="AM9" s="524"/>
      <c r="AN9" s="524"/>
      <c r="AO9" s="524"/>
      <c r="AP9" s="524"/>
      <c r="AQ9" s="524"/>
      <c r="AR9" s="517"/>
      <c r="AS9" s="517"/>
      <c r="AT9" s="517"/>
      <c r="AU9" s="517"/>
      <c r="AV9" s="517"/>
      <c r="AW9" s="517"/>
      <c r="AX9" s="517"/>
      <c r="AY9" s="517"/>
      <c r="AZ9" s="517"/>
      <c r="BA9" s="517"/>
      <c r="BB9" s="517"/>
      <c r="BC9" s="517"/>
      <c r="BD9" s="517"/>
      <c r="BE9" s="517"/>
      <c r="BF9" s="517"/>
      <c r="BG9" s="517"/>
      <c r="BH9" s="517"/>
      <c r="BI9" s="517"/>
      <c r="BJ9" s="517"/>
      <c r="BK9" s="517"/>
      <c r="BL9" s="517"/>
      <c r="BM9" s="517"/>
      <c r="BN9" s="517"/>
      <c r="BO9" s="517"/>
      <c r="BP9" s="517"/>
      <c r="BQ9" s="517"/>
      <c r="BR9" s="517"/>
      <c r="BS9" s="517"/>
      <c r="BT9" s="517"/>
      <c r="BU9" s="517"/>
    </row>
    <row r="10" spans="1:73" s="507" customFormat="1" ht="22.5" customHeight="1">
      <c r="A10" s="491"/>
      <c r="B10" s="299" t="s">
        <v>1481</v>
      </c>
      <c r="C10" s="369">
        <f>+'45'!C10+'44'!C10+'43'!C10+'42'!C10+'41'!C10</f>
        <v>33727</v>
      </c>
      <c r="D10" s="370">
        <f>+'45'!D10+'44'!D10+'43'!D10+'42'!D10+'41'!D10</f>
        <v>26191</v>
      </c>
      <c r="E10" s="370">
        <f>+'45'!E10+'44'!E10+'43'!E10+'42'!E10+'41'!E10</f>
        <v>22896</v>
      </c>
      <c r="F10" s="370">
        <f>+'45'!F10+'44'!F10+'43'!F10+'42'!F10+'41'!F10</f>
        <v>19351</v>
      </c>
      <c r="G10" s="369">
        <f>+'45'!G10+'44'!G10+'43'!G10+'42'!G10+'41'!G10</f>
        <v>4056</v>
      </c>
      <c r="H10" s="370">
        <f>+'45'!H10+'44'!H10+'43'!H10+'42'!H10+'41'!H10</f>
        <v>4085</v>
      </c>
      <c r="I10" s="370">
        <f>+'45'!I10+'44'!I10+'43'!I10+'42'!I10+'41'!I10</f>
        <v>5238</v>
      </c>
      <c r="J10" s="370">
        <f>+'45'!J10+'44'!J10+'43'!J10+'42'!J10+'41'!J10</f>
        <v>5653</v>
      </c>
      <c r="K10" s="369">
        <f>+'45'!K10+'44'!K10+'43'!K10+'42'!K10+'41'!K10</f>
        <v>8170</v>
      </c>
      <c r="L10" s="370">
        <f>+'45'!L10+'44'!L10+'43'!L10+'42'!L10+'41'!L10</f>
        <v>8022</v>
      </c>
      <c r="M10" s="370">
        <f>+'45'!M10+'44'!M10+'43'!M10+'42'!M10+'41'!M10</f>
        <v>8380</v>
      </c>
      <c r="N10" s="370">
        <f>+'45'!N10+'44'!N10+'43'!N10+'42'!N10+'41'!N10</f>
        <v>7979</v>
      </c>
      <c r="O10" s="369">
        <f>+'45'!O10+'44'!O10+'43'!O10+'42'!O10+'41'!O10</f>
        <v>7353</v>
      </c>
      <c r="P10" s="370">
        <f>+'45'!P10+'44'!P10+'43'!P10+'42'!P10+'41'!P10</f>
        <v>7439</v>
      </c>
      <c r="Q10" s="370">
        <f>+'45'!Q10+'44'!Q10+'43'!Q10+'42'!Q10+'41'!Q10</f>
        <v>8022</v>
      </c>
      <c r="R10" s="370">
        <f>+'45'!R10+'44'!R10+'43'!R10+'42'!R10+'41'!R10</f>
        <v>6280</v>
      </c>
      <c r="S10" s="369">
        <f>+'45'!S10+'44'!S10+'43'!S10+'42'!S10+'41'!S10</f>
        <v>1139</v>
      </c>
      <c r="T10" s="370">
        <f>+'45'!T10+'44'!T10+'43'!T10+'42'!T10+'41'!T10</f>
        <v>891</v>
      </c>
      <c r="U10" s="370">
        <f>+'45'!U10+'44'!U10+'43'!U10+'42'!U10+'41'!U10</f>
        <v>903</v>
      </c>
      <c r="V10" s="370">
        <f>+'45'!V10+'44'!V10+'43'!V10+'42'!V10+'41'!V10</f>
        <v>865</v>
      </c>
      <c r="W10" s="369">
        <f>+'45'!W10+'44'!W10+'43'!W10+'42'!W10+'41'!W10</f>
        <v>2314</v>
      </c>
      <c r="X10" s="370">
        <f>+'45'!X10+'44'!X10+'43'!X10+'42'!X10+'41'!X10</f>
        <v>1581</v>
      </c>
      <c r="Y10" s="370">
        <f>+'45'!Y10+'44'!Y10+'43'!Y10+'42'!Y10+'41'!Y10</f>
        <v>17</v>
      </c>
      <c r="Z10" s="492">
        <f>+'45'!Z10+'44'!Z10+'43'!Z10+'42'!Z10+'41'!Z10</f>
        <v>0</v>
      </c>
      <c r="AA10" s="370">
        <f t="shared" si="0"/>
        <v>56759</v>
      </c>
      <c r="AB10" s="370">
        <f t="shared" si="0"/>
        <v>48209</v>
      </c>
      <c r="AC10" s="370">
        <f t="shared" si="0"/>
        <v>45456</v>
      </c>
      <c r="AD10" s="492">
        <f t="shared" si="0"/>
        <v>40128</v>
      </c>
      <c r="AE10" s="524"/>
      <c r="AF10" s="524"/>
      <c r="AG10" s="524"/>
      <c r="AH10" s="524"/>
      <c r="AI10" s="524"/>
      <c r="AJ10" s="524"/>
      <c r="AK10" s="524"/>
      <c r="AL10" s="524"/>
      <c r="AM10" s="524"/>
      <c r="AN10" s="524"/>
      <c r="AO10" s="524"/>
      <c r="AP10" s="524"/>
      <c r="AQ10" s="524"/>
      <c r="AR10" s="517"/>
      <c r="AS10" s="517"/>
      <c r="AT10" s="517"/>
      <c r="AU10" s="517"/>
      <c r="AV10" s="517"/>
      <c r="AW10" s="517"/>
      <c r="AX10" s="517"/>
      <c r="AY10" s="517"/>
      <c r="AZ10" s="517"/>
      <c r="BA10" s="517"/>
      <c r="BB10" s="517"/>
      <c r="BC10" s="517"/>
      <c r="BD10" s="517"/>
      <c r="BE10" s="517"/>
      <c r="BF10" s="517"/>
      <c r="BG10" s="517"/>
      <c r="BH10" s="517"/>
      <c r="BI10" s="517"/>
      <c r="BJ10" s="517"/>
      <c r="BK10" s="517"/>
      <c r="BL10" s="517"/>
      <c r="BM10" s="517"/>
      <c r="BN10" s="517"/>
      <c r="BO10" s="517"/>
      <c r="BP10" s="517"/>
      <c r="BQ10" s="517"/>
      <c r="BR10" s="517"/>
      <c r="BS10" s="517"/>
      <c r="BT10" s="517"/>
      <c r="BU10" s="517"/>
    </row>
    <row r="11" spans="1:73" s="507" customFormat="1" ht="22.5" customHeight="1">
      <c r="A11" s="491"/>
      <c r="B11" s="343" t="s">
        <v>829</v>
      </c>
      <c r="C11" s="369">
        <f>+'45'!C11+'44'!C11+'43'!C11+'42'!C11+'41'!C11</f>
        <v>4963</v>
      </c>
      <c r="D11" s="370">
        <f>+'45'!D11+'44'!D11+'43'!D11+'42'!D11+'41'!D11</f>
        <v>4030</v>
      </c>
      <c r="E11" s="370">
        <f>+'45'!E11+'44'!E11+'43'!E11+'42'!E11+'41'!E11</f>
        <v>4773</v>
      </c>
      <c r="F11" s="370">
        <f>+'45'!F11+'44'!F11+'43'!F11+'42'!F11+'41'!F11</f>
        <v>4630</v>
      </c>
      <c r="G11" s="369">
        <f>+'45'!G11+'44'!G11+'43'!G11+'42'!G11+'41'!G11</f>
        <v>959</v>
      </c>
      <c r="H11" s="370">
        <f>+'45'!H11+'44'!H11+'43'!H11+'42'!H11+'41'!H11</f>
        <v>902</v>
      </c>
      <c r="I11" s="370">
        <f>+'45'!I11+'44'!I11+'43'!I11+'42'!I11+'41'!I11</f>
        <v>836</v>
      </c>
      <c r="J11" s="370">
        <f>+'45'!J11+'44'!J11+'43'!J11+'42'!J11+'41'!J11</f>
        <v>851</v>
      </c>
      <c r="K11" s="369">
        <f>+'45'!K11+'44'!K11+'43'!K11+'42'!K11+'41'!K11</f>
        <v>1530</v>
      </c>
      <c r="L11" s="370">
        <f>+'45'!L11+'44'!L11+'43'!L11+'42'!L11+'41'!L11</f>
        <v>1239</v>
      </c>
      <c r="M11" s="370">
        <f>+'45'!M11+'44'!M11+'43'!M11+'42'!M11+'41'!M11</f>
        <v>1500</v>
      </c>
      <c r="N11" s="370">
        <f>+'45'!N11+'44'!N11+'43'!N11+'42'!N11+'41'!N11</f>
        <v>1253</v>
      </c>
      <c r="O11" s="369">
        <f>+'45'!O11+'44'!O11+'43'!O11+'42'!O11+'41'!O11</f>
        <v>1077</v>
      </c>
      <c r="P11" s="370">
        <f>+'45'!P11+'44'!P11+'43'!P11+'42'!P11+'41'!P11</f>
        <v>891</v>
      </c>
      <c r="Q11" s="370">
        <f>+'45'!Q11+'44'!Q11+'43'!Q11+'42'!Q11+'41'!Q11</f>
        <v>1073</v>
      </c>
      <c r="R11" s="370">
        <f>+'45'!R11+'44'!R11+'43'!R11+'42'!R11+'41'!R11</f>
        <v>912</v>
      </c>
      <c r="S11" s="369">
        <f>+'45'!S11+'44'!S11+'43'!S11+'42'!S11+'41'!S11</f>
        <v>52</v>
      </c>
      <c r="T11" s="370">
        <f>+'45'!T11+'44'!T11+'43'!T11+'42'!T11+'41'!T11</f>
        <v>133</v>
      </c>
      <c r="U11" s="370">
        <f>+'45'!U11+'44'!U11+'43'!U11+'42'!U11+'41'!U11</f>
        <v>221</v>
      </c>
      <c r="V11" s="370">
        <f>+'45'!V11+'44'!V11+'43'!V11+'42'!V11+'41'!V11</f>
        <v>102</v>
      </c>
      <c r="W11" s="369">
        <f>+'45'!W11+'44'!W11+'43'!W11+'42'!W11+'41'!W11</f>
        <v>299</v>
      </c>
      <c r="X11" s="370">
        <f>+'45'!X11+'44'!X11+'43'!X11+'42'!X11+'41'!X11</f>
        <v>295</v>
      </c>
      <c r="Y11" s="370">
        <f>+'45'!Y11+'44'!Y11+'43'!Y11+'42'!Y11+'41'!Y11</f>
        <v>56</v>
      </c>
      <c r="Z11" s="492">
        <f>+'45'!Z11+'44'!Z11+'43'!Z11+'42'!Z11+'41'!Z11</f>
        <v>0</v>
      </c>
      <c r="AA11" s="370">
        <f t="shared" ref="AA11:AC12" si="1">+W11+S11+O11+K11+G11+C11</f>
        <v>8880</v>
      </c>
      <c r="AB11" s="370">
        <f t="shared" si="1"/>
        <v>7490</v>
      </c>
      <c r="AC11" s="370">
        <f t="shared" si="1"/>
        <v>8459</v>
      </c>
      <c r="AD11" s="492">
        <f t="shared" si="0"/>
        <v>7748</v>
      </c>
      <c r="AE11" s="524"/>
      <c r="AF11" s="524"/>
      <c r="AG11" s="524"/>
      <c r="AH11" s="524"/>
      <c r="AI11" s="524"/>
      <c r="AJ11" s="524"/>
      <c r="AK11" s="524"/>
      <c r="AL11" s="524"/>
      <c r="AM11" s="524"/>
      <c r="AN11" s="524"/>
      <c r="AO11" s="524"/>
      <c r="AP11" s="524"/>
      <c r="AQ11" s="524"/>
      <c r="AR11" s="517"/>
      <c r="AS11" s="517"/>
      <c r="AT11" s="517"/>
      <c r="AU11" s="517"/>
      <c r="AV11" s="517"/>
      <c r="AW11" s="517"/>
      <c r="AX11" s="517"/>
      <c r="AY11" s="517"/>
      <c r="AZ11" s="517"/>
      <c r="BA11" s="517"/>
      <c r="BB11" s="517"/>
      <c r="BC11" s="517"/>
      <c r="BD11" s="517"/>
      <c r="BE11" s="517"/>
      <c r="BF11" s="517"/>
      <c r="BG11" s="517"/>
      <c r="BH11" s="517"/>
      <c r="BI11" s="517"/>
      <c r="BJ11" s="517"/>
      <c r="BK11" s="517"/>
      <c r="BL11" s="517"/>
      <c r="BM11" s="517"/>
      <c r="BN11" s="517"/>
      <c r="BO11" s="517"/>
      <c r="BP11" s="517"/>
      <c r="BQ11" s="517"/>
      <c r="BR11" s="517"/>
      <c r="BS11" s="517"/>
      <c r="BT11" s="517"/>
      <c r="BU11" s="517"/>
    </row>
    <row r="12" spans="1:73" s="507" customFormat="1" ht="22.5" customHeight="1">
      <c r="A12" s="491"/>
      <c r="B12" s="299" t="s">
        <v>1282</v>
      </c>
      <c r="C12" s="369">
        <f>+'45'!C12+'44'!C12+'43'!C12+'42'!C12+'41'!C12</f>
        <v>1082</v>
      </c>
      <c r="D12" s="370">
        <f>+'45'!D12+'44'!D12+'43'!D12+'42'!D12+'41'!D12</f>
        <v>879</v>
      </c>
      <c r="E12" s="370">
        <f>+'45'!E12+'44'!E12+'43'!E12+'42'!E12+'41'!E12</f>
        <v>1011</v>
      </c>
      <c r="F12" s="370">
        <f>+'45'!F12+'44'!F12+'43'!F12+'42'!F12+'41'!F12</f>
        <v>794</v>
      </c>
      <c r="G12" s="369">
        <f>+'45'!G12+'44'!G12+'43'!G12+'42'!G12+'41'!G12</f>
        <v>232</v>
      </c>
      <c r="H12" s="370">
        <f>+'45'!H12+'44'!H12+'43'!H12+'42'!H12+'41'!H12</f>
        <v>266</v>
      </c>
      <c r="I12" s="370">
        <f>+'45'!I12+'44'!I12+'43'!I12+'42'!I12+'41'!I12</f>
        <v>257</v>
      </c>
      <c r="J12" s="370">
        <f>+'45'!J12+'44'!J12+'43'!J12+'42'!J12+'41'!J12</f>
        <v>202</v>
      </c>
      <c r="K12" s="369">
        <f>+'45'!K12+'44'!K12+'43'!K12+'42'!K12+'41'!K12</f>
        <v>281</v>
      </c>
      <c r="L12" s="370">
        <f>+'45'!L12+'44'!L12+'43'!L12+'42'!L12+'41'!L12</f>
        <v>357</v>
      </c>
      <c r="M12" s="370">
        <f>+'45'!M12+'44'!M12+'43'!M12+'42'!M12+'41'!M12</f>
        <v>342</v>
      </c>
      <c r="N12" s="370">
        <f>+'45'!N12+'44'!N12+'43'!N12+'42'!N12+'41'!N12</f>
        <v>289</v>
      </c>
      <c r="O12" s="369">
        <f>+'45'!O12+'44'!O12+'43'!O12+'42'!O12+'41'!O12</f>
        <v>243</v>
      </c>
      <c r="P12" s="370">
        <f>+'45'!P12+'44'!P12+'43'!P12+'42'!P12+'41'!P12</f>
        <v>145</v>
      </c>
      <c r="Q12" s="370">
        <f>+'45'!Q12+'44'!Q12+'43'!Q12+'42'!Q12+'41'!Q12</f>
        <v>212</v>
      </c>
      <c r="R12" s="370">
        <f>+'45'!R12+'44'!R12+'43'!R12+'42'!R12+'41'!R12</f>
        <v>154</v>
      </c>
      <c r="S12" s="369">
        <f>+'45'!S12+'44'!S12+'43'!S12+'42'!S12+'41'!S12</f>
        <v>12</v>
      </c>
      <c r="T12" s="370">
        <f>+'45'!T12+'44'!T12+'43'!T12+'42'!T12+'41'!T12</f>
        <v>23</v>
      </c>
      <c r="U12" s="370">
        <f>+'45'!U12+'44'!U12+'43'!U12+'42'!U12+'41'!U12</f>
        <v>26</v>
      </c>
      <c r="V12" s="370">
        <f>+'45'!V12+'44'!V12+'43'!V12+'42'!V12+'41'!V12</f>
        <v>10</v>
      </c>
      <c r="W12" s="369">
        <f>+'45'!W12+'44'!W12+'43'!W12+'42'!W12+'41'!W12</f>
        <v>78</v>
      </c>
      <c r="X12" s="370">
        <f>+'45'!X12+'44'!X12+'43'!X12+'42'!X12+'41'!X12</f>
        <v>88</v>
      </c>
      <c r="Y12" s="370">
        <f>+'45'!Y12+'44'!Y12+'43'!Y12+'42'!Y12+'41'!Y12</f>
        <v>16</v>
      </c>
      <c r="Z12" s="492">
        <f>+'45'!Z12+'44'!Z12+'43'!Z12+'42'!Z12+'41'!Z12</f>
        <v>18</v>
      </c>
      <c r="AA12" s="370">
        <f t="shared" si="1"/>
        <v>1928</v>
      </c>
      <c r="AB12" s="370">
        <f t="shared" si="1"/>
        <v>1758</v>
      </c>
      <c r="AC12" s="370">
        <f t="shared" si="1"/>
        <v>1864</v>
      </c>
      <c r="AD12" s="492">
        <f>+Z12+V12+R12+N12+J12+F12</f>
        <v>1467</v>
      </c>
      <c r="AE12" s="524"/>
      <c r="AF12" s="524"/>
      <c r="AG12" s="524"/>
      <c r="AH12" s="524"/>
      <c r="AI12" s="524"/>
      <c r="AJ12" s="524"/>
      <c r="AK12" s="524"/>
      <c r="AL12" s="524"/>
      <c r="AM12" s="524"/>
      <c r="AN12" s="524"/>
      <c r="AO12" s="524"/>
      <c r="AP12" s="524"/>
      <c r="AQ12" s="524"/>
      <c r="AR12" s="517"/>
      <c r="AS12" s="517"/>
      <c r="AT12" s="517"/>
      <c r="AU12" s="517"/>
      <c r="AV12" s="517"/>
      <c r="AW12" s="517"/>
      <c r="AX12" s="517"/>
      <c r="AY12" s="517"/>
      <c r="AZ12" s="517"/>
      <c r="BA12" s="517"/>
      <c r="BB12" s="517"/>
      <c r="BC12" s="517"/>
      <c r="BD12" s="517"/>
      <c r="BE12" s="517"/>
      <c r="BF12" s="517"/>
      <c r="BG12" s="517"/>
      <c r="BH12" s="517"/>
      <c r="BI12" s="517"/>
      <c r="BJ12" s="517"/>
      <c r="BK12" s="517"/>
      <c r="BL12" s="517"/>
      <c r="BM12" s="517"/>
      <c r="BN12" s="517"/>
      <c r="BO12" s="517"/>
      <c r="BP12" s="517"/>
      <c r="BQ12" s="517"/>
      <c r="BR12" s="517"/>
      <c r="BS12" s="517"/>
      <c r="BT12" s="517"/>
      <c r="BU12" s="517"/>
    </row>
    <row r="13" spans="1:73" s="507" customFormat="1" ht="22.5" customHeight="1">
      <c r="A13" s="491">
        <v>10331</v>
      </c>
      <c r="B13" s="491" t="s">
        <v>644</v>
      </c>
      <c r="C13" s="369">
        <f t="shared" ref="C13:N13" si="2">SUM(C9:C12)</f>
        <v>62962</v>
      </c>
      <c r="D13" s="370">
        <f t="shared" si="2"/>
        <v>50268</v>
      </c>
      <c r="E13" s="370">
        <f t="shared" si="2"/>
        <v>49558</v>
      </c>
      <c r="F13" s="492">
        <f t="shared" si="2"/>
        <v>48372</v>
      </c>
      <c r="G13" s="369">
        <f t="shared" si="2"/>
        <v>11599</v>
      </c>
      <c r="H13" s="370">
        <f t="shared" si="2"/>
        <v>11480</v>
      </c>
      <c r="I13" s="370">
        <f t="shared" si="2"/>
        <v>12510</v>
      </c>
      <c r="J13" s="492">
        <f t="shared" ref="J13" si="3">SUM(J9:J12)</f>
        <v>12774</v>
      </c>
      <c r="K13" s="369">
        <f t="shared" si="2"/>
        <v>19820</v>
      </c>
      <c r="L13" s="370">
        <f t="shared" si="2"/>
        <v>17464</v>
      </c>
      <c r="M13" s="370">
        <f t="shared" si="2"/>
        <v>18272</v>
      </c>
      <c r="N13" s="492">
        <f t="shared" si="2"/>
        <v>17510</v>
      </c>
      <c r="O13" s="369">
        <f t="shared" ref="O13:Z13" si="4">SUM(O9:O12)</f>
        <v>14551</v>
      </c>
      <c r="P13" s="370">
        <f t="shared" si="4"/>
        <v>13228</v>
      </c>
      <c r="Q13" s="370">
        <f t="shared" si="4"/>
        <v>13951</v>
      </c>
      <c r="R13" s="492">
        <f t="shared" si="4"/>
        <v>12197</v>
      </c>
      <c r="S13" s="369">
        <f t="shared" si="4"/>
        <v>1816</v>
      </c>
      <c r="T13" s="370">
        <f t="shared" si="4"/>
        <v>1659</v>
      </c>
      <c r="U13" s="370">
        <f t="shared" si="4"/>
        <v>1754</v>
      </c>
      <c r="V13" s="492">
        <f t="shared" si="4"/>
        <v>1699</v>
      </c>
      <c r="W13" s="369">
        <f t="shared" si="4"/>
        <v>4313</v>
      </c>
      <c r="X13" s="370">
        <f t="shared" si="4"/>
        <v>3504</v>
      </c>
      <c r="Y13" s="370">
        <f t="shared" si="4"/>
        <v>347</v>
      </c>
      <c r="Z13" s="492">
        <f t="shared" si="4"/>
        <v>55</v>
      </c>
      <c r="AA13" s="369">
        <f t="shared" ref="AA13" si="5">SUM(AA9:AA12)</f>
        <v>115061</v>
      </c>
      <c r="AB13" s="370">
        <f t="shared" ref="AB13" si="6">SUM(AB9:AB12)</f>
        <v>97603</v>
      </c>
      <c r="AC13" s="370">
        <f t="shared" ref="AC13" si="7">SUM(AC9:AC12)</f>
        <v>96392</v>
      </c>
      <c r="AD13" s="492">
        <f t="shared" ref="AD13" si="8">SUM(AD9:AD12)</f>
        <v>92607</v>
      </c>
      <c r="AE13" s="524"/>
      <c r="AF13" s="524"/>
      <c r="AG13" s="524"/>
      <c r="AH13" s="524"/>
      <c r="AI13" s="524"/>
      <c r="AJ13" s="524"/>
      <c r="AK13" s="524"/>
      <c r="AL13" s="524"/>
      <c r="AM13" s="524"/>
      <c r="AN13" s="524"/>
      <c r="AO13" s="524"/>
      <c r="AP13" s="524"/>
      <c r="AQ13" s="524"/>
      <c r="AR13" s="517"/>
      <c r="AS13" s="517"/>
      <c r="AT13" s="517"/>
      <c r="AU13" s="517"/>
      <c r="AV13" s="517"/>
      <c r="AW13" s="517"/>
      <c r="AX13" s="517"/>
      <c r="AY13" s="517"/>
      <c r="AZ13" s="517"/>
      <c r="BA13" s="517"/>
      <c r="BB13" s="517"/>
      <c r="BC13" s="517"/>
      <c r="BD13" s="517"/>
      <c r="BE13" s="517"/>
      <c r="BF13" s="517"/>
      <c r="BG13" s="517"/>
      <c r="BH13" s="517"/>
      <c r="BI13" s="517"/>
      <c r="BJ13" s="517"/>
      <c r="BK13" s="517"/>
      <c r="BL13" s="517"/>
      <c r="BM13" s="517"/>
      <c r="BN13" s="517"/>
      <c r="BO13" s="517"/>
      <c r="BP13" s="517"/>
      <c r="BQ13" s="517"/>
      <c r="BR13" s="517"/>
      <c r="BS13" s="517"/>
      <c r="BT13" s="517"/>
      <c r="BU13" s="517"/>
    </row>
    <row r="14" spans="1:73" s="507" customFormat="1" ht="22.5" customHeight="1">
      <c r="A14" s="491" t="s">
        <v>540</v>
      </c>
      <c r="B14" s="343" t="s">
        <v>830</v>
      </c>
      <c r="C14" s="369">
        <f>+'45'!C14+'44'!C14+'43'!C14+'42'!C14+'41'!C14</f>
        <v>15539</v>
      </c>
      <c r="D14" s="370">
        <f>+'45'!D14+'44'!D14+'43'!D14+'42'!D14+'41'!D14</f>
        <v>13328</v>
      </c>
      <c r="E14" s="370">
        <f>+'45'!E14+'44'!E14+'43'!E14+'42'!E14+'41'!E14</f>
        <v>16648</v>
      </c>
      <c r="F14" s="370">
        <f>+'45'!F14+'44'!F14+'43'!F14+'42'!F14+'41'!F14</f>
        <v>15548</v>
      </c>
      <c r="G14" s="369">
        <f>+'45'!G14+'44'!G14+'43'!G14+'42'!G14+'41'!G14</f>
        <v>3319</v>
      </c>
      <c r="H14" s="370">
        <f>+'45'!H14+'44'!H14+'43'!H14+'42'!H14+'41'!H14</f>
        <v>4131</v>
      </c>
      <c r="I14" s="370">
        <f>+'45'!I14+'44'!I14+'43'!I14+'42'!I14+'41'!I14</f>
        <v>3400</v>
      </c>
      <c r="J14" s="370">
        <f>+'45'!J14+'44'!J14+'43'!J14+'42'!J14+'41'!J14</f>
        <v>3074</v>
      </c>
      <c r="K14" s="369">
        <f>+'45'!K14+'44'!K14+'43'!K14+'42'!K14+'41'!K14</f>
        <v>4229</v>
      </c>
      <c r="L14" s="370">
        <f>+'45'!L14+'44'!L14+'43'!L14+'42'!L14+'41'!L14</f>
        <v>4428</v>
      </c>
      <c r="M14" s="370">
        <f>+'45'!M14+'44'!M14+'43'!M14+'42'!M14+'41'!M14</f>
        <v>4555</v>
      </c>
      <c r="N14" s="370">
        <f>+'45'!N14+'44'!N14+'43'!N14+'42'!N14+'41'!N14</f>
        <v>4133</v>
      </c>
      <c r="O14" s="369">
        <f>+'45'!O14+'44'!O14+'43'!O14+'42'!O14+'41'!O14</f>
        <v>2274</v>
      </c>
      <c r="P14" s="370">
        <f>+'45'!P14+'44'!P14+'43'!P14+'42'!P14+'41'!P14</f>
        <v>2314</v>
      </c>
      <c r="Q14" s="370">
        <f>+'45'!Q14+'44'!Q14+'43'!Q14+'42'!Q14+'41'!Q14</f>
        <v>2728</v>
      </c>
      <c r="R14" s="370">
        <f>+'45'!R14+'44'!R14+'43'!R14+'42'!R14+'41'!R14</f>
        <v>2219</v>
      </c>
      <c r="S14" s="369">
        <f>+'45'!S14+'44'!S14+'43'!S14+'42'!S14+'41'!S14</f>
        <v>712</v>
      </c>
      <c r="T14" s="370">
        <f>+'45'!T14+'44'!T14+'43'!T14+'42'!T14+'41'!T14</f>
        <v>1234</v>
      </c>
      <c r="U14" s="370">
        <f>+'45'!U14+'44'!U14+'43'!U14+'42'!U14+'41'!U14</f>
        <v>1957</v>
      </c>
      <c r="V14" s="370">
        <f>+'45'!V14+'44'!V14+'43'!V14+'42'!V14+'41'!V14</f>
        <v>2669</v>
      </c>
      <c r="W14" s="369">
        <f>+'45'!W14+'44'!W14+'43'!W14+'42'!W14+'41'!W14</f>
        <v>454</v>
      </c>
      <c r="X14" s="370">
        <f>+'45'!X14+'44'!X14+'43'!X14+'42'!X14+'41'!X14</f>
        <v>382</v>
      </c>
      <c r="Y14" s="370">
        <f>+'45'!Y14+'44'!Y14+'43'!Y14+'42'!Y14+'41'!Y14</f>
        <v>0</v>
      </c>
      <c r="Z14" s="492">
        <f>+'45'!Z14+'44'!Z14+'43'!Z14+'42'!Z14+'41'!Z14</f>
        <v>0</v>
      </c>
      <c r="AA14" s="370">
        <f t="shared" ref="AA14:AD16" si="9">+W14+S14+O14+K14+G14+C14</f>
        <v>26527</v>
      </c>
      <c r="AB14" s="370">
        <f t="shared" si="9"/>
        <v>25817</v>
      </c>
      <c r="AC14" s="370">
        <f t="shared" si="9"/>
        <v>29288</v>
      </c>
      <c r="AD14" s="492">
        <f t="shared" si="9"/>
        <v>27643</v>
      </c>
      <c r="AE14" s="524"/>
      <c r="AF14" s="524"/>
      <c r="AG14" s="524"/>
      <c r="AH14" s="524"/>
      <c r="AI14" s="524"/>
      <c r="AJ14" s="524"/>
      <c r="AK14" s="524"/>
      <c r="AL14" s="524"/>
      <c r="AM14" s="524"/>
      <c r="AN14" s="524"/>
      <c r="AO14" s="524"/>
      <c r="AP14" s="524"/>
      <c r="AQ14" s="524"/>
      <c r="AR14" s="517"/>
      <c r="AS14" s="517"/>
      <c r="AT14" s="517"/>
      <c r="AU14" s="517"/>
      <c r="AV14" s="517"/>
      <c r="AW14" s="517"/>
      <c r="AX14" s="517"/>
      <c r="AY14" s="517"/>
      <c r="AZ14" s="517"/>
      <c r="BA14" s="517"/>
      <c r="BB14" s="517"/>
      <c r="BC14" s="517"/>
      <c r="BD14" s="517"/>
      <c r="BE14" s="517"/>
      <c r="BF14" s="517"/>
      <c r="BG14" s="517"/>
      <c r="BH14" s="517"/>
      <c r="BI14" s="517"/>
      <c r="BJ14" s="517"/>
      <c r="BK14" s="517"/>
      <c r="BL14" s="517"/>
      <c r="BM14" s="517"/>
      <c r="BN14" s="517"/>
      <c r="BO14" s="517"/>
      <c r="BP14" s="517"/>
      <c r="BQ14" s="517"/>
      <c r="BR14" s="517"/>
      <c r="BS14" s="517"/>
      <c r="BT14" s="517"/>
      <c r="BU14" s="517"/>
    </row>
    <row r="15" spans="1:73" s="507" customFormat="1" ht="22.5" customHeight="1">
      <c r="A15" s="491"/>
      <c r="B15" s="251" t="s">
        <v>1287</v>
      </c>
      <c r="C15" s="369">
        <f>+'45'!C15+'44'!C15+'43'!C15+'42'!C15+'41'!C15</f>
        <v>4963</v>
      </c>
      <c r="D15" s="370">
        <f>+'45'!D15+'44'!D15+'43'!D15+'42'!D15+'41'!D15</f>
        <v>1876</v>
      </c>
      <c r="E15" s="370">
        <f>+'45'!E15+'44'!E15+'43'!E15+'42'!E15+'41'!E15</f>
        <v>2001</v>
      </c>
      <c r="F15" s="370">
        <f>+'45'!F15+'44'!F15+'43'!F15+'42'!F15+'41'!F15</f>
        <v>2200</v>
      </c>
      <c r="G15" s="369">
        <f>+'45'!G15+'44'!G15+'43'!G15+'42'!G15+'41'!G15</f>
        <v>959</v>
      </c>
      <c r="H15" s="370">
        <f>+'45'!H15+'44'!H15+'43'!H15+'42'!H15+'41'!H15</f>
        <v>819</v>
      </c>
      <c r="I15" s="370">
        <f>+'45'!I15+'44'!I15+'43'!I15+'42'!I15+'41'!I15</f>
        <v>748</v>
      </c>
      <c r="J15" s="370">
        <f>+'45'!J15+'44'!J15+'43'!J15+'42'!J15+'41'!J15</f>
        <v>530</v>
      </c>
      <c r="K15" s="369">
        <f>+'45'!K15+'44'!K15+'43'!K15+'42'!K15+'41'!K15</f>
        <v>1530</v>
      </c>
      <c r="L15" s="370">
        <f>+'45'!L15+'44'!L15+'43'!L15+'42'!L15+'41'!L15</f>
        <v>971</v>
      </c>
      <c r="M15" s="370">
        <f>+'45'!M15+'44'!M15+'43'!M15+'42'!M15+'41'!M15</f>
        <v>824</v>
      </c>
      <c r="N15" s="370">
        <f>+'45'!N15+'44'!N15+'43'!N15+'42'!N15+'41'!N15</f>
        <v>716</v>
      </c>
      <c r="O15" s="369">
        <f>+'45'!O15+'44'!O15+'43'!O15+'42'!O15+'41'!O15</f>
        <v>1077</v>
      </c>
      <c r="P15" s="370">
        <f>+'45'!P15+'44'!P15+'43'!P15+'42'!P15+'41'!P15</f>
        <v>440</v>
      </c>
      <c r="Q15" s="370">
        <f>+'45'!Q15+'44'!Q15+'43'!Q15+'42'!Q15+'41'!Q15</f>
        <v>562</v>
      </c>
      <c r="R15" s="370">
        <f>+'45'!R15+'44'!R15+'43'!R15+'42'!R15+'41'!R15</f>
        <v>389</v>
      </c>
      <c r="S15" s="369">
        <f>+'45'!S15+'44'!S15+'43'!S15+'42'!S15+'41'!S15</f>
        <v>52</v>
      </c>
      <c r="T15" s="370">
        <f>+'45'!T15+'44'!T15+'43'!T15+'42'!T15+'41'!T15</f>
        <v>0</v>
      </c>
      <c r="U15" s="370">
        <f>+'45'!U15+'44'!U15+'43'!U15+'42'!U15+'41'!U15</f>
        <v>0</v>
      </c>
      <c r="V15" s="370">
        <f>+'45'!V15+'44'!V15+'43'!V15+'42'!V15+'41'!V15</f>
        <v>0</v>
      </c>
      <c r="W15" s="369">
        <f>+'45'!W15+'44'!W15+'43'!W15+'42'!W15+'41'!W15</f>
        <v>299</v>
      </c>
      <c r="X15" s="370">
        <f>+'45'!X15+'44'!X15+'43'!X15+'42'!X15+'41'!X15</f>
        <v>100</v>
      </c>
      <c r="Y15" s="370">
        <f>+'45'!Y15+'44'!Y15+'43'!Y15+'42'!Y15+'41'!Y15</f>
        <v>0</v>
      </c>
      <c r="Z15" s="492">
        <f>+'45'!Z15+'44'!Z15+'43'!Z15+'42'!Z15+'41'!Z15</f>
        <v>0</v>
      </c>
      <c r="AA15" s="370">
        <f t="shared" si="9"/>
        <v>8880</v>
      </c>
      <c r="AB15" s="370">
        <f t="shared" si="9"/>
        <v>4206</v>
      </c>
      <c r="AC15" s="370">
        <f t="shared" si="9"/>
        <v>4135</v>
      </c>
      <c r="AD15" s="492">
        <f t="shared" si="9"/>
        <v>3835</v>
      </c>
      <c r="AE15" s="524"/>
      <c r="AF15" s="524"/>
      <c r="AG15" s="524"/>
      <c r="AH15" s="524"/>
      <c r="AI15" s="524"/>
      <c r="AJ15" s="524"/>
      <c r="AK15" s="524"/>
      <c r="AL15" s="524"/>
      <c r="AM15" s="524"/>
      <c r="AN15" s="524"/>
      <c r="AO15" s="524"/>
      <c r="AP15" s="524"/>
      <c r="AQ15" s="524"/>
      <c r="AR15" s="517"/>
      <c r="AS15" s="517"/>
      <c r="AT15" s="517"/>
      <c r="AU15" s="517"/>
      <c r="AV15" s="517"/>
      <c r="AW15" s="517"/>
      <c r="AX15" s="517"/>
      <c r="AY15" s="517"/>
      <c r="AZ15" s="517"/>
      <c r="BA15" s="517"/>
      <c r="BB15" s="517"/>
      <c r="BC15" s="517"/>
      <c r="BD15" s="517"/>
      <c r="BE15" s="517"/>
      <c r="BF15" s="517"/>
      <c r="BG15" s="517"/>
      <c r="BH15" s="517"/>
      <c r="BI15" s="517"/>
      <c r="BJ15" s="517"/>
      <c r="BK15" s="517"/>
      <c r="BL15" s="517"/>
      <c r="BM15" s="517"/>
      <c r="BN15" s="517"/>
      <c r="BO15" s="517"/>
      <c r="BP15" s="517"/>
      <c r="BQ15" s="517"/>
      <c r="BR15" s="517"/>
      <c r="BS15" s="517"/>
      <c r="BT15" s="517"/>
      <c r="BU15" s="517"/>
    </row>
    <row r="16" spans="1:73" s="507" customFormat="1" ht="22.5" customHeight="1">
      <c r="A16" s="491"/>
      <c r="B16" s="299" t="s">
        <v>1284</v>
      </c>
      <c r="C16" s="369">
        <f>+'45'!C16+'44'!C16+'43'!C16+'42'!C16+'41'!C16</f>
        <v>2247</v>
      </c>
      <c r="D16" s="370">
        <f>+'45'!D16+'44'!D16+'43'!D16+'42'!D16+'41'!D16</f>
        <v>1629</v>
      </c>
      <c r="E16" s="370">
        <f>+'45'!E16+'44'!E16+'43'!E16+'42'!E16+'41'!E16</f>
        <v>1966</v>
      </c>
      <c r="F16" s="370">
        <f>+'45'!F16+'44'!F16+'43'!F16+'42'!F16+'41'!F16</f>
        <v>1824</v>
      </c>
      <c r="G16" s="369">
        <f>+'45'!G16+'44'!G16+'43'!G16+'42'!G16+'41'!G16</f>
        <v>630</v>
      </c>
      <c r="H16" s="370">
        <f>+'45'!H16+'44'!H16+'43'!H16+'42'!H16+'41'!H16</f>
        <v>591</v>
      </c>
      <c r="I16" s="370">
        <f>+'45'!I16+'44'!I16+'43'!I16+'42'!I16+'41'!I16</f>
        <v>477</v>
      </c>
      <c r="J16" s="370">
        <f>+'45'!J16+'44'!J16+'43'!J16+'42'!J16+'41'!J16</f>
        <v>449</v>
      </c>
      <c r="K16" s="369">
        <f>+'45'!K16+'44'!K16+'43'!K16+'42'!K16+'41'!K16</f>
        <v>665</v>
      </c>
      <c r="L16" s="370">
        <f>+'45'!L16+'44'!L16+'43'!L16+'42'!L16+'41'!L16</f>
        <v>598</v>
      </c>
      <c r="M16" s="370">
        <f>+'45'!M16+'44'!M16+'43'!M16+'42'!M16+'41'!M16</f>
        <v>531</v>
      </c>
      <c r="N16" s="370">
        <f>+'45'!N16+'44'!N16+'43'!N16+'42'!N16+'41'!N16</f>
        <v>562</v>
      </c>
      <c r="O16" s="369">
        <f>+'45'!O16+'44'!O16+'43'!O16+'42'!O16+'41'!O16</f>
        <v>311</v>
      </c>
      <c r="P16" s="370">
        <f>+'45'!P16+'44'!P16+'43'!P16+'42'!P16+'41'!P16</f>
        <v>253</v>
      </c>
      <c r="Q16" s="370">
        <f>+'45'!Q16+'44'!Q16+'43'!Q16+'42'!Q16+'41'!Q16</f>
        <v>261</v>
      </c>
      <c r="R16" s="370">
        <f>+'45'!R16+'44'!R16+'43'!R16+'42'!R16+'41'!R16</f>
        <v>236</v>
      </c>
      <c r="S16" s="369">
        <f>+'45'!S16+'44'!S16+'43'!S16+'42'!S16+'41'!S16</f>
        <v>3</v>
      </c>
      <c r="T16" s="370">
        <f>+'45'!T16+'44'!T16+'43'!T16+'42'!T16+'41'!T16</f>
        <v>0</v>
      </c>
      <c r="U16" s="370">
        <f>+'45'!U16+'44'!U16+'43'!U16+'42'!U16+'41'!U16</f>
        <v>0</v>
      </c>
      <c r="V16" s="370">
        <f>+'45'!V16+'44'!V16+'43'!V16+'42'!V16+'41'!V16</f>
        <v>0</v>
      </c>
      <c r="W16" s="369">
        <f>+'45'!W16+'44'!W16+'43'!W16+'42'!W16+'41'!W16</f>
        <v>29</v>
      </c>
      <c r="X16" s="370">
        <f>+'45'!X16+'44'!X16+'43'!X16+'42'!X16+'41'!X16</f>
        <v>54</v>
      </c>
      <c r="Y16" s="370">
        <f>+'45'!Y16+'44'!Y16+'43'!Y16+'42'!Y16+'41'!Y16</f>
        <v>0</v>
      </c>
      <c r="Z16" s="492">
        <f>+'45'!Z16+'44'!Z16+'43'!Z16+'42'!Z16+'41'!Z16</f>
        <v>0</v>
      </c>
      <c r="AA16" s="370">
        <f t="shared" si="9"/>
        <v>3885</v>
      </c>
      <c r="AB16" s="370">
        <f t="shared" si="9"/>
        <v>3125</v>
      </c>
      <c r="AC16" s="370">
        <f t="shared" si="9"/>
        <v>3235</v>
      </c>
      <c r="AD16" s="492">
        <f t="shared" si="9"/>
        <v>3071</v>
      </c>
      <c r="AE16" s="524"/>
      <c r="AF16" s="524"/>
      <c r="AG16" s="524"/>
      <c r="AH16" s="524"/>
      <c r="AI16" s="524"/>
      <c r="AJ16" s="524"/>
      <c r="AK16" s="524"/>
      <c r="AL16" s="524"/>
      <c r="AM16" s="524"/>
      <c r="AN16" s="524"/>
      <c r="AO16" s="524"/>
      <c r="AP16" s="524"/>
      <c r="AQ16" s="524"/>
      <c r="AR16" s="517"/>
      <c r="AS16" s="517"/>
      <c r="AT16" s="517"/>
      <c r="AU16" s="517"/>
      <c r="AV16" s="517"/>
      <c r="AW16" s="517"/>
      <c r="AX16" s="517"/>
      <c r="AY16" s="517"/>
      <c r="AZ16" s="517"/>
      <c r="BA16" s="517"/>
      <c r="BB16" s="517"/>
      <c r="BC16" s="517"/>
      <c r="BD16" s="517"/>
      <c r="BE16" s="517"/>
      <c r="BF16" s="517"/>
      <c r="BG16" s="517"/>
      <c r="BH16" s="517"/>
      <c r="BI16" s="517"/>
      <c r="BJ16" s="517"/>
      <c r="BK16" s="517"/>
      <c r="BL16" s="517"/>
      <c r="BM16" s="517"/>
      <c r="BN16" s="517"/>
      <c r="BO16" s="517"/>
      <c r="BP16" s="517"/>
      <c r="BQ16" s="517"/>
      <c r="BR16" s="517"/>
      <c r="BS16" s="517"/>
      <c r="BT16" s="517"/>
      <c r="BU16" s="517"/>
    </row>
    <row r="17" spans="1:73" s="507" customFormat="1" ht="22.5" customHeight="1">
      <c r="A17" s="1119"/>
      <c r="B17" s="343" t="s">
        <v>644</v>
      </c>
      <c r="C17" s="369">
        <f t="shared" ref="C17:AD17" si="10">SUM(C14:C16)</f>
        <v>22749</v>
      </c>
      <c r="D17" s="370">
        <f t="shared" si="10"/>
        <v>16833</v>
      </c>
      <c r="E17" s="370">
        <f t="shared" si="10"/>
        <v>20615</v>
      </c>
      <c r="F17" s="370">
        <f t="shared" si="10"/>
        <v>19572</v>
      </c>
      <c r="G17" s="369">
        <f t="shared" si="10"/>
        <v>4908</v>
      </c>
      <c r="H17" s="370">
        <f t="shared" si="10"/>
        <v>5541</v>
      </c>
      <c r="I17" s="370">
        <f t="shared" si="10"/>
        <v>4625</v>
      </c>
      <c r="J17" s="370">
        <f t="shared" ref="J17" si="11">SUM(J14:J16)</f>
        <v>4053</v>
      </c>
      <c r="K17" s="369">
        <f t="shared" si="10"/>
        <v>6424</v>
      </c>
      <c r="L17" s="370">
        <f t="shared" si="10"/>
        <v>5997</v>
      </c>
      <c r="M17" s="370">
        <f t="shared" si="10"/>
        <v>5910</v>
      </c>
      <c r="N17" s="370">
        <f t="shared" si="10"/>
        <v>5411</v>
      </c>
      <c r="O17" s="369">
        <f t="shared" si="10"/>
        <v>3662</v>
      </c>
      <c r="P17" s="370">
        <f t="shared" si="10"/>
        <v>3007</v>
      </c>
      <c r="Q17" s="370">
        <f t="shared" si="10"/>
        <v>3551</v>
      </c>
      <c r="R17" s="370">
        <f t="shared" si="10"/>
        <v>2844</v>
      </c>
      <c r="S17" s="369">
        <f t="shared" si="10"/>
        <v>767</v>
      </c>
      <c r="T17" s="370">
        <f t="shared" si="10"/>
        <v>1234</v>
      </c>
      <c r="U17" s="370">
        <f t="shared" si="10"/>
        <v>1957</v>
      </c>
      <c r="V17" s="370">
        <f t="shared" si="10"/>
        <v>2669</v>
      </c>
      <c r="W17" s="369">
        <f t="shared" si="10"/>
        <v>782</v>
      </c>
      <c r="X17" s="370">
        <f t="shared" si="10"/>
        <v>536</v>
      </c>
      <c r="Y17" s="370">
        <f t="shared" si="10"/>
        <v>0</v>
      </c>
      <c r="Z17" s="370">
        <f t="shared" si="10"/>
        <v>0</v>
      </c>
      <c r="AA17" s="369">
        <f t="shared" si="10"/>
        <v>39292</v>
      </c>
      <c r="AB17" s="370">
        <f t="shared" si="10"/>
        <v>33148</v>
      </c>
      <c r="AC17" s="370">
        <f t="shared" si="10"/>
        <v>36658</v>
      </c>
      <c r="AD17" s="492">
        <f t="shared" si="10"/>
        <v>34549</v>
      </c>
      <c r="AE17" s="524"/>
      <c r="AF17" s="524"/>
      <c r="AG17" s="524"/>
      <c r="AH17" s="524"/>
      <c r="AI17" s="524"/>
      <c r="AJ17" s="524"/>
      <c r="AK17" s="524"/>
      <c r="AL17" s="524"/>
      <c r="AM17" s="524"/>
      <c r="AN17" s="524"/>
      <c r="AO17" s="524"/>
      <c r="AP17" s="524"/>
      <c r="AQ17" s="524"/>
      <c r="AR17" s="517"/>
      <c r="AS17" s="517"/>
      <c r="AT17" s="517"/>
      <c r="AU17" s="517"/>
      <c r="AV17" s="517"/>
      <c r="AW17" s="517"/>
      <c r="AX17" s="517"/>
      <c r="AY17" s="517"/>
      <c r="AZ17" s="517"/>
      <c r="BA17" s="517"/>
      <c r="BB17" s="517"/>
      <c r="BC17" s="517"/>
      <c r="BD17" s="517"/>
      <c r="BE17" s="517"/>
      <c r="BF17" s="517"/>
      <c r="BG17" s="517"/>
      <c r="BH17" s="517"/>
      <c r="BI17" s="517"/>
      <c r="BJ17" s="517"/>
      <c r="BK17" s="517"/>
      <c r="BL17" s="517"/>
      <c r="BM17" s="517"/>
      <c r="BN17" s="517"/>
      <c r="BO17" s="517"/>
      <c r="BP17" s="517"/>
      <c r="BQ17" s="517"/>
      <c r="BR17" s="517"/>
      <c r="BS17" s="517"/>
      <c r="BT17" s="517"/>
      <c r="BU17" s="517"/>
    </row>
    <row r="18" spans="1:73" s="507" customFormat="1" ht="22.5" customHeight="1">
      <c r="A18" s="491" t="s">
        <v>963</v>
      </c>
      <c r="B18" s="343" t="s">
        <v>832</v>
      </c>
      <c r="C18" s="369">
        <f>+'45'!C18+'44'!C18+'43'!C18+'42'!C18+'41'!C18</f>
        <v>13621</v>
      </c>
      <c r="D18" s="370">
        <f>+'45'!D18+'44'!D18+'43'!D18+'42'!D18+'41'!D18</f>
        <v>10331</v>
      </c>
      <c r="E18" s="370">
        <f>+'45'!E18+'44'!E18+'43'!E18+'42'!E18+'41'!E18</f>
        <v>15025</v>
      </c>
      <c r="F18" s="370">
        <f>+'45'!F18+'44'!F18+'43'!F18+'42'!F18+'41'!F18</f>
        <v>13729</v>
      </c>
      <c r="G18" s="369">
        <f>+'45'!G18+'44'!G18+'43'!G18+'42'!G18+'41'!G18</f>
        <v>2944</v>
      </c>
      <c r="H18" s="370">
        <f>+'45'!H18+'44'!H18+'43'!H18+'42'!H18+'41'!H18</f>
        <v>2844</v>
      </c>
      <c r="I18" s="370">
        <f>+'45'!I18+'44'!I18+'43'!I18+'42'!I18+'41'!I18</f>
        <v>2136</v>
      </c>
      <c r="J18" s="370">
        <f>+'45'!J18+'44'!J18+'43'!J18+'42'!J18+'41'!J18</f>
        <v>2014</v>
      </c>
      <c r="K18" s="369">
        <f>+'45'!K18+'44'!K18+'43'!K18+'42'!K18+'41'!K18</f>
        <v>3960</v>
      </c>
      <c r="L18" s="370">
        <f>+'45'!L18+'44'!L18+'43'!L18+'42'!L18+'41'!L18</f>
        <v>3503</v>
      </c>
      <c r="M18" s="370">
        <f>+'45'!M18+'44'!M18+'43'!M18+'42'!M18+'41'!M18</f>
        <v>4366</v>
      </c>
      <c r="N18" s="370">
        <f>+'45'!N18+'44'!N18+'43'!N18+'42'!N18+'41'!N18</f>
        <v>4779</v>
      </c>
      <c r="O18" s="369">
        <f>+'45'!O18+'44'!O18+'43'!O18+'42'!O18+'41'!O18</f>
        <v>2701</v>
      </c>
      <c r="P18" s="370">
        <f>+'45'!P18+'44'!P18+'43'!P18+'42'!P18+'41'!P18</f>
        <v>1677</v>
      </c>
      <c r="Q18" s="370">
        <f>+'45'!Q18+'44'!Q18+'43'!Q18+'42'!Q18+'41'!Q18</f>
        <v>1918</v>
      </c>
      <c r="R18" s="370">
        <f>+'45'!R18+'44'!R18+'43'!R18+'42'!R18+'41'!R18</f>
        <v>2525</v>
      </c>
      <c r="S18" s="369">
        <f>+'45'!S18+'44'!S18+'43'!S18+'42'!S18+'41'!S18</f>
        <v>251</v>
      </c>
      <c r="T18" s="370">
        <f>+'45'!T18+'44'!T18+'43'!T18+'42'!T18+'41'!T18</f>
        <v>106</v>
      </c>
      <c r="U18" s="370">
        <f>+'45'!U18+'44'!U18+'43'!U18+'42'!U18+'41'!U18</f>
        <v>664</v>
      </c>
      <c r="V18" s="370">
        <f>+'45'!V18+'44'!V18+'43'!V18+'42'!V18+'41'!V18</f>
        <v>933</v>
      </c>
      <c r="W18" s="369">
        <f>+'45'!W18+'44'!W18+'43'!W18+'42'!W18+'41'!W18</f>
        <v>780</v>
      </c>
      <c r="X18" s="370">
        <f>+'45'!X18+'44'!X18+'43'!X18+'42'!X18+'41'!X18</f>
        <v>829</v>
      </c>
      <c r="Y18" s="370">
        <f>+'45'!Y18+'44'!Y18+'43'!Y18+'42'!Y18+'41'!Y18</f>
        <v>592</v>
      </c>
      <c r="Z18" s="492">
        <f>+'45'!Z18+'44'!Z18+'43'!Z18+'42'!Z18+'41'!Z18</f>
        <v>0</v>
      </c>
      <c r="AA18" s="370">
        <f t="shared" ref="AA18:AD19" si="12">+W18+S18+O18+K18+G18+C18</f>
        <v>24257</v>
      </c>
      <c r="AB18" s="370">
        <f t="shared" si="12"/>
        <v>19290</v>
      </c>
      <c r="AC18" s="370">
        <f t="shared" si="12"/>
        <v>24701</v>
      </c>
      <c r="AD18" s="492">
        <f t="shared" si="12"/>
        <v>23980</v>
      </c>
      <c r="AE18" s="524"/>
      <c r="AF18" s="524"/>
      <c r="AG18" s="524"/>
      <c r="AH18" s="524"/>
      <c r="AI18" s="524"/>
      <c r="AJ18" s="524"/>
      <c r="AK18" s="524"/>
      <c r="AL18" s="524"/>
      <c r="AM18" s="524"/>
      <c r="AN18" s="524"/>
      <c r="AO18" s="524"/>
      <c r="AP18" s="524"/>
      <c r="AQ18" s="524"/>
      <c r="AR18" s="517"/>
      <c r="AS18" s="517"/>
      <c r="AT18" s="517"/>
      <c r="AU18" s="517"/>
      <c r="AV18" s="517"/>
      <c r="AW18" s="517"/>
      <c r="AX18" s="517"/>
      <c r="AY18" s="517"/>
      <c r="AZ18" s="517"/>
      <c r="BA18" s="517"/>
      <c r="BB18" s="517"/>
      <c r="BC18" s="517"/>
      <c r="BD18" s="517"/>
      <c r="BE18" s="517"/>
      <c r="BF18" s="517"/>
      <c r="BG18" s="517"/>
      <c r="BH18" s="517"/>
      <c r="BI18" s="517"/>
      <c r="BJ18" s="517"/>
      <c r="BK18" s="517"/>
      <c r="BL18" s="517"/>
      <c r="BM18" s="517"/>
      <c r="BN18" s="517"/>
      <c r="BO18" s="517"/>
      <c r="BP18" s="517"/>
      <c r="BQ18" s="517"/>
      <c r="BR18" s="517"/>
      <c r="BS18" s="517"/>
      <c r="BT18" s="517"/>
      <c r="BU18" s="517"/>
    </row>
    <row r="19" spans="1:73" s="507" customFormat="1" ht="22.5" customHeight="1">
      <c r="A19" s="491"/>
      <c r="B19" s="299" t="s">
        <v>1286</v>
      </c>
      <c r="C19" s="369">
        <f>+'45'!C19+'44'!C19+'43'!C19+'42'!C19+'41'!C19</f>
        <v>1639</v>
      </c>
      <c r="D19" s="370">
        <f>+'45'!D19+'44'!D19+'43'!D19+'42'!D19+'41'!D19</f>
        <v>1468</v>
      </c>
      <c r="E19" s="370">
        <f>+'45'!E19+'44'!E19+'43'!E19+'42'!E19+'41'!E19</f>
        <v>1483</v>
      </c>
      <c r="F19" s="370">
        <f>+'45'!F19+'44'!F19+'43'!F19+'42'!F19+'41'!F19</f>
        <v>1472</v>
      </c>
      <c r="G19" s="369">
        <f>+'45'!G19+'44'!G19+'43'!G19+'42'!G19+'41'!G19</f>
        <v>324</v>
      </c>
      <c r="H19" s="370">
        <f>+'45'!H19+'44'!H19+'43'!H19+'42'!H19+'41'!H19</f>
        <v>309</v>
      </c>
      <c r="I19" s="370">
        <f>+'45'!I19+'44'!I19+'43'!I19+'42'!I19+'41'!I19</f>
        <v>340</v>
      </c>
      <c r="J19" s="370">
        <f>+'45'!J19+'44'!J19+'43'!J19+'42'!J19+'41'!J19</f>
        <v>244</v>
      </c>
      <c r="K19" s="369">
        <f>+'45'!K19+'44'!K19+'43'!K19+'42'!K19+'41'!K19</f>
        <v>374</v>
      </c>
      <c r="L19" s="370">
        <f>+'45'!L19+'44'!L19+'43'!L19+'42'!L19+'41'!L19</f>
        <v>354</v>
      </c>
      <c r="M19" s="370">
        <f>+'45'!M19+'44'!M19+'43'!M19+'42'!M19+'41'!M19</f>
        <v>384</v>
      </c>
      <c r="N19" s="370">
        <f>+'45'!N19+'44'!N19+'43'!N19+'42'!N19+'41'!N19</f>
        <v>417</v>
      </c>
      <c r="O19" s="369">
        <f>+'45'!O19+'44'!O19+'43'!O19+'42'!O19+'41'!O19</f>
        <v>270</v>
      </c>
      <c r="P19" s="370">
        <f>+'45'!P19+'44'!P19+'43'!P19+'42'!P19+'41'!P19</f>
        <v>257</v>
      </c>
      <c r="Q19" s="370">
        <f>+'45'!Q19+'44'!Q19+'43'!Q19+'42'!Q19+'41'!Q19</f>
        <v>317</v>
      </c>
      <c r="R19" s="370">
        <f>+'45'!R19+'44'!R19+'43'!R19+'42'!R19+'41'!R19</f>
        <v>313</v>
      </c>
      <c r="S19" s="369">
        <f>+'45'!S19+'44'!S19+'43'!S19+'42'!S19+'41'!S19</f>
        <v>2</v>
      </c>
      <c r="T19" s="370">
        <f>+'45'!T19+'44'!T19+'43'!T19+'42'!T19+'41'!T19</f>
        <v>0</v>
      </c>
      <c r="U19" s="370">
        <f>+'45'!U19+'44'!U19+'43'!U19+'42'!U19+'41'!U19</f>
        <v>0</v>
      </c>
      <c r="V19" s="370">
        <f>+'45'!V19+'44'!V19+'43'!V19+'42'!V19+'41'!V19</f>
        <v>0</v>
      </c>
      <c r="W19" s="369">
        <f>+'45'!W19+'44'!W19+'43'!W19+'42'!W19+'41'!W19</f>
        <v>50</v>
      </c>
      <c r="X19" s="370">
        <f>+'45'!X19+'44'!X19+'43'!X19+'42'!X19+'41'!X19</f>
        <v>54</v>
      </c>
      <c r="Y19" s="370">
        <f>+'45'!Y19+'44'!Y19+'43'!Y19+'42'!Y19+'41'!Y19</f>
        <v>70</v>
      </c>
      <c r="Z19" s="492">
        <f>+'45'!Z19+'44'!Z19+'43'!Z19+'42'!Z19+'41'!Z19</f>
        <v>0</v>
      </c>
      <c r="AA19" s="370">
        <f t="shared" si="12"/>
        <v>2659</v>
      </c>
      <c r="AB19" s="370">
        <f t="shared" si="12"/>
        <v>2442</v>
      </c>
      <c r="AC19" s="370">
        <f t="shared" si="12"/>
        <v>2594</v>
      </c>
      <c r="AD19" s="492">
        <f>+Z19+V19+R19+N19+J19+F19</f>
        <v>2446</v>
      </c>
      <c r="AE19" s="524"/>
      <c r="AF19" s="524"/>
      <c r="AG19" s="524"/>
      <c r="AH19" s="524"/>
      <c r="AI19" s="524"/>
      <c r="AJ19" s="524"/>
      <c r="AK19" s="524"/>
      <c r="AL19" s="524"/>
      <c r="AM19" s="524"/>
      <c r="AN19" s="524"/>
      <c r="AO19" s="524"/>
      <c r="AP19" s="524"/>
      <c r="AQ19" s="524"/>
      <c r="AR19" s="517"/>
      <c r="AS19" s="517"/>
      <c r="AT19" s="517"/>
      <c r="AU19" s="517"/>
      <c r="AV19" s="517"/>
      <c r="AW19" s="517"/>
      <c r="AX19" s="517"/>
      <c r="AY19" s="517"/>
      <c r="AZ19" s="517"/>
      <c r="BA19" s="517"/>
      <c r="BB19" s="517"/>
      <c r="BC19" s="517"/>
      <c r="BD19" s="517"/>
      <c r="BE19" s="517"/>
      <c r="BF19" s="517"/>
      <c r="BG19" s="517"/>
      <c r="BH19" s="517"/>
      <c r="BI19" s="517"/>
      <c r="BJ19" s="517"/>
      <c r="BK19" s="517"/>
      <c r="BL19" s="517"/>
      <c r="BM19" s="517"/>
      <c r="BN19" s="517"/>
      <c r="BO19" s="517"/>
      <c r="BP19" s="517"/>
      <c r="BQ19" s="517"/>
      <c r="BR19" s="517"/>
      <c r="BS19" s="517"/>
      <c r="BT19" s="517"/>
      <c r="BU19" s="517"/>
    </row>
    <row r="20" spans="1:73" s="507" customFormat="1" ht="22.5" customHeight="1">
      <c r="A20" s="491"/>
      <c r="B20" s="343" t="s">
        <v>644</v>
      </c>
      <c r="C20" s="369">
        <f t="shared" ref="C20:AD20" si="13">SUM(C18:C19)</f>
        <v>15260</v>
      </c>
      <c r="D20" s="370">
        <f t="shared" si="13"/>
        <v>11799</v>
      </c>
      <c r="E20" s="370">
        <f t="shared" si="13"/>
        <v>16508</v>
      </c>
      <c r="F20" s="492">
        <f t="shared" si="13"/>
        <v>15201</v>
      </c>
      <c r="G20" s="369">
        <f t="shared" si="13"/>
        <v>3268</v>
      </c>
      <c r="H20" s="370">
        <f t="shared" si="13"/>
        <v>3153</v>
      </c>
      <c r="I20" s="370">
        <f t="shared" si="13"/>
        <v>2476</v>
      </c>
      <c r="J20" s="492">
        <f t="shared" ref="J20" si="14">SUM(J18:J19)</f>
        <v>2258</v>
      </c>
      <c r="K20" s="369">
        <f t="shared" si="13"/>
        <v>4334</v>
      </c>
      <c r="L20" s="370">
        <f t="shared" si="13"/>
        <v>3857</v>
      </c>
      <c r="M20" s="370">
        <f t="shared" si="13"/>
        <v>4750</v>
      </c>
      <c r="N20" s="492">
        <f t="shared" si="13"/>
        <v>5196</v>
      </c>
      <c r="O20" s="369">
        <f t="shared" si="13"/>
        <v>2971</v>
      </c>
      <c r="P20" s="370">
        <f t="shared" si="13"/>
        <v>1934</v>
      </c>
      <c r="Q20" s="370">
        <f t="shared" si="13"/>
        <v>2235</v>
      </c>
      <c r="R20" s="492">
        <f t="shared" si="13"/>
        <v>2838</v>
      </c>
      <c r="S20" s="369">
        <f t="shared" si="13"/>
        <v>253</v>
      </c>
      <c r="T20" s="370">
        <f t="shared" si="13"/>
        <v>106</v>
      </c>
      <c r="U20" s="370">
        <f t="shared" si="13"/>
        <v>664</v>
      </c>
      <c r="V20" s="492">
        <f t="shared" si="13"/>
        <v>933</v>
      </c>
      <c r="W20" s="369">
        <f t="shared" si="13"/>
        <v>830</v>
      </c>
      <c r="X20" s="370">
        <f t="shared" si="13"/>
        <v>883</v>
      </c>
      <c r="Y20" s="370">
        <f t="shared" si="13"/>
        <v>662</v>
      </c>
      <c r="Z20" s="492">
        <f t="shared" si="13"/>
        <v>0</v>
      </c>
      <c r="AA20" s="369">
        <f t="shared" si="13"/>
        <v>26916</v>
      </c>
      <c r="AB20" s="370">
        <f t="shared" si="13"/>
        <v>21732</v>
      </c>
      <c r="AC20" s="370">
        <f t="shared" si="13"/>
        <v>27295</v>
      </c>
      <c r="AD20" s="492">
        <f t="shared" si="13"/>
        <v>26426</v>
      </c>
      <c r="AE20" s="524"/>
      <c r="AF20" s="524"/>
      <c r="AG20" s="524"/>
      <c r="AH20" s="524"/>
      <c r="AI20" s="524"/>
      <c r="AJ20" s="524"/>
      <c r="AK20" s="524"/>
      <c r="AL20" s="524"/>
      <c r="AM20" s="524"/>
      <c r="AN20" s="524"/>
      <c r="AO20" s="524"/>
      <c r="AP20" s="524"/>
      <c r="AQ20" s="524"/>
      <c r="AR20" s="517"/>
      <c r="AS20" s="517"/>
      <c r="AT20" s="517"/>
      <c r="AU20" s="517"/>
      <c r="AV20" s="517"/>
      <c r="AW20" s="517"/>
      <c r="AX20" s="517"/>
      <c r="AY20" s="517"/>
      <c r="AZ20" s="517"/>
      <c r="BA20" s="517"/>
      <c r="BB20" s="517"/>
      <c r="BC20" s="517"/>
      <c r="BD20" s="517"/>
      <c r="BE20" s="517"/>
      <c r="BF20" s="517"/>
      <c r="BG20" s="517"/>
      <c r="BH20" s="517"/>
      <c r="BI20" s="517"/>
      <c r="BJ20" s="517"/>
      <c r="BK20" s="517"/>
      <c r="BL20" s="517"/>
      <c r="BM20" s="517"/>
      <c r="BN20" s="517"/>
      <c r="BO20" s="517"/>
      <c r="BP20" s="517"/>
      <c r="BQ20" s="517"/>
      <c r="BR20" s="517"/>
      <c r="BS20" s="517"/>
      <c r="BT20" s="517"/>
      <c r="BU20" s="517"/>
    </row>
    <row r="21" spans="1:73" s="507" customFormat="1" ht="22.5" customHeight="1">
      <c r="A21" s="491" t="s">
        <v>542</v>
      </c>
      <c r="B21" s="343" t="s">
        <v>833</v>
      </c>
      <c r="C21" s="369">
        <f>+'45'!C21+'44'!C21+'43'!C21+'42'!C21+'41'!C21</f>
        <v>18133</v>
      </c>
      <c r="D21" s="370">
        <f>+'45'!D21+'44'!D21+'43'!D21+'42'!D21+'41'!D21</f>
        <v>21349</v>
      </c>
      <c r="E21" s="370">
        <f>+'45'!E21+'44'!E21+'43'!E21+'42'!E21+'41'!E21</f>
        <v>16048</v>
      </c>
      <c r="F21" s="370">
        <f>+'45'!F21+'44'!F21+'43'!F21+'42'!F21+'41'!F21</f>
        <v>18768</v>
      </c>
      <c r="G21" s="369">
        <f>+'45'!G21+'44'!G21+'43'!G21+'42'!G21+'41'!G21</f>
        <v>2172</v>
      </c>
      <c r="H21" s="370">
        <f>+'45'!H21+'44'!H21+'43'!H21+'42'!H21+'41'!H21</f>
        <v>1863</v>
      </c>
      <c r="I21" s="370">
        <f>+'45'!I21+'44'!I21+'43'!I21+'42'!I21+'41'!I21</f>
        <v>2999</v>
      </c>
      <c r="J21" s="370">
        <f>+'45'!J21+'44'!J21+'43'!J21+'42'!J21+'41'!J21</f>
        <v>2671</v>
      </c>
      <c r="K21" s="369">
        <f>+'45'!K21+'44'!K21+'43'!K21+'42'!K21+'41'!K21</f>
        <v>4021</v>
      </c>
      <c r="L21" s="370">
        <f>+'45'!L21+'44'!L21+'43'!L21+'42'!L21+'41'!L21</f>
        <v>5126</v>
      </c>
      <c r="M21" s="370">
        <f>+'45'!M21+'44'!M21+'43'!M21+'42'!M21+'41'!M21</f>
        <v>4899</v>
      </c>
      <c r="N21" s="370">
        <f>+'45'!N21+'44'!N21+'43'!N21+'42'!N21+'41'!N21</f>
        <v>5239</v>
      </c>
      <c r="O21" s="369">
        <f>+'45'!O21+'44'!O21+'43'!O21+'42'!O21+'41'!O21</f>
        <v>2283</v>
      </c>
      <c r="P21" s="370">
        <f>+'45'!P21+'44'!P21+'43'!P21+'42'!P21+'41'!P21</f>
        <v>2176</v>
      </c>
      <c r="Q21" s="370">
        <f>+'45'!Q21+'44'!Q21+'43'!Q21+'42'!Q21+'41'!Q21</f>
        <v>2265</v>
      </c>
      <c r="R21" s="370">
        <f>+'45'!R21+'44'!R21+'43'!R21+'42'!R21+'41'!R21</f>
        <v>2323</v>
      </c>
      <c r="S21" s="369">
        <f>+'45'!S21+'44'!S21+'43'!S21+'42'!S21+'41'!S21</f>
        <v>434</v>
      </c>
      <c r="T21" s="370">
        <f>+'45'!T21+'44'!T21+'43'!T21+'42'!T21+'41'!T21</f>
        <v>368</v>
      </c>
      <c r="U21" s="370">
        <f>+'45'!U21+'44'!U21+'43'!U21+'42'!U21+'41'!U21</f>
        <v>1017</v>
      </c>
      <c r="V21" s="370">
        <f>+'45'!V21+'44'!V21+'43'!V21+'42'!V21+'41'!V21</f>
        <v>739</v>
      </c>
      <c r="W21" s="369">
        <f>+'45'!W21+'44'!W21+'43'!W21+'42'!W21+'41'!W21</f>
        <v>390</v>
      </c>
      <c r="X21" s="370">
        <f>+'45'!X21+'44'!X21+'43'!X21+'42'!X21+'41'!X21</f>
        <v>986</v>
      </c>
      <c r="Y21" s="370">
        <f>+'45'!Y21+'44'!Y21+'43'!Y21+'42'!Y21+'41'!Y21</f>
        <v>97</v>
      </c>
      <c r="Z21" s="492">
        <f>+'45'!Z21+'44'!Z21+'43'!Z21+'42'!Z21+'41'!Z21</f>
        <v>81</v>
      </c>
      <c r="AA21" s="370">
        <f>+W21+S21+O21+K21+G21+C21</f>
        <v>27433</v>
      </c>
      <c r="AB21" s="370">
        <f>+X21+T21+P21+L21+H21+D21</f>
        <v>31868</v>
      </c>
      <c r="AC21" s="370">
        <f>+Y21+U21+Q21+M21+I21+E21</f>
        <v>27325</v>
      </c>
      <c r="AD21" s="492">
        <f>+Z21+V21+R21+N21+J21+F21</f>
        <v>29821</v>
      </c>
      <c r="AE21" s="524"/>
      <c r="AF21" s="524"/>
      <c r="AG21" s="524"/>
      <c r="AH21" s="524"/>
      <c r="AI21" s="524"/>
      <c r="AJ21" s="524"/>
      <c r="AK21" s="524"/>
      <c r="AL21" s="524"/>
      <c r="AM21" s="524"/>
      <c r="AN21" s="524"/>
      <c r="AO21" s="524"/>
      <c r="AP21" s="524"/>
      <c r="AQ21" s="524"/>
      <c r="AR21" s="517"/>
      <c r="AS21" s="517"/>
      <c r="AT21" s="517"/>
      <c r="AU21" s="517"/>
      <c r="AV21" s="517"/>
      <c r="AW21" s="517"/>
      <c r="AX21" s="517"/>
      <c r="AY21" s="517"/>
      <c r="AZ21" s="517"/>
      <c r="BA21" s="517"/>
      <c r="BB21" s="517"/>
      <c r="BC21" s="517"/>
      <c r="BD21" s="517"/>
      <c r="BE21" s="517"/>
      <c r="BF21" s="517"/>
      <c r="BG21" s="517"/>
      <c r="BH21" s="517"/>
      <c r="BI21" s="517"/>
      <c r="BJ21" s="517"/>
      <c r="BK21" s="517"/>
      <c r="BL21" s="517"/>
      <c r="BM21" s="517"/>
      <c r="BN21" s="517"/>
      <c r="BO21" s="517"/>
      <c r="BP21" s="517"/>
      <c r="BQ21" s="517"/>
      <c r="BR21" s="517"/>
      <c r="BS21" s="517"/>
      <c r="BT21" s="517"/>
      <c r="BU21" s="517"/>
    </row>
    <row r="22" spans="1:73" s="507" customFormat="1" ht="22.5" customHeight="1">
      <c r="A22" s="501" t="s">
        <v>964</v>
      </c>
      <c r="B22" s="497"/>
      <c r="C22" s="498">
        <f t="shared" ref="C22:AD22" si="15">+C13+C17+C20+C21</f>
        <v>119104</v>
      </c>
      <c r="D22" s="499">
        <f t="shared" si="15"/>
        <v>100249</v>
      </c>
      <c r="E22" s="499">
        <f>+E13+E17+E20+E21</f>
        <v>102729</v>
      </c>
      <c r="F22" s="499">
        <f t="shared" si="15"/>
        <v>101913</v>
      </c>
      <c r="G22" s="498">
        <f t="shared" si="15"/>
        <v>21947</v>
      </c>
      <c r="H22" s="499">
        <f t="shared" si="15"/>
        <v>22037</v>
      </c>
      <c r="I22" s="499">
        <f t="shared" si="15"/>
        <v>22610</v>
      </c>
      <c r="J22" s="499">
        <f t="shared" ref="J22" si="16">+J13+J17+J20+J21</f>
        <v>21756</v>
      </c>
      <c r="K22" s="498">
        <f t="shared" si="15"/>
        <v>34599</v>
      </c>
      <c r="L22" s="499">
        <f t="shared" si="15"/>
        <v>32444</v>
      </c>
      <c r="M22" s="499">
        <f t="shared" si="15"/>
        <v>33831</v>
      </c>
      <c r="N22" s="499">
        <f t="shared" si="15"/>
        <v>33356</v>
      </c>
      <c r="O22" s="498">
        <f t="shared" si="15"/>
        <v>23467</v>
      </c>
      <c r="P22" s="499">
        <f t="shared" si="15"/>
        <v>20345</v>
      </c>
      <c r="Q22" s="499">
        <f t="shared" si="15"/>
        <v>22002</v>
      </c>
      <c r="R22" s="499">
        <f t="shared" si="15"/>
        <v>20202</v>
      </c>
      <c r="S22" s="498">
        <f t="shared" si="15"/>
        <v>3270</v>
      </c>
      <c r="T22" s="499">
        <f t="shared" si="15"/>
        <v>3367</v>
      </c>
      <c r="U22" s="499">
        <f t="shared" si="15"/>
        <v>5392</v>
      </c>
      <c r="V22" s="499">
        <f t="shared" si="15"/>
        <v>6040</v>
      </c>
      <c r="W22" s="498">
        <f t="shared" si="15"/>
        <v>6315</v>
      </c>
      <c r="X22" s="499">
        <f t="shared" si="15"/>
        <v>5909</v>
      </c>
      <c r="Y22" s="499">
        <f t="shared" si="15"/>
        <v>1106</v>
      </c>
      <c r="Z22" s="499">
        <f t="shared" si="15"/>
        <v>136</v>
      </c>
      <c r="AA22" s="498">
        <f t="shared" si="15"/>
        <v>208702</v>
      </c>
      <c r="AB22" s="499">
        <f t="shared" si="15"/>
        <v>184351</v>
      </c>
      <c r="AC22" s="499">
        <f t="shared" si="15"/>
        <v>187670</v>
      </c>
      <c r="AD22" s="500">
        <f t="shared" si="15"/>
        <v>183403</v>
      </c>
      <c r="AE22" s="524"/>
      <c r="AF22" s="524"/>
      <c r="AG22" s="525"/>
      <c r="AH22" s="525"/>
      <c r="AI22" s="525"/>
      <c r="AJ22" s="525"/>
      <c r="AK22" s="525"/>
      <c r="AL22" s="525"/>
      <c r="AM22" s="525"/>
      <c r="AN22" s="525"/>
      <c r="AO22" s="525"/>
      <c r="AP22" s="525"/>
      <c r="AQ22" s="525"/>
      <c r="AR22" s="518"/>
      <c r="AS22" s="518"/>
      <c r="AT22" s="518"/>
      <c r="AU22" s="518"/>
      <c r="AV22" s="518"/>
      <c r="AW22" s="518"/>
      <c r="AX22" s="518"/>
      <c r="AY22" s="518"/>
      <c r="AZ22" s="518"/>
      <c r="BA22" s="518"/>
      <c r="BB22" s="518"/>
      <c r="BC22" s="518"/>
      <c r="BD22" s="518"/>
      <c r="BE22" s="518"/>
      <c r="BF22" s="518"/>
      <c r="BG22" s="518"/>
      <c r="BH22" s="518"/>
      <c r="BI22" s="518"/>
      <c r="BJ22" s="518"/>
      <c r="BK22" s="518"/>
      <c r="BL22" s="518"/>
      <c r="BM22" s="517"/>
      <c r="BN22" s="517"/>
      <c r="BO22" s="517"/>
      <c r="BP22" s="517"/>
      <c r="BQ22" s="517"/>
      <c r="BR22" s="517"/>
      <c r="BS22" s="517"/>
      <c r="BT22" s="517"/>
      <c r="BU22" s="517"/>
    </row>
    <row r="23" spans="1:73" s="507" customFormat="1" ht="22.5" customHeight="1">
      <c r="A23" s="491" t="s">
        <v>965</v>
      </c>
      <c r="B23" s="299" t="s">
        <v>1483</v>
      </c>
      <c r="C23" s="369">
        <f>+'45'!C23+'44'!C23+'43'!C23+'42'!C23+'41'!C23</f>
        <v>31004</v>
      </c>
      <c r="D23" s="370">
        <f>+'45'!D23+'44'!D23+'43'!D23+'42'!D23+'41'!D23</f>
        <v>29650</v>
      </c>
      <c r="E23" s="370">
        <f>+'45'!E23+'44'!E23+'43'!E23+'42'!E23+'41'!E23</f>
        <v>29287</v>
      </c>
      <c r="F23" s="370">
        <f>+'45'!F23+'44'!F23+'43'!F23+'42'!F23+'41'!F23</f>
        <v>28871</v>
      </c>
      <c r="G23" s="369">
        <f>+'45'!G23+'44'!G23+'43'!G23+'42'!G23+'41'!G23</f>
        <v>6608</v>
      </c>
      <c r="H23" s="370">
        <f>+'45'!H23+'44'!H23+'43'!H23+'42'!H23+'41'!H23</f>
        <v>6273</v>
      </c>
      <c r="I23" s="370">
        <f>+'45'!I23+'44'!I23+'43'!I23+'42'!I23+'41'!I23</f>
        <v>6040</v>
      </c>
      <c r="J23" s="370">
        <f>+'45'!J23+'44'!J23+'43'!J23+'42'!J23+'41'!J23</f>
        <v>4732</v>
      </c>
      <c r="K23" s="369">
        <f>+'45'!K23+'44'!K23+'43'!K23+'42'!K23+'41'!K23</f>
        <v>9189</v>
      </c>
      <c r="L23" s="370">
        <f>+'45'!L23+'44'!L23+'43'!L23+'42'!L23+'41'!L23</f>
        <v>7632</v>
      </c>
      <c r="M23" s="370">
        <f>+'45'!M23+'44'!M23+'43'!M23+'42'!M23+'41'!M23</f>
        <v>8097</v>
      </c>
      <c r="N23" s="370">
        <f>+'45'!N23+'44'!N23+'43'!N23+'42'!N23+'41'!N23</f>
        <v>8070</v>
      </c>
      <c r="O23" s="369">
        <f>+'45'!O23+'44'!O23+'43'!O23+'42'!O23+'41'!O23</f>
        <v>7557</v>
      </c>
      <c r="P23" s="370">
        <f>+'45'!P23+'44'!P23+'43'!P23+'42'!P23+'41'!P23</f>
        <v>6285</v>
      </c>
      <c r="Q23" s="370">
        <f>+'45'!Q23+'44'!Q23+'43'!Q23+'42'!Q23+'41'!Q23</f>
        <v>6535</v>
      </c>
      <c r="R23" s="370">
        <f>+'45'!R23+'44'!R23+'43'!R23+'42'!R23+'41'!R23</f>
        <v>5076</v>
      </c>
      <c r="S23" s="369">
        <f>+'45'!S23+'44'!S23+'43'!S23+'42'!S23+'41'!S23</f>
        <v>1656</v>
      </c>
      <c r="T23" s="370">
        <f>+'45'!T23+'44'!T23+'43'!T23+'42'!T23+'41'!T23</f>
        <v>1139</v>
      </c>
      <c r="U23" s="370">
        <f>+'45'!U23+'44'!U23+'43'!U23+'42'!U23+'41'!U23</f>
        <v>1535</v>
      </c>
      <c r="V23" s="370">
        <f>+'45'!V23+'44'!V23+'43'!V23+'42'!V23+'41'!V23</f>
        <v>1908</v>
      </c>
      <c r="W23" s="369">
        <f>+'45'!W23+'44'!W23+'43'!W23+'42'!W23+'41'!W23</f>
        <v>1725</v>
      </c>
      <c r="X23" s="370">
        <f>+'45'!X23+'44'!X23+'43'!X23+'42'!X23+'41'!X23</f>
        <v>1847</v>
      </c>
      <c r="Y23" s="370">
        <f>+'45'!Y23+'44'!Y23+'43'!Y23+'42'!Y23+'41'!Y23</f>
        <v>0</v>
      </c>
      <c r="Z23" s="492">
        <f>+'45'!Z23+'44'!Z23+'43'!Z23+'42'!Z23+'41'!Z23</f>
        <v>0</v>
      </c>
      <c r="AA23" s="370">
        <f>+W23+S23+O23+K23+G23+C23</f>
        <v>57739</v>
      </c>
      <c r="AB23" s="370">
        <f>+X23+T23+P23+L23+H23+D23</f>
        <v>52826</v>
      </c>
      <c r="AC23" s="370">
        <f>+Y23+U23+Q23+M23+I23+E23</f>
        <v>51494</v>
      </c>
      <c r="AD23" s="492">
        <f>+Z23+V23+R23+N23+J23+F23</f>
        <v>48657</v>
      </c>
      <c r="AE23" s="524"/>
      <c r="AF23" s="524"/>
      <c r="AG23" s="524"/>
      <c r="AH23" s="524"/>
      <c r="AI23" s="524"/>
      <c r="AJ23" s="524"/>
      <c r="AK23" s="524"/>
      <c r="AL23" s="524"/>
      <c r="AM23" s="524"/>
      <c r="AN23" s="524"/>
      <c r="AO23" s="524"/>
      <c r="AP23" s="524"/>
      <c r="AQ23" s="524"/>
      <c r="AR23" s="517"/>
      <c r="AS23" s="517"/>
      <c r="AT23" s="517"/>
      <c r="AU23" s="517"/>
      <c r="AV23" s="517"/>
      <c r="AW23" s="517"/>
      <c r="AX23" s="517"/>
      <c r="AY23" s="517"/>
      <c r="AZ23" s="517"/>
      <c r="BA23" s="517"/>
      <c r="BB23" s="517"/>
      <c r="BC23" s="517"/>
      <c r="BD23" s="517"/>
      <c r="BE23" s="517"/>
      <c r="BF23" s="517"/>
      <c r="BG23" s="517"/>
      <c r="BH23" s="517"/>
      <c r="BI23" s="517"/>
      <c r="BJ23" s="517"/>
      <c r="BK23" s="517"/>
      <c r="BL23" s="517"/>
      <c r="BM23" s="517"/>
      <c r="BN23" s="517"/>
      <c r="BO23" s="517"/>
      <c r="BP23" s="517"/>
      <c r="BQ23" s="517"/>
      <c r="BR23" s="517"/>
      <c r="BS23" s="517"/>
      <c r="BT23" s="517"/>
      <c r="BU23" s="517"/>
    </row>
    <row r="24" spans="1:73" s="507" customFormat="1" ht="22.5" customHeight="1">
      <c r="A24" s="491"/>
      <c r="B24" s="299" t="s">
        <v>1482</v>
      </c>
      <c r="C24" s="369">
        <f>+'45'!C24+'44'!C24+'43'!C24+'42'!C24+'41'!C24</f>
        <v>41057</v>
      </c>
      <c r="D24" s="370">
        <f>+'45'!D24+'44'!D24+'43'!D24+'42'!D24+'41'!D24</f>
        <v>42023</v>
      </c>
      <c r="E24" s="370">
        <f>+'45'!E24+'44'!E24+'43'!E24+'42'!E24+'41'!E24</f>
        <v>43782</v>
      </c>
      <c r="F24" s="370">
        <f>+'45'!F24+'44'!F24+'43'!F24+'42'!F24+'41'!F24</f>
        <v>41335</v>
      </c>
      <c r="G24" s="369">
        <f>+'45'!G24+'44'!G24+'43'!G24+'42'!G24+'41'!G24</f>
        <v>6897</v>
      </c>
      <c r="H24" s="370">
        <f>+'45'!H24+'44'!H24+'43'!H24+'42'!H24+'41'!H24</f>
        <v>6195</v>
      </c>
      <c r="I24" s="370">
        <f>+'45'!I24+'44'!I24+'43'!I24+'42'!I24+'41'!I24</f>
        <v>7157</v>
      </c>
      <c r="J24" s="370">
        <f>+'45'!J24+'44'!J24+'43'!J24+'42'!J24+'41'!J24</f>
        <v>6266</v>
      </c>
      <c r="K24" s="369">
        <f>+'45'!K24+'44'!K24+'43'!K24+'42'!K24+'41'!K24</f>
        <v>20366</v>
      </c>
      <c r="L24" s="370">
        <f>+'45'!L24+'44'!L24+'43'!L24+'42'!L24+'41'!L24</f>
        <v>21778</v>
      </c>
      <c r="M24" s="370">
        <f>+'45'!M24+'44'!M24+'43'!M24+'42'!M24+'41'!M24</f>
        <v>12350</v>
      </c>
      <c r="N24" s="370">
        <f>+'45'!N24+'44'!N24+'43'!N24+'42'!N24+'41'!N24</f>
        <v>13114</v>
      </c>
      <c r="O24" s="369">
        <f>+'45'!O24+'44'!O24+'43'!O24+'42'!O24+'41'!O24</f>
        <v>5242</v>
      </c>
      <c r="P24" s="370">
        <f>+'45'!P24+'44'!P24+'43'!P24+'42'!P24+'41'!P24</f>
        <v>7072</v>
      </c>
      <c r="Q24" s="370">
        <f>+'45'!Q24+'44'!Q24+'43'!Q24+'42'!Q24+'41'!Q24</f>
        <v>8206</v>
      </c>
      <c r="R24" s="370">
        <f>+'45'!R24+'44'!R24+'43'!R24+'42'!R24+'41'!R24</f>
        <v>7222</v>
      </c>
      <c r="S24" s="369">
        <f>+'45'!S24+'44'!S24+'43'!S24+'42'!S24+'41'!S24</f>
        <v>2210</v>
      </c>
      <c r="T24" s="370">
        <f>+'45'!T24+'44'!T24+'43'!T24+'42'!T24+'41'!T24</f>
        <v>2801</v>
      </c>
      <c r="U24" s="370">
        <f>+'45'!U24+'44'!U24+'43'!U24+'42'!U24+'41'!U24</f>
        <v>2875</v>
      </c>
      <c r="V24" s="370">
        <f>+'45'!V24+'44'!V24+'43'!V24+'42'!V24+'41'!V24</f>
        <v>2990</v>
      </c>
      <c r="W24" s="369">
        <f>+'45'!W24+'44'!W24+'43'!W24+'42'!W24+'41'!W24</f>
        <v>1828</v>
      </c>
      <c r="X24" s="370">
        <f>+'45'!X24+'44'!X24+'43'!X24+'42'!X24+'41'!X24</f>
        <v>1984</v>
      </c>
      <c r="Y24" s="370">
        <f>+'45'!Y24+'44'!Y24+'43'!Y24+'42'!Y24+'41'!Y24</f>
        <v>93</v>
      </c>
      <c r="Z24" s="492">
        <f>+'45'!Z24+'44'!Z24+'43'!Z24+'42'!Z24+'41'!Z24</f>
        <v>17</v>
      </c>
      <c r="AA24" s="370">
        <f t="shared" ref="AA24:AD25" si="17">+W24+S24+O24+K24+G24+C24</f>
        <v>77600</v>
      </c>
      <c r="AB24" s="370">
        <f t="shared" si="17"/>
        <v>81853</v>
      </c>
      <c r="AC24" s="370">
        <f t="shared" si="17"/>
        <v>74463</v>
      </c>
      <c r="AD24" s="492">
        <f t="shared" si="17"/>
        <v>70944</v>
      </c>
      <c r="AE24" s="524"/>
      <c r="AF24" s="524"/>
      <c r="AG24" s="524"/>
      <c r="AH24" s="524"/>
      <c r="AI24" s="524"/>
      <c r="AJ24" s="524"/>
      <c r="AK24" s="524"/>
      <c r="AL24" s="524"/>
      <c r="AM24" s="524"/>
      <c r="AN24" s="524"/>
      <c r="AO24" s="524"/>
      <c r="AP24" s="524"/>
      <c r="AQ24" s="524"/>
      <c r="AR24" s="517"/>
      <c r="AS24" s="517"/>
      <c r="AT24" s="517"/>
      <c r="AU24" s="517"/>
      <c r="AV24" s="517"/>
      <c r="AW24" s="517"/>
      <c r="AX24" s="517"/>
      <c r="AY24" s="517"/>
      <c r="AZ24" s="517"/>
      <c r="BA24" s="517"/>
      <c r="BB24" s="517"/>
      <c r="BC24" s="517"/>
      <c r="BD24" s="517"/>
      <c r="BE24" s="517"/>
      <c r="BF24" s="517"/>
      <c r="BG24" s="517"/>
      <c r="BH24" s="517"/>
      <c r="BI24" s="517"/>
      <c r="BJ24" s="517"/>
      <c r="BK24" s="517"/>
      <c r="BL24" s="517"/>
      <c r="BM24" s="517"/>
      <c r="BN24" s="517"/>
      <c r="BO24" s="517"/>
      <c r="BP24" s="517"/>
      <c r="BQ24" s="517"/>
      <c r="BR24" s="517"/>
      <c r="BS24" s="517"/>
      <c r="BT24" s="517"/>
      <c r="BU24" s="517"/>
    </row>
    <row r="25" spans="1:73" s="507" customFormat="1" ht="22.5" customHeight="1">
      <c r="A25" s="491"/>
      <c r="B25" s="343" t="s">
        <v>550</v>
      </c>
      <c r="C25" s="369">
        <f>+'45'!C25+'44'!C25+'43'!C25+'42'!C25+'41'!C25</f>
        <v>3861</v>
      </c>
      <c r="D25" s="370">
        <f>+'45'!D25+'44'!D25+'43'!D25+'42'!D25+'41'!D25</f>
        <v>4114</v>
      </c>
      <c r="E25" s="370">
        <f>+'45'!E25+'44'!E25+'43'!E25+'42'!E25+'41'!E25</f>
        <v>4694</v>
      </c>
      <c r="F25" s="370">
        <f>+'45'!F25+'44'!F25+'43'!F25+'42'!F25+'41'!F25</f>
        <v>3958</v>
      </c>
      <c r="G25" s="369">
        <f>+'45'!G25+'44'!G25+'43'!G25+'42'!G25+'41'!G25</f>
        <v>1059</v>
      </c>
      <c r="H25" s="370">
        <f>+'45'!H25+'44'!H25+'43'!H25+'42'!H25+'41'!H25</f>
        <v>947</v>
      </c>
      <c r="I25" s="370">
        <f>+'45'!I25+'44'!I25+'43'!I25+'42'!I25+'41'!I25</f>
        <v>886</v>
      </c>
      <c r="J25" s="370">
        <f>+'45'!J25+'44'!J25+'43'!J25+'42'!J25+'41'!J25</f>
        <v>675</v>
      </c>
      <c r="K25" s="369">
        <f>+'45'!K25+'44'!K25+'43'!K25+'42'!K25+'41'!K25</f>
        <v>1920</v>
      </c>
      <c r="L25" s="370">
        <f>+'45'!L25+'44'!L25+'43'!L25+'42'!L25+'41'!L25</f>
        <v>1733</v>
      </c>
      <c r="M25" s="370">
        <f>+'45'!M25+'44'!M25+'43'!M25+'42'!M25+'41'!M25</f>
        <v>1196</v>
      </c>
      <c r="N25" s="370">
        <f>+'45'!N25+'44'!N25+'43'!N25+'42'!N25+'41'!N25</f>
        <v>1120</v>
      </c>
      <c r="O25" s="369">
        <f>+'45'!O25+'44'!O25+'43'!O25+'42'!O25+'41'!O25</f>
        <v>711</v>
      </c>
      <c r="P25" s="370">
        <f>+'45'!P25+'44'!P25+'43'!P25+'42'!P25+'41'!P25</f>
        <v>860</v>
      </c>
      <c r="Q25" s="370">
        <f>+'45'!Q25+'44'!Q25+'43'!Q25+'42'!Q25+'41'!Q25</f>
        <v>1083</v>
      </c>
      <c r="R25" s="370">
        <f>+'45'!R25+'44'!R25+'43'!R25+'42'!R25+'41'!R25</f>
        <v>871</v>
      </c>
      <c r="S25" s="369">
        <f>+'45'!S25+'44'!S25+'43'!S25+'42'!S25+'41'!S25</f>
        <v>117</v>
      </c>
      <c r="T25" s="370">
        <f>+'45'!T25+'44'!T25+'43'!T25+'42'!T25+'41'!T25</f>
        <v>146</v>
      </c>
      <c r="U25" s="370">
        <f>+'45'!U25+'44'!U25+'43'!U25+'42'!U25+'41'!U25</f>
        <v>87</v>
      </c>
      <c r="V25" s="370">
        <f>+'45'!V25+'44'!V25+'43'!V25+'42'!V25+'41'!V25</f>
        <v>161</v>
      </c>
      <c r="W25" s="369">
        <f>+'45'!W25+'44'!W25+'43'!W25+'42'!W25+'41'!W25</f>
        <v>107</v>
      </c>
      <c r="X25" s="370">
        <f>+'45'!X25+'44'!X25+'43'!X25+'42'!X25+'41'!X25</f>
        <v>99</v>
      </c>
      <c r="Y25" s="370">
        <f>+'45'!Y25+'44'!Y25+'43'!Y25+'42'!Y25+'41'!Y25</f>
        <v>0</v>
      </c>
      <c r="Z25" s="492">
        <f>+'45'!Z25+'44'!Z25+'43'!Z25+'42'!Z25+'41'!Z25</f>
        <v>1</v>
      </c>
      <c r="AA25" s="370">
        <f t="shared" si="17"/>
        <v>7775</v>
      </c>
      <c r="AB25" s="370">
        <f t="shared" si="17"/>
        <v>7899</v>
      </c>
      <c r="AC25" s="370">
        <f t="shared" si="17"/>
        <v>7946</v>
      </c>
      <c r="AD25" s="492">
        <f t="shared" si="17"/>
        <v>6786</v>
      </c>
      <c r="AE25" s="524"/>
      <c r="AF25" s="524"/>
      <c r="AG25" s="524"/>
      <c r="AH25" s="524"/>
      <c r="AI25" s="524"/>
      <c r="AJ25" s="524"/>
      <c r="AK25" s="524"/>
      <c r="AL25" s="524"/>
      <c r="AM25" s="524"/>
      <c r="AN25" s="524"/>
      <c r="AO25" s="524"/>
      <c r="AP25" s="524"/>
      <c r="AQ25" s="524"/>
      <c r="AR25" s="517"/>
      <c r="AS25" s="517"/>
      <c r="AT25" s="517"/>
      <c r="AU25" s="517"/>
      <c r="AV25" s="517"/>
      <c r="AW25" s="517"/>
      <c r="AX25" s="517"/>
      <c r="AY25" s="517"/>
      <c r="AZ25" s="517"/>
      <c r="BA25" s="517"/>
      <c r="BB25" s="517"/>
      <c r="BC25" s="517"/>
      <c r="BD25" s="517"/>
      <c r="BE25" s="517"/>
      <c r="BF25" s="517"/>
      <c r="BG25" s="517"/>
      <c r="BH25" s="517"/>
      <c r="BI25" s="517"/>
      <c r="BJ25" s="517"/>
      <c r="BK25" s="517"/>
      <c r="BL25" s="517"/>
      <c r="BM25" s="517"/>
      <c r="BN25" s="517"/>
      <c r="BO25" s="517"/>
      <c r="BP25" s="517"/>
      <c r="BQ25" s="517"/>
      <c r="BR25" s="517"/>
      <c r="BS25" s="517"/>
      <c r="BT25" s="517"/>
      <c r="BU25" s="517"/>
    </row>
    <row r="26" spans="1:73" s="507" customFormat="1" ht="22.5" customHeight="1">
      <c r="A26" s="491"/>
      <c r="B26" s="343" t="s">
        <v>837</v>
      </c>
      <c r="C26" s="369">
        <f>+'45'!C26+'44'!C26+'43'!C26+'42'!C26+'41'!C26</f>
        <v>7933</v>
      </c>
      <c r="D26" s="370">
        <f>+'45'!D26+'44'!D26+'43'!D26+'42'!D26+'41'!D26</f>
        <v>8381</v>
      </c>
      <c r="E26" s="370">
        <f>+'45'!E26+'44'!E26+'43'!E26+'42'!E26+'41'!E26</f>
        <v>9619</v>
      </c>
      <c r="F26" s="370">
        <f>+'45'!F26+'44'!F26+'43'!F26+'42'!F26+'41'!F26</f>
        <v>8794</v>
      </c>
      <c r="G26" s="369">
        <f>+'45'!G26+'44'!G26+'43'!G26+'42'!G26+'41'!G26</f>
        <v>1178</v>
      </c>
      <c r="H26" s="370">
        <f>+'45'!H26+'44'!H26+'43'!H26+'42'!H26+'41'!H26</f>
        <v>1488</v>
      </c>
      <c r="I26" s="370">
        <f>+'45'!I26+'44'!I26+'43'!I26+'42'!I26+'41'!I26</f>
        <v>1574</v>
      </c>
      <c r="J26" s="370">
        <f>+'45'!J26+'44'!J26+'43'!J26+'42'!J26+'41'!J26</f>
        <v>2086</v>
      </c>
      <c r="K26" s="369">
        <f>+'45'!K26+'44'!K26+'43'!K26+'42'!K26+'41'!K26</f>
        <v>2339</v>
      </c>
      <c r="L26" s="370">
        <f>+'45'!L26+'44'!L26+'43'!L26+'42'!L26+'41'!L26</f>
        <v>2602</v>
      </c>
      <c r="M26" s="370">
        <f>+'45'!M26+'44'!M26+'43'!M26+'42'!M26+'41'!M26</f>
        <v>2535</v>
      </c>
      <c r="N26" s="370">
        <f>+'45'!N26+'44'!N26+'43'!N26+'42'!N26+'41'!N26</f>
        <v>2807</v>
      </c>
      <c r="O26" s="369">
        <f>+'45'!O26+'44'!O26+'43'!O26+'42'!O26+'41'!O26</f>
        <v>1118</v>
      </c>
      <c r="P26" s="370">
        <f>+'45'!P26+'44'!P26+'43'!P26+'42'!P26+'41'!P26</f>
        <v>1389</v>
      </c>
      <c r="Q26" s="370">
        <f>+'45'!Q26+'44'!Q26+'43'!Q26+'42'!Q26+'41'!Q26</f>
        <v>1992</v>
      </c>
      <c r="R26" s="370">
        <f>+'45'!R26+'44'!R26+'43'!R26+'42'!R26+'41'!R26</f>
        <v>2264</v>
      </c>
      <c r="S26" s="369">
        <f>+'45'!S26+'44'!S26+'43'!S26+'42'!S26+'41'!S26</f>
        <v>436</v>
      </c>
      <c r="T26" s="370">
        <f>+'45'!T26+'44'!T26+'43'!T26+'42'!T26+'41'!T26</f>
        <v>463</v>
      </c>
      <c r="U26" s="370">
        <f>+'45'!U26+'44'!U26+'43'!U26+'42'!U26+'41'!U26</f>
        <v>554</v>
      </c>
      <c r="V26" s="370">
        <f>+'45'!V26+'44'!V26+'43'!V26+'42'!V26+'41'!V26</f>
        <v>654</v>
      </c>
      <c r="W26" s="369">
        <f>+'45'!W26+'44'!W26+'43'!W26+'42'!W26+'41'!W26</f>
        <v>245</v>
      </c>
      <c r="X26" s="370">
        <f>+'45'!X26+'44'!X26+'43'!X26+'42'!X26+'41'!X26</f>
        <v>354</v>
      </c>
      <c r="Y26" s="370">
        <f>+'45'!Y26+'44'!Y26+'43'!Y26+'42'!Y26+'41'!Y26</f>
        <v>0</v>
      </c>
      <c r="Z26" s="492">
        <f>+'45'!Z26+'44'!Z26+'43'!Z26+'42'!Z26+'41'!Z26</f>
        <v>0</v>
      </c>
      <c r="AA26" s="370">
        <f>+W26+S26+O26+K26+G26+C26</f>
        <v>13249</v>
      </c>
      <c r="AB26" s="370">
        <f>+X26+T26+P26+L26+H26+D26</f>
        <v>14677</v>
      </c>
      <c r="AC26" s="370">
        <f>+Y26+U26+Q26+M26+I26+E26</f>
        <v>16274</v>
      </c>
      <c r="AD26" s="492">
        <f>+Z26+V26+R26+N26+J26+F26</f>
        <v>16605</v>
      </c>
      <c r="AE26" s="524"/>
      <c r="AF26" s="524"/>
      <c r="AG26" s="524"/>
      <c r="AH26" s="524"/>
      <c r="AI26" s="524"/>
      <c r="AJ26" s="524"/>
      <c r="AK26" s="524"/>
      <c r="AL26" s="524"/>
      <c r="AM26" s="524"/>
      <c r="AN26" s="524"/>
      <c r="AO26" s="524"/>
      <c r="AP26" s="524"/>
      <c r="AQ26" s="524"/>
      <c r="AR26" s="517"/>
      <c r="AS26" s="517"/>
      <c r="AT26" s="517"/>
      <c r="AU26" s="517"/>
      <c r="AV26" s="517"/>
      <c r="AW26" s="517"/>
      <c r="AX26" s="517"/>
      <c r="AY26" s="517"/>
      <c r="AZ26" s="517"/>
      <c r="BA26" s="517"/>
      <c r="BB26" s="517"/>
      <c r="BC26" s="517"/>
      <c r="BD26" s="517"/>
      <c r="BE26" s="517"/>
      <c r="BF26" s="517"/>
      <c r="BG26" s="517"/>
      <c r="BH26" s="517"/>
      <c r="BI26" s="517"/>
      <c r="BJ26" s="517"/>
      <c r="BK26" s="517"/>
      <c r="BL26" s="517"/>
      <c r="BM26" s="517"/>
      <c r="BN26" s="517"/>
      <c r="BO26" s="517"/>
      <c r="BP26" s="517"/>
      <c r="BQ26" s="517"/>
      <c r="BR26" s="517"/>
      <c r="BS26" s="517"/>
      <c r="BT26" s="517"/>
      <c r="BU26" s="517"/>
    </row>
    <row r="27" spans="1:73" s="507" customFormat="1" ht="22.5" customHeight="1">
      <c r="A27" s="491"/>
      <c r="B27" s="491" t="s">
        <v>644</v>
      </c>
      <c r="C27" s="369">
        <f t="shared" ref="C27:AD27" si="18">SUM(C23:C26)</f>
        <v>83855</v>
      </c>
      <c r="D27" s="370">
        <f t="shared" si="18"/>
        <v>84168</v>
      </c>
      <c r="E27" s="370">
        <f t="shared" si="18"/>
        <v>87382</v>
      </c>
      <c r="F27" s="492">
        <f t="shared" si="18"/>
        <v>82958</v>
      </c>
      <c r="G27" s="369">
        <f t="shared" si="18"/>
        <v>15742</v>
      </c>
      <c r="H27" s="370">
        <f t="shared" si="18"/>
        <v>14903</v>
      </c>
      <c r="I27" s="370">
        <f t="shared" si="18"/>
        <v>15657</v>
      </c>
      <c r="J27" s="492">
        <f t="shared" ref="J27" si="19">SUM(J23:J26)</f>
        <v>13759</v>
      </c>
      <c r="K27" s="369">
        <f t="shared" si="18"/>
        <v>33814</v>
      </c>
      <c r="L27" s="370">
        <f t="shared" si="18"/>
        <v>33745</v>
      </c>
      <c r="M27" s="370">
        <f t="shared" si="18"/>
        <v>24178</v>
      </c>
      <c r="N27" s="370">
        <f>SUM(N23:N26)</f>
        <v>25111</v>
      </c>
      <c r="O27" s="369">
        <f t="shared" si="18"/>
        <v>14628</v>
      </c>
      <c r="P27" s="370">
        <f t="shared" si="18"/>
        <v>15606</v>
      </c>
      <c r="Q27" s="370">
        <f t="shared" si="18"/>
        <v>17816</v>
      </c>
      <c r="R27" s="370">
        <f>SUM(R23:R26)</f>
        <v>15433</v>
      </c>
      <c r="S27" s="369">
        <f t="shared" si="18"/>
        <v>4419</v>
      </c>
      <c r="T27" s="370">
        <f t="shared" si="18"/>
        <v>4549</v>
      </c>
      <c r="U27" s="370">
        <f t="shared" si="18"/>
        <v>5051</v>
      </c>
      <c r="V27" s="370">
        <f>SUM(V23:V26)</f>
        <v>5713</v>
      </c>
      <c r="W27" s="369">
        <f t="shared" si="18"/>
        <v>3905</v>
      </c>
      <c r="X27" s="370">
        <f t="shared" si="18"/>
        <v>4284</v>
      </c>
      <c r="Y27" s="370">
        <f t="shared" si="18"/>
        <v>93</v>
      </c>
      <c r="Z27" s="492">
        <f>SUM(Z23:Z26)</f>
        <v>18</v>
      </c>
      <c r="AA27" s="370">
        <f t="shared" si="18"/>
        <v>156363</v>
      </c>
      <c r="AB27" s="370">
        <f t="shared" si="18"/>
        <v>157255</v>
      </c>
      <c r="AC27" s="370">
        <f t="shared" si="18"/>
        <v>150177</v>
      </c>
      <c r="AD27" s="492">
        <f t="shared" si="18"/>
        <v>142992</v>
      </c>
      <c r="AE27" s="524"/>
      <c r="AF27" s="524"/>
      <c r="AG27" s="524"/>
      <c r="AH27" s="524"/>
      <c r="AI27" s="524"/>
      <c r="AJ27" s="524"/>
      <c r="AK27" s="524"/>
      <c r="AL27" s="524"/>
      <c r="AM27" s="524"/>
      <c r="AN27" s="524"/>
      <c r="AO27" s="524"/>
      <c r="AP27" s="524"/>
      <c r="AQ27" s="524"/>
      <c r="AR27" s="517"/>
      <c r="AS27" s="517"/>
      <c r="AT27" s="517"/>
      <c r="AU27" s="517"/>
      <c r="AV27" s="517"/>
      <c r="AW27" s="517"/>
      <c r="AX27" s="517"/>
      <c r="AY27" s="517"/>
      <c r="AZ27" s="517"/>
      <c r="BA27" s="517"/>
      <c r="BB27" s="517"/>
      <c r="BC27" s="517"/>
      <c r="BD27" s="517"/>
      <c r="BE27" s="517"/>
      <c r="BF27" s="517"/>
      <c r="BG27" s="517"/>
      <c r="BH27" s="517"/>
      <c r="BI27" s="517"/>
      <c r="BJ27" s="517"/>
      <c r="BK27" s="517"/>
      <c r="BL27" s="517"/>
      <c r="BM27" s="517"/>
      <c r="BN27" s="517"/>
      <c r="BO27" s="517"/>
      <c r="BP27" s="517"/>
      <c r="BQ27" s="517"/>
      <c r="BR27" s="517"/>
      <c r="BS27" s="517"/>
      <c r="BT27" s="517"/>
      <c r="BU27" s="517"/>
    </row>
    <row r="28" spans="1:73" s="507" customFormat="1" ht="22.5" customHeight="1">
      <c r="A28" s="491" t="s">
        <v>545</v>
      </c>
      <c r="B28" s="343" t="s">
        <v>838</v>
      </c>
      <c r="C28" s="369">
        <f>+'45'!C28+'44'!C28+'43'!C28+'42'!C28+'41'!C28</f>
        <v>23997</v>
      </c>
      <c r="D28" s="370">
        <f>+'45'!D28+'44'!D28+'43'!D28+'42'!D28+'41'!D28</f>
        <v>19901</v>
      </c>
      <c r="E28" s="370">
        <f>+'45'!E28+'44'!E28+'43'!E28+'42'!E28+'41'!E28</f>
        <v>21276</v>
      </c>
      <c r="F28" s="370">
        <f>+'45'!F28+'44'!F28+'43'!F28+'42'!F28+'41'!F28</f>
        <v>17758</v>
      </c>
      <c r="G28" s="369">
        <f>+'45'!G28+'44'!G28+'43'!G28+'42'!G28+'41'!G28</f>
        <v>2440</v>
      </c>
      <c r="H28" s="370">
        <f>+'45'!H28+'44'!H28+'43'!H28+'42'!H28+'41'!H28</f>
        <v>5188</v>
      </c>
      <c r="I28" s="370">
        <f>+'45'!I28+'44'!I28+'43'!I28+'42'!I28+'41'!I28</f>
        <v>4253</v>
      </c>
      <c r="J28" s="370">
        <f>+'45'!J28+'44'!J28+'43'!J28+'42'!J28+'41'!J28</f>
        <v>5304</v>
      </c>
      <c r="K28" s="369">
        <f>+'45'!K28+'44'!K28+'43'!K28+'42'!K28+'41'!K28</f>
        <v>4937</v>
      </c>
      <c r="L28" s="370">
        <f>+'45'!L28+'44'!L28+'43'!L28+'42'!L28+'41'!L28</f>
        <v>5007</v>
      </c>
      <c r="M28" s="370">
        <f>+'45'!M28+'44'!M28+'43'!M28+'42'!M28+'41'!M28</f>
        <v>5700</v>
      </c>
      <c r="N28" s="370">
        <f>+'45'!N28+'44'!N28+'43'!N28+'42'!N28+'41'!N28</f>
        <v>6270</v>
      </c>
      <c r="O28" s="369">
        <f>+'45'!O28+'44'!O28+'43'!O28+'42'!O28+'41'!O28</f>
        <v>3699</v>
      </c>
      <c r="P28" s="370">
        <f>+'45'!P28+'44'!P28+'43'!P28+'42'!P28+'41'!P28</f>
        <v>3927</v>
      </c>
      <c r="Q28" s="370">
        <f>+'45'!Q28+'44'!Q28+'43'!Q28+'42'!Q28+'41'!Q28</f>
        <v>4540</v>
      </c>
      <c r="R28" s="370">
        <f>+'45'!R28+'44'!R28+'43'!R28+'42'!R28+'41'!R28</f>
        <v>4119</v>
      </c>
      <c r="S28" s="369">
        <f>+'45'!S28+'44'!S28+'43'!S28+'42'!S28+'41'!S28</f>
        <v>1704</v>
      </c>
      <c r="T28" s="370">
        <f>+'45'!T28+'44'!T28+'43'!T28+'42'!T28+'41'!T28</f>
        <v>1374</v>
      </c>
      <c r="U28" s="370">
        <f>+'45'!U28+'44'!U28+'43'!U28+'42'!U28+'41'!U28</f>
        <v>1355</v>
      </c>
      <c r="V28" s="370">
        <f>+'45'!V28+'44'!V28+'43'!V28+'42'!V28+'41'!V28</f>
        <v>1664</v>
      </c>
      <c r="W28" s="369">
        <f>+'45'!W28+'44'!W28+'43'!W28+'42'!W28+'41'!W28</f>
        <v>773</v>
      </c>
      <c r="X28" s="370">
        <f>+'45'!X28+'44'!X28+'43'!X28+'42'!X28+'41'!X28</f>
        <v>1070</v>
      </c>
      <c r="Y28" s="370">
        <f>+'45'!Y28+'44'!Y28+'43'!Y28+'42'!Y28+'41'!Y28</f>
        <v>604</v>
      </c>
      <c r="Z28" s="492">
        <f>+'45'!Z28+'44'!Z28+'43'!Z28+'42'!Z28+'41'!Z28</f>
        <v>140</v>
      </c>
      <c r="AA28" s="370">
        <f t="shared" ref="AA28:AD31" si="20">+W28+S28+O28+K28+G28+C28</f>
        <v>37550</v>
      </c>
      <c r="AB28" s="370">
        <f t="shared" si="20"/>
        <v>36467</v>
      </c>
      <c r="AC28" s="370">
        <f t="shared" si="20"/>
        <v>37728</v>
      </c>
      <c r="AD28" s="492">
        <f t="shared" si="20"/>
        <v>35255</v>
      </c>
      <c r="AE28" s="524"/>
      <c r="AF28" s="524"/>
      <c r="AG28" s="524"/>
      <c r="AH28" s="524"/>
      <c r="AI28" s="524"/>
      <c r="AJ28" s="524"/>
      <c r="AK28" s="524"/>
      <c r="AL28" s="524"/>
      <c r="AM28" s="524"/>
      <c r="AN28" s="524"/>
      <c r="AO28" s="524"/>
      <c r="AP28" s="524"/>
      <c r="AQ28" s="524"/>
      <c r="AR28" s="517"/>
      <c r="AS28" s="517"/>
      <c r="AT28" s="517"/>
      <c r="AU28" s="517"/>
      <c r="AV28" s="517"/>
      <c r="AW28" s="517"/>
      <c r="AX28" s="517"/>
      <c r="AY28" s="517"/>
      <c r="AZ28" s="517"/>
      <c r="BA28" s="517"/>
      <c r="BB28" s="517"/>
      <c r="BC28" s="517"/>
      <c r="BD28" s="517"/>
      <c r="BE28" s="517"/>
      <c r="BF28" s="517"/>
      <c r="BG28" s="517"/>
      <c r="BH28" s="517"/>
      <c r="BI28" s="517"/>
      <c r="BJ28" s="517"/>
      <c r="BK28" s="517"/>
      <c r="BL28" s="517"/>
      <c r="BM28" s="517"/>
      <c r="BN28" s="517"/>
      <c r="BO28" s="517"/>
      <c r="BP28" s="517"/>
      <c r="BQ28" s="517"/>
      <c r="BR28" s="517"/>
      <c r="BS28" s="517"/>
      <c r="BT28" s="517"/>
      <c r="BU28" s="517"/>
    </row>
    <row r="29" spans="1:73" s="507" customFormat="1" ht="22.5" customHeight="1">
      <c r="A29" s="491"/>
      <c r="B29" s="299" t="s">
        <v>1276</v>
      </c>
      <c r="C29" s="369">
        <f>+'45'!C29+'44'!C29+'43'!C29+'42'!C29+'41'!C29</f>
        <v>3779</v>
      </c>
      <c r="D29" s="370">
        <f>+'45'!D29+'44'!D29+'43'!D29+'42'!D29+'41'!D29</f>
        <v>2339</v>
      </c>
      <c r="E29" s="370">
        <f>+'45'!E29+'44'!E29+'43'!E29+'42'!E29+'41'!E29</f>
        <v>2782</v>
      </c>
      <c r="F29" s="370">
        <f>+'45'!F29+'44'!F29+'43'!F29+'42'!F29+'41'!F29</f>
        <v>2684</v>
      </c>
      <c r="G29" s="369">
        <f>+'45'!G29+'44'!G29+'43'!G29+'42'!G29+'41'!G29</f>
        <v>148</v>
      </c>
      <c r="H29" s="370">
        <f>+'45'!H29+'44'!H29+'43'!H29+'42'!H29+'41'!H29</f>
        <v>742</v>
      </c>
      <c r="I29" s="370">
        <f>+'45'!I29+'44'!I29+'43'!I29+'42'!I29+'41'!I29</f>
        <v>546</v>
      </c>
      <c r="J29" s="370">
        <f>+'45'!J29+'44'!J29+'43'!J29+'42'!J29+'41'!J29</f>
        <v>675</v>
      </c>
      <c r="K29" s="369">
        <f>+'45'!K29+'44'!K29+'43'!K29+'42'!K29+'41'!K29</f>
        <v>348</v>
      </c>
      <c r="L29" s="370">
        <f>+'45'!L29+'44'!L29+'43'!L29+'42'!L29+'41'!L29</f>
        <v>503</v>
      </c>
      <c r="M29" s="370">
        <f>+'45'!M29+'44'!M29+'43'!M29+'42'!M29+'41'!M29</f>
        <v>567</v>
      </c>
      <c r="N29" s="370">
        <f>+'45'!N29+'44'!N29+'43'!N29+'42'!N29+'41'!N29</f>
        <v>558</v>
      </c>
      <c r="O29" s="369">
        <f>+'45'!O29+'44'!O29+'43'!O29+'42'!O29+'41'!O29</f>
        <v>736</v>
      </c>
      <c r="P29" s="370">
        <f>+'45'!P29+'44'!P29+'43'!P29+'42'!P29+'41'!P29</f>
        <v>857</v>
      </c>
      <c r="Q29" s="370">
        <f>+'45'!Q29+'44'!Q29+'43'!Q29+'42'!Q29+'41'!Q29</f>
        <v>826</v>
      </c>
      <c r="R29" s="370">
        <f>+'45'!R29+'44'!R29+'43'!R29+'42'!R29+'41'!R29</f>
        <v>683</v>
      </c>
      <c r="S29" s="369">
        <f>+'45'!S29+'44'!S29+'43'!S29+'42'!S29+'41'!S29</f>
        <v>0</v>
      </c>
      <c r="T29" s="370">
        <f>+'45'!T29+'44'!T29+'43'!T29+'42'!T29+'41'!T29</f>
        <v>7</v>
      </c>
      <c r="U29" s="370">
        <f>+'45'!U29+'44'!U29+'43'!U29+'42'!U29+'41'!U29</f>
        <v>0</v>
      </c>
      <c r="V29" s="370">
        <f>+'45'!V29+'44'!V29+'43'!V29+'42'!V29+'41'!V29</f>
        <v>0</v>
      </c>
      <c r="W29" s="369">
        <f>+'45'!W29+'44'!W29+'43'!W29+'42'!W29+'41'!W29</f>
        <v>267</v>
      </c>
      <c r="X29" s="370">
        <f>+'45'!X29+'44'!X29+'43'!X29+'42'!X29+'41'!X29</f>
        <v>369</v>
      </c>
      <c r="Y29" s="370">
        <f>+'45'!Y29+'44'!Y29+'43'!Y29+'42'!Y29+'41'!Y29</f>
        <v>979</v>
      </c>
      <c r="Z29" s="492">
        <f>+'45'!Z29+'44'!Z29+'43'!Z29+'42'!Z29+'41'!Z29</f>
        <v>380</v>
      </c>
      <c r="AA29" s="370">
        <f t="shared" ref="AA29:AD30" si="21">+W29+S29+O29+K29+G29+C29</f>
        <v>5278</v>
      </c>
      <c r="AB29" s="370">
        <f t="shared" si="21"/>
        <v>4817</v>
      </c>
      <c r="AC29" s="370">
        <f t="shared" si="21"/>
        <v>5700</v>
      </c>
      <c r="AD29" s="492">
        <f t="shared" si="21"/>
        <v>4980</v>
      </c>
      <c r="AE29" s="524"/>
      <c r="AF29" s="524"/>
      <c r="AG29" s="524"/>
      <c r="AH29" s="524"/>
      <c r="AI29" s="524"/>
      <c r="AJ29" s="524"/>
      <c r="AK29" s="524"/>
      <c r="AL29" s="524"/>
      <c r="AM29" s="524"/>
      <c r="AN29" s="524"/>
      <c r="AO29" s="524"/>
      <c r="AP29" s="524"/>
      <c r="AQ29" s="524"/>
      <c r="AR29" s="517"/>
      <c r="AS29" s="517"/>
      <c r="AT29" s="517"/>
      <c r="AU29" s="517"/>
      <c r="AV29" s="517"/>
      <c r="AW29" s="517"/>
      <c r="AX29" s="517"/>
      <c r="AY29" s="517"/>
      <c r="AZ29" s="517"/>
      <c r="BA29" s="517"/>
      <c r="BB29" s="517"/>
      <c r="BC29" s="517"/>
      <c r="BD29" s="517"/>
      <c r="BE29" s="517"/>
      <c r="BF29" s="517"/>
      <c r="BG29" s="517"/>
      <c r="BH29" s="517"/>
      <c r="BI29" s="517"/>
      <c r="BJ29" s="517"/>
      <c r="BK29" s="517"/>
      <c r="BL29" s="517"/>
      <c r="BM29" s="517"/>
      <c r="BN29" s="517"/>
      <c r="BO29" s="517"/>
      <c r="BP29" s="517"/>
      <c r="BQ29" s="517"/>
      <c r="BR29" s="517"/>
      <c r="BS29" s="517"/>
      <c r="BT29" s="517"/>
      <c r="BU29" s="517"/>
    </row>
    <row r="30" spans="1:73" s="507" customFormat="1" ht="22.5" customHeight="1">
      <c r="A30" s="491"/>
      <c r="B30" s="251" t="s">
        <v>1340</v>
      </c>
      <c r="C30" s="369"/>
      <c r="D30" s="370"/>
      <c r="E30" s="370">
        <f>+'45'!E30+'44'!E30+'43'!E30+'42'!E30+'41'!E30</f>
        <v>0</v>
      </c>
      <c r="F30" s="370">
        <f>+'45'!F30+'44'!F30+'43'!F30+'42'!F30+'41'!F30</f>
        <v>0</v>
      </c>
      <c r="G30" s="369"/>
      <c r="H30" s="370"/>
      <c r="I30" s="370">
        <f>+'45'!I30+'44'!I30+'43'!I30+'42'!I30+'41'!I30</f>
        <v>7</v>
      </c>
      <c r="J30" s="370">
        <f>+'45'!J30+'44'!J30+'43'!J30+'42'!J30+'41'!J30</f>
        <v>0</v>
      </c>
      <c r="K30" s="369"/>
      <c r="L30" s="370"/>
      <c r="M30" s="370">
        <f>+'45'!M30+'44'!M30+'43'!M30+'42'!M30+'41'!M30</f>
        <v>0</v>
      </c>
      <c r="N30" s="370">
        <f>+'45'!N30+'44'!N30+'43'!N30+'42'!N30+'41'!N30</f>
        <v>0</v>
      </c>
      <c r="O30" s="369"/>
      <c r="P30" s="370"/>
      <c r="Q30" s="370">
        <f>+'45'!Q30+'44'!Q30+'43'!Q30+'42'!Q30+'41'!Q30</f>
        <v>6</v>
      </c>
      <c r="R30" s="370">
        <f>+'45'!R30+'44'!R30+'43'!R30+'42'!R30+'41'!R30</f>
        <v>0</v>
      </c>
      <c r="S30" s="369"/>
      <c r="T30" s="370"/>
      <c r="U30" s="370">
        <f>+'45'!U30+'44'!U30+'43'!U30+'42'!U30+'41'!U30</f>
        <v>807</v>
      </c>
      <c r="V30" s="370">
        <f>+'45'!V30+'44'!V30+'43'!V30+'42'!V30+'41'!V30</f>
        <v>1238</v>
      </c>
      <c r="W30" s="369"/>
      <c r="X30" s="370"/>
      <c r="Y30" s="370">
        <f>+'45'!Y30+'44'!Y30+'43'!Y30+'42'!Y30+'41'!Y30</f>
        <v>0</v>
      </c>
      <c r="Z30" s="492">
        <f>+'45'!Z30+'44'!Z30+'43'!Z30+'42'!Z30+'41'!Z30</f>
        <v>0</v>
      </c>
      <c r="AA30" s="370">
        <f t="shared" si="21"/>
        <v>0</v>
      </c>
      <c r="AB30" s="370">
        <f t="shared" si="21"/>
        <v>0</v>
      </c>
      <c r="AC30" s="370">
        <f t="shared" si="21"/>
        <v>820</v>
      </c>
      <c r="AD30" s="492">
        <f t="shared" si="21"/>
        <v>1238</v>
      </c>
      <c r="AE30" s="524"/>
      <c r="AF30" s="524"/>
      <c r="AG30" s="524"/>
      <c r="AH30" s="524"/>
      <c r="AI30" s="524"/>
      <c r="AJ30" s="524"/>
      <c r="AK30" s="524"/>
      <c r="AL30" s="524"/>
      <c r="AM30" s="524"/>
      <c r="AN30" s="524"/>
      <c r="AO30" s="524"/>
      <c r="AP30" s="524"/>
      <c r="AQ30" s="524"/>
      <c r="AR30" s="517"/>
      <c r="AS30" s="517"/>
      <c r="AT30" s="517"/>
      <c r="AU30" s="517"/>
      <c r="AV30" s="517"/>
      <c r="AW30" s="517"/>
      <c r="AX30" s="517"/>
      <c r="AY30" s="517"/>
      <c r="AZ30" s="517"/>
      <c r="BA30" s="517"/>
      <c r="BB30" s="517"/>
      <c r="BC30" s="517"/>
      <c r="BD30" s="517"/>
      <c r="BE30" s="517"/>
      <c r="BF30" s="517"/>
      <c r="BG30" s="517"/>
      <c r="BH30" s="517"/>
      <c r="BI30" s="517"/>
      <c r="BJ30" s="517"/>
      <c r="BK30" s="517"/>
      <c r="BL30" s="517"/>
      <c r="BM30" s="517"/>
      <c r="BN30" s="517"/>
      <c r="BO30" s="517"/>
      <c r="BP30" s="517"/>
      <c r="BQ30" s="517"/>
      <c r="BR30" s="517"/>
      <c r="BS30" s="517"/>
      <c r="BT30" s="517"/>
      <c r="BU30" s="517"/>
    </row>
    <row r="31" spans="1:73" s="507" customFormat="1" ht="22.5" customHeight="1">
      <c r="A31" s="491"/>
      <c r="B31" s="491" t="s">
        <v>966</v>
      </c>
      <c r="C31" s="369">
        <f>+'45'!C31+'44'!C31+'43'!C31+'42'!C31+'41'!C31</f>
        <v>285</v>
      </c>
      <c r="D31" s="370">
        <f>+'45'!D31+'44'!D31+'43'!D31+'42'!D31+'41'!D31</f>
        <v>396</v>
      </c>
      <c r="E31" s="370">
        <f>+'45'!E31+'44'!E31+'43'!E31+'42'!E31+'41'!E31</f>
        <v>351</v>
      </c>
      <c r="F31" s="370">
        <f>+'45'!F31+'44'!F31+'43'!F31+'42'!F31+'41'!F31</f>
        <v>273</v>
      </c>
      <c r="G31" s="369">
        <f>+'45'!G31+'44'!G31+'43'!G31+'42'!G31+'41'!G31</f>
        <v>0</v>
      </c>
      <c r="H31" s="370">
        <f>+'45'!H31+'44'!H31+'43'!H31+'42'!H31+'41'!H31</f>
        <v>0</v>
      </c>
      <c r="I31" s="370">
        <f>+'45'!I31+'44'!I31+'43'!I31+'42'!I31+'41'!I31</f>
        <v>0</v>
      </c>
      <c r="J31" s="370">
        <f>+'45'!J31+'44'!J31+'43'!J31+'42'!J31+'41'!J31</f>
        <v>0</v>
      </c>
      <c r="K31" s="369">
        <f>+'45'!K31+'44'!K31+'43'!K31+'42'!K31+'41'!K31</f>
        <v>0</v>
      </c>
      <c r="L31" s="370">
        <f>+'45'!L31+'44'!L31+'43'!L31+'42'!L31+'41'!L31</f>
        <v>0</v>
      </c>
      <c r="M31" s="370">
        <f>+'45'!M31+'44'!M31+'43'!M31+'42'!M31+'41'!M31</f>
        <v>0</v>
      </c>
      <c r="N31" s="370">
        <f>+'45'!N31+'44'!N31+'43'!N31+'42'!N31+'41'!N31</f>
        <v>0</v>
      </c>
      <c r="O31" s="369">
        <f>+'45'!O31+'44'!O31+'43'!O31+'42'!O31+'41'!O31</f>
        <v>0</v>
      </c>
      <c r="P31" s="370">
        <f>+'45'!P31+'44'!P31+'43'!P31+'42'!P31+'41'!P31</f>
        <v>0</v>
      </c>
      <c r="Q31" s="370">
        <f>+'45'!Q31+'44'!Q31+'43'!Q31+'42'!Q31+'41'!Q31</f>
        <v>0</v>
      </c>
      <c r="R31" s="370">
        <f>+'45'!R31+'44'!R31+'43'!R31+'42'!R31+'41'!R31</f>
        <v>0</v>
      </c>
      <c r="S31" s="369">
        <f>+'45'!S31+'44'!S31+'43'!S31+'42'!S31+'41'!S31</f>
        <v>0</v>
      </c>
      <c r="T31" s="370">
        <f>+'45'!T31+'44'!T31+'43'!T31+'42'!T31+'41'!T31</f>
        <v>0</v>
      </c>
      <c r="U31" s="370">
        <f>+'45'!U31+'44'!U31+'43'!U31+'42'!U31+'41'!U31</f>
        <v>0</v>
      </c>
      <c r="V31" s="370">
        <f>+'45'!V31+'44'!V31+'43'!V31+'42'!V31+'41'!V31</f>
        <v>0</v>
      </c>
      <c r="W31" s="369">
        <f>+'45'!W31+'44'!W31+'43'!W31+'42'!W31+'41'!W31</f>
        <v>0</v>
      </c>
      <c r="X31" s="370">
        <f>+'45'!X31+'44'!X31+'43'!X31+'42'!X31+'41'!X31</f>
        <v>0</v>
      </c>
      <c r="Y31" s="370">
        <f>+'45'!Y31+'44'!Y31+'43'!Y31+'42'!Y31+'41'!Y31</f>
        <v>0</v>
      </c>
      <c r="Z31" s="492">
        <f>+'45'!Z31+'44'!Z31+'43'!Z31+'42'!Z31+'41'!Z31</f>
        <v>0</v>
      </c>
      <c r="AA31" s="370">
        <f t="shared" si="20"/>
        <v>285</v>
      </c>
      <c r="AB31" s="370">
        <f t="shared" si="20"/>
        <v>396</v>
      </c>
      <c r="AC31" s="370">
        <f t="shared" si="20"/>
        <v>351</v>
      </c>
      <c r="AD31" s="492">
        <f t="shared" si="20"/>
        <v>273</v>
      </c>
      <c r="AE31" s="524"/>
      <c r="AF31" s="524"/>
      <c r="AG31" s="524"/>
      <c r="AH31" s="524"/>
      <c r="AI31" s="524"/>
      <c r="AJ31" s="524"/>
      <c r="AK31" s="524"/>
      <c r="AL31" s="524"/>
      <c r="AM31" s="524"/>
      <c r="AN31" s="524"/>
      <c r="AO31" s="524"/>
      <c r="AP31" s="524"/>
      <c r="AQ31" s="524"/>
      <c r="AR31" s="517"/>
      <c r="AS31" s="517"/>
      <c r="AT31" s="517"/>
      <c r="AU31" s="517"/>
      <c r="AV31" s="517"/>
      <c r="AW31" s="517"/>
      <c r="AX31" s="517"/>
      <c r="AY31" s="517"/>
      <c r="AZ31" s="517"/>
      <c r="BA31" s="517"/>
      <c r="BB31" s="517"/>
      <c r="BC31" s="517"/>
      <c r="BD31" s="517"/>
      <c r="BE31" s="517"/>
      <c r="BF31" s="517"/>
      <c r="BG31" s="517"/>
      <c r="BH31" s="517"/>
      <c r="BI31" s="517"/>
      <c r="BJ31" s="517"/>
      <c r="BK31" s="517"/>
      <c r="BL31" s="517"/>
      <c r="BM31" s="517"/>
      <c r="BN31" s="517"/>
      <c r="BO31" s="517"/>
      <c r="BP31" s="517"/>
      <c r="BQ31" s="517"/>
      <c r="BR31" s="517"/>
      <c r="BS31" s="517"/>
      <c r="BT31" s="517"/>
      <c r="BU31" s="517"/>
    </row>
    <row r="32" spans="1:73" s="507" customFormat="1" ht="22.5" customHeight="1">
      <c r="A32" s="491"/>
      <c r="B32" s="491" t="s">
        <v>644</v>
      </c>
      <c r="C32" s="369">
        <f t="shared" ref="C32:AD32" si="22">SUM(C28:C31)</f>
        <v>28061</v>
      </c>
      <c r="D32" s="370">
        <f t="shared" si="22"/>
        <v>22636</v>
      </c>
      <c r="E32" s="370">
        <f t="shared" si="22"/>
        <v>24409</v>
      </c>
      <c r="F32" s="492">
        <f t="shared" si="22"/>
        <v>20715</v>
      </c>
      <c r="G32" s="369">
        <f t="shared" si="22"/>
        <v>2588</v>
      </c>
      <c r="H32" s="370">
        <f t="shared" si="22"/>
        <v>5930</v>
      </c>
      <c r="I32" s="370">
        <f t="shared" si="22"/>
        <v>4806</v>
      </c>
      <c r="J32" s="492">
        <f t="shared" ref="J32" si="23">SUM(J28:J31)</f>
        <v>5979</v>
      </c>
      <c r="K32" s="369">
        <f t="shared" si="22"/>
        <v>5285</v>
      </c>
      <c r="L32" s="370">
        <f t="shared" si="22"/>
        <v>5510</v>
      </c>
      <c r="M32" s="370">
        <f t="shared" si="22"/>
        <v>6267</v>
      </c>
      <c r="N32" s="370">
        <f t="shared" si="22"/>
        <v>6828</v>
      </c>
      <c r="O32" s="369">
        <f t="shared" si="22"/>
        <v>4435</v>
      </c>
      <c r="P32" s="370">
        <f t="shared" si="22"/>
        <v>4784</v>
      </c>
      <c r="Q32" s="370">
        <f t="shared" si="22"/>
        <v>5372</v>
      </c>
      <c r="R32" s="370">
        <f t="shared" si="22"/>
        <v>4802</v>
      </c>
      <c r="S32" s="369">
        <f t="shared" si="22"/>
        <v>1704</v>
      </c>
      <c r="T32" s="370">
        <f t="shared" si="22"/>
        <v>1381</v>
      </c>
      <c r="U32" s="370">
        <f t="shared" si="22"/>
        <v>2162</v>
      </c>
      <c r="V32" s="370">
        <f t="shared" si="22"/>
        <v>2902</v>
      </c>
      <c r="W32" s="369">
        <f t="shared" si="22"/>
        <v>1040</v>
      </c>
      <c r="X32" s="370">
        <f t="shared" si="22"/>
        <v>1439</v>
      </c>
      <c r="Y32" s="370">
        <f t="shared" si="22"/>
        <v>1583</v>
      </c>
      <c r="Z32" s="492">
        <f t="shared" si="22"/>
        <v>520</v>
      </c>
      <c r="AA32" s="370">
        <f t="shared" si="22"/>
        <v>43113</v>
      </c>
      <c r="AB32" s="370">
        <f t="shared" si="22"/>
        <v>41680</v>
      </c>
      <c r="AC32" s="370">
        <f t="shared" si="22"/>
        <v>44599</v>
      </c>
      <c r="AD32" s="492">
        <f t="shared" si="22"/>
        <v>41746</v>
      </c>
      <c r="AE32" s="524"/>
      <c r="AF32" s="524"/>
      <c r="AG32" s="524"/>
      <c r="AH32" s="524"/>
      <c r="AI32" s="524"/>
      <c r="AJ32" s="524"/>
      <c r="AK32" s="524"/>
      <c r="AL32" s="524"/>
      <c r="AM32" s="524"/>
      <c r="AN32" s="524"/>
      <c r="AO32" s="524"/>
      <c r="AP32" s="524"/>
      <c r="AQ32" s="524"/>
      <c r="AR32" s="517"/>
      <c r="AS32" s="517"/>
      <c r="AT32" s="517"/>
      <c r="AU32" s="517"/>
      <c r="AV32" s="517"/>
      <c r="AW32" s="517"/>
      <c r="AX32" s="517"/>
      <c r="AY32" s="517"/>
      <c r="AZ32" s="517"/>
      <c r="BA32" s="517"/>
      <c r="BB32" s="517"/>
      <c r="BC32" s="517"/>
      <c r="BD32" s="517"/>
      <c r="BE32" s="517"/>
      <c r="BF32" s="517"/>
      <c r="BG32" s="517"/>
      <c r="BH32" s="517"/>
      <c r="BI32" s="517"/>
      <c r="BJ32" s="517"/>
      <c r="BK32" s="517"/>
      <c r="BL32" s="517"/>
      <c r="BM32" s="517"/>
      <c r="BN32" s="517"/>
      <c r="BO32" s="517"/>
      <c r="BP32" s="517"/>
      <c r="BQ32" s="517"/>
      <c r="BR32" s="517"/>
      <c r="BS32" s="517"/>
      <c r="BT32" s="517"/>
      <c r="BU32" s="517"/>
    </row>
    <row r="33" spans="1:73" s="507" customFormat="1" ht="22.5" customHeight="1">
      <c r="A33" s="491" t="s">
        <v>546</v>
      </c>
      <c r="B33" s="299" t="s">
        <v>648</v>
      </c>
      <c r="C33" s="369">
        <f>+'45'!C33+'44'!C33+'43'!C33+'42'!C33+'41'!C33</f>
        <v>15011</v>
      </c>
      <c r="D33" s="370">
        <f>+'45'!D33+'44'!D33+'43'!D33+'42'!D33+'41'!D33</f>
        <v>13675</v>
      </c>
      <c r="E33" s="370">
        <f>+'45'!E33+'44'!E33+'43'!E33+'42'!E33+'41'!E33</f>
        <v>17070</v>
      </c>
      <c r="F33" s="370">
        <f>+'45'!F33+'44'!F33+'43'!F33+'42'!F33+'41'!F33</f>
        <v>20022</v>
      </c>
      <c r="G33" s="369">
        <f>+'45'!G33+'44'!G33+'43'!G33+'42'!G33+'41'!G33</f>
        <v>2513</v>
      </c>
      <c r="H33" s="370">
        <f>+'45'!H33+'44'!H33+'43'!H33+'42'!H33+'41'!H33</f>
        <v>3603</v>
      </c>
      <c r="I33" s="370">
        <f>+'45'!I33+'44'!I33+'43'!I33+'42'!I33+'41'!I33</f>
        <v>3524</v>
      </c>
      <c r="J33" s="370">
        <f>+'45'!J33+'44'!J33+'43'!J33+'42'!J33+'41'!J33</f>
        <v>2927</v>
      </c>
      <c r="K33" s="369">
        <f>+'45'!K33+'44'!K33+'43'!K33+'42'!K33+'41'!K33</f>
        <v>5169</v>
      </c>
      <c r="L33" s="370">
        <f>+'45'!L33+'44'!L33+'43'!L33+'42'!L33+'41'!L33</f>
        <v>5235</v>
      </c>
      <c r="M33" s="370">
        <f>+'45'!M33+'44'!M33+'43'!M33+'42'!M33+'41'!M33</f>
        <v>5490</v>
      </c>
      <c r="N33" s="370">
        <f>+'45'!N33+'44'!N33+'43'!N33+'42'!N33+'41'!N33</f>
        <v>5731</v>
      </c>
      <c r="O33" s="369">
        <f>+'45'!O33+'44'!O33+'43'!O33+'42'!O33+'41'!O33</f>
        <v>2686</v>
      </c>
      <c r="P33" s="370">
        <f>+'45'!P33+'44'!P33+'43'!P33+'42'!P33+'41'!P33</f>
        <v>2563</v>
      </c>
      <c r="Q33" s="370">
        <f>+'45'!Q33+'44'!Q33+'43'!Q33+'42'!Q33+'41'!Q33</f>
        <v>2794</v>
      </c>
      <c r="R33" s="370">
        <f>+'45'!R33+'44'!R33+'43'!R33+'42'!R33+'41'!R33</f>
        <v>2964</v>
      </c>
      <c r="S33" s="369">
        <f>+'45'!S33+'44'!S33+'43'!S33+'42'!S33+'41'!S33</f>
        <v>505</v>
      </c>
      <c r="T33" s="370">
        <f>+'45'!T33+'44'!T33+'43'!T33+'42'!T33+'41'!T33</f>
        <v>569</v>
      </c>
      <c r="U33" s="370">
        <f>+'45'!U33+'44'!U33+'43'!U33+'42'!U33+'41'!U33</f>
        <v>533</v>
      </c>
      <c r="V33" s="370">
        <f>+'45'!V33+'44'!V33+'43'!V33+'42'!V33+'41'!V33</f>
        <v>602</v>
      </c>
      <c r="W33" s="369">
        <f>+'45'!W33+'44'!W33+'43'!W33+'42'!W33+'41'!W33</f>
        <v>956</v>
      </c>
      <c r="X33" s="370">
        <f>+'45'!X33+'44'!X33+'43'!X33+'42'!X33+'41'!X33</f>
        <v>1207</v>
      </c>
      <c r="Y33" s="370">
        <f>+'45'!Y33+'44'!Y33+'43'!Y33+'42'!Y33+'41'!Y33</f>
        <v>294</v>
      </c>
      <c r="Z33" s="492">
        <f>+'45'!Z33+'44'!Z33+'43'!Z33+'42'!Z33+'41'!Z33</f>
        <v>130</v>
      </c>
      <c r="AA33" s="370">
        <f t="shared" ref="AA33:AD39" si="24">+W33+S33+O33+K33+G33+C33</f>
        <v>26840</v>
      </c>
      <c r="AB33" s="370">
        <f t="shared" si="24"/>
        <v>26852</v>
      </c>
      <c r="AC33" s="370">
        <f t="shared" si="24"/>
        <v>29705</v>
      </c>
      <c r="AD33" s="492">
        <f t="shared" si="24"/>
        <v>32376</v>
      </c>
      <c r="AE33" s="524"/>
      <c r="AF33" s="524"/>
      <c r="AG33" s="524"/>
      <c r="AH33" s="524"/>
      <c r="AI33" s="524"/>
      <c r="AJ33" s="524"/>
      <c r="AK33" s="524"/>
      <c r="AL33" s="524"/>
      <c r="AM33" s="524"/>
      <c r="AN33" s="524"/>
      <c r="AO33" s="524"/>
      <c r="AP33" s="524"/>
      <c r="AQ33" s="524"/>
      <c r="AR33" s="517"/>
      <c r="AS33" s="517"/>
      <c r="AT33" s="517"/>
      <c r="AU33" s="517"/>
      <c r="AV33" s="517"/>
      <c r="AW33" s="517"/>
      <c r="AX33" s="517"/>
      <c r="AY33" s="517"/>
      <c r="AZ33" s="517"/>
      <c r="BA33" s="517"/>
      <c r="BB33" s="517"/>
      <c r="BC33" s="517"/>
      <c r="BD33" s="517"/>
      <c r="BE33" s="517"/>
      <c r="BF33" s="517"/>
      <c r="BG33" s="517"/>
      <c r="BH33" s="517"/>
      <c r="BI33" s="517"/>
      <c r="BJ33" s="517"/>
      <c r="BK33" s="517"/>
      <c r="BL33" s="517"/>
      <c r="BM33" s="517"/>
      <c r="BN33" s="517"/>
      <c r="BO33" s="517"/>
      <c r="BP33" s="517"/>
      <c r="BQ33" s="517"/>
      <c r="BR33" s="517"/>
      <c r="BS33" s="517"/>
      <c r="BT33" s="517"/>
      <c r="BU33" s="517"/>
    </row>
    <row r="34" spans="1:73" s="507" customFormat="1" ht="22.5" customHeight="1">
      <c r="A34" s="491"/>
      <c r="B34" s="343" t="s">
        <v>840</v>
      </c>
      <c r="C34" s="369">
        <f>+'45'!C34+'44'!C34+'43'!C34+'42'!C34+'41'!C34</f>
        <v>2807</v>
      </c>
      <c r="D34" s="370">
        <f>+'45'!D34+'44'!D34+'43'!D34+'42'!D34+'41'!D34</f>
        <v>2621</v>
      </c>
      <c r="E34" s="370">
        <f>+'45'!E34+'44'!E34+'43'!E34+'42'!E34+'41'!E34</f>
        <v>2765</v>
      </c>
      <c r="F34" s="370">
        <f>+'45'!F34+'44'!F34+'43'!F34+'42'!F34+'41'!F34</f>
        <v>3379</v>
      </c>
      <c r="G34" s="369">
        <f>+'45'!G34+'44'!G34+'43'!G34+'42'!G34+'41'!G34</f>
        <v>510</v>
      </c>
      <c r="H34" s="370">
        <f>+'45'!H34+'44'!H34+'43'!H34+'42'!H34+'41'!H34</f>
        <v>502</v>
      </c>
      <c r="I34" s="370">
        <f>+'45'!I34+'44'!I34+'43'!I34+'42'!I34+'41'!I34</f>
        <v>690</v>
      </c>
      <c r="J34" s="370">
        <f>+'45'!J34+'44'!J34+'43'!J34+'42'!J34+'41'!J34</f>
        <v>464</v>
      </c>
      <c r="K34" s="369">
        <f>+'45'!K34+'44'!K34+'43'!K34+'42'!K34+'41'!K34</f>
        <v>1072</v>
      </c>
      <c r="L34" s="370">
        <f>+'45'!L34+'44'!L34+'43'!L34+'42'!L34+'41'!L34</f>
        <v>979</v>
      </c>
      <c r="M34" s="370">
        <f>+'45'!M34+'44'!M34+'43'!M34+'42'!M34+'41'!M34</f>
        <v>1022</v>
      </c>
      <c r="N34" s="370">
        <f>+'45'!N34+'44'!N34+'43'!N34+'42'!N34+'41'!N34</f>
        <v>962</v>
      </c>
      <c r="O34" s="369">
        <f>+'45'!O34+'44'!O34+'43'!O34+'42'!O34+'41'!O34</f>
        <v>392</v>
      </c>
      <c r="P34" s="370">
        <f>+'45'!P34+'44'!P34+'43'!P34+'42'!P34+'41'!P34</f>
        <v>433</v>
      </c>
      <c r="Q34" s="370">
        <f>+'45'!Q34+'44'!Q34+'43'!Q34+'42'!Q34+'41'!Q34</f>
        <v>448</v>
      </c>
      <c r="R34" s="370">
        <f>+'45'!R34+'44'!R34+'43'!R34+'42'!R34+'41'!R34</f>
        <v>393</v>
      </c>
      <c r="S34" s="369">
        <f>+'45'!S34+'44'!S34+'43'!S34+'42'!S34+'41'!S34</f>
        <v>109</v>
      </c>
      <c r="T34" s="370">
        <f>+'45'!T34+'44'!T34+'43'!T34+'42'!T34+'41'!T34</f>
        <v>131</v>
      </c>
      <c r="U34" s="370">
        <f>+'45'!U34+'44'!U34+'43'!U34+'42'!U34+'41'!U34</f>
        <v>176</v>
      </c>
      <c r="V34" s="370">
        <f>+'45'!V34+'44'!V34+'43'!V34+'42'!V34+'41'!V34</f>
        <v>163</v>
      </c>
      <c r="W34" s="369">
        <f>+'45'!W34+'44'!W34+'43'!W34+'42'!W34+'41'!W34</f>
        <v>144</v>
      </c>
      <c r="X34" s="370">
        <f>+'45'!X34+'44'!X34+'43'!X34+'42'!X34+'41'!X34</f>
        <v>245</v>
      </c>
      <c r="Y34" s="370">
        <f>+'45'!Y34+'44'!Y34+'43'!Y34+'42'!Y34+'41'!Y34</f>
        <v>55</v>
      </c>
      <c r="Z34" s="492">
        <f>+'45'!Z34+'44'!Z34+'43'!Z34+'42'!Z34+'41'!Z34</f>
        <v>2</v>
      </c>
      <c r="AA34" s="370">
        <f t="shared" ref="AA34:AD35" si="25">+W34+S34+O34+K34+G34+C34</f>
        <v>5034</v>
      </c>
      <c r="AB34" s="370">
        <f t="shared" si="25"/>
        <v>4911</v>
      </c>
      <c r="AC34" s="370">
        <f t="shared" si="25"/>
        <v>5156</v>
      </c>
      <c r="AD34" s="492">
        <f t="shared" si="25"/>
        <v>5363</v>
      </c>
      <c r="AE34" s="524"/>
      <c r="AF34" s="524"/>
      <c r="AG34" s="524"/>
      <c r="AH34" s="524"/>
      <c r="AI34" s="524"/>
      <c r="AJ34" s="524"/>
      <c r="AK34" s="524"/>
      <c r="AL34" s="524"/>
      <c r="AM34" s="524"/>
      <c r="AN34" s="524"/>
      <c r="AO34" s="524"/>
      <c r="AP34" s="524"/>
      <c r="AQ34" s="524"/>
      <c r="AR34" s="517"/>
      <c r="AS34" s="517"/>
      <c r="AT34" s="517"/>
      <c r="AU34" s="517"/>
      <c r="AV34" s="517"/>
      <c r="AW34" s="517"/>
      <c r="AX34" s="517"/>
      <c r="AY34" s="517"/>
      <c r="AZ34" s="517"/>
      <c r="BA34" s="517"/>
      <c r="BB34" s="517"/>
      <c r="BC34" s="517"/>
      <c r="BD34" s="517"/>
      <c r="BE34" s="517"/>
      <c r="BF34" s="517"/>
      <c r="BG34" s="517"/>
      <c r="BH34" s="517"/>
      <c r="BI34" s="517"/>
      <c r="BJ34" s="517"/>
      <c r="BK34" s="517"/>
      <c r="BL34" s="517"/>
      <c r="BM34" s="517"/>
      <c r="BN34" s="517"/>
      <c r="BO34" s="517"/>
      <c r="BP34" s="517"/>
      <c r="BQ34" s="517"/>
      <c r="BR34" s="517"/>
      <c r="BS34" s="517"/>
      <c r="BT34" s="517"/>
      <c r="BU34" s="517"/>
    </row>
    <row r="35" spans="1:73" s="507" customFormat="1" ht="22.5" customHeight="1">
      <c r="A35" s="491"/>
      <c r="B35" s="299" t="s">
        <v>1277</v>
      </c>
      <c r="C35" s="369">
        <f>+'45'!C35+'44'!C35+'43'!C35+'42'!C35+'41'!C35</f>
        <v>768</v>
      </c>
      <c r="D35" s="370">
        <f>+'45'!D35+'44'!D35+'43'!D35+'42'!D35+'41'!D35</f>
        <v>732</v>
      </c>
      <c r="E35" s="370">
        <f>+'45'!E35+'44'!E35+'43'!E35+'42'!E35+'41'!E35</f>
        <v>584</v>
      </c>
      <c r="F35" s="370">
        <f>+'45'!F35+'44'!F35+'43'!F35+'42'!F35+'41'!F35</f>
        <v>1027</v>
      </c>
      <c r="G35" s="369">
        <f>+'45'!G35+'44'!G35+'43'!G35+'42'!G35+'41'!G35</f>
        <v>285</v>
      </c>
      <c r="H35" s="370">
        <f>+'45'!H35+'44'!H35+'43'!H35+'42'!H35+'41'!H35</f>
        <v>281</v>
      </c>
      <c r="I35" s="370">
        <f>+'45'!I35+'44'!I35+'43'!I35+'42'!I35+'41'!I35</f>
        <v>350</v>
      </c>
      <c r="J35" s="370">
        <f>+'45'!J35+'44'!J35+'43'!J35+'42'!J35+'41'!J35</f>
        <v>289</v>
      </c>
      <c r="K35" s="369">
        <f>+'45'!K35+'44'!K35+'43'!K35+'42'!K35+'41'!K35</f>
        <v>555</v>
      </c>
      <c r="L35" s="370">
        <f>+'45'!L35+'44'!L35+'43'!L35+'42'!L35+'41'!L35</f>
        <v>563</v>
      </c>
      <c r="M35" s="370">
        <f>+'45'!M35+'44'!M35+'43'!M35+'42'!M35+'41'!M35</f>
        <v>503</v>
      </c>
      <c r="N35" s="370">
        <f>+'45'!N35+'44'!N35+'43'!N35+'42'!N35+'41'!N35</f>
        <v>485</v>
      </c>
      <c r="O35" s="369">
        <f>+'45'!O35+'44'!O35+'43'!O35+'42'!O35+'41'!O35</f>
        <v>232</v>
      </c>
      <c r="P35" s="370">
        <f>+'45'!P35+'44'!P35+'43'!P35+'42'!P35+'41'!P35</f>
        <v>215</v>
      </c>
      <c r="Q35" s="370">
        <f>+'45'!Q35+'44'!Q35+'43'!Q35+'42'!Q35+'41'!Q35</f>
        <v>226</v>
      </c>
      <c r="R35" s="370">
        <f>+'45'!R35+'44'!R35+'43'!R35+'42'!R35+'41'!R35</f>
        <v>205</v>
      </c>
      <c r="S35" s="369">
        <f>+'45'!S35+'44'!S35+'43'!S35+'42'!S35+'41'!S35</f>
        <v>46</v>
      </c>
      <c r="T35" s="370">
        <f>+'45'!T35+'44'!T35+'43'!T35+'42'!T35+'41'!T35</f>
        <v>87</v>
      </c>
      <c r="U35" s="370">
        <f>+'45'!U35+'44'!U35+'43'!U35+'42'!U35+'41'!U35</f>
        <v>45</v>
      </c>
      <c r="V35" s="370">
        <f>+'45'!V35+'44'!V35+'43'!V35+'42'!V35+'41'!V35</f>
        <v>26</v>
      </c>
      <c r="W35" s="369">
        <f>+'45'!W35+'44'!W35+'43'!W35+'42'!W35+'41'!W35</f>
        <v>89</v>
      </c>
      <c r="X35" s="370">
        <f>+'45'!X35+'44'!X35+'43'!X35+'42'!X35+'41'!X35</f>
        <v>127</v>
      </c>
      <c r="Y35" s="370">
        <f>+'45'!Y35+'44'!Y35+'43'!Y35+'42'!Y35+'41'!Y35</f>
        <v>43</v>
      </c>
      <c r="Z35" s="492">
        <f>+'45'!Z35+'44'!Z35+'43'!Z35+'42'!Z35+'41'!Z35</f>
        <v>0</v>
      </c>
      <c r="AA35" s="370">
        <f t="shared" si="25"/>
        <v>1975</v>
      </c>
      <c r="AB35" s="370">
        <f t="shared" si="25"/>
        <v>2005</v>
      </c>
      <c r="AC35" s="370">
        <f t="shared" si="25"/>
        <v>1751</v>
      </c>
      <c r="AD35" s="492">
        <f t="shared" si="25"/>
        <v>2032</v>
      </c>
      <c r="AE35" s="524"/>
      <c r="AF35" s="524"/>
      <c r="AG35" s="524"/>
      <c r="AH35" s="524"/>
      <c r="AI35" s="524"/>
      <c r="AJ35" s="524"/>
      <c r="AK35" s="524"/>
      <c r="AL35" s="524"/>
      <c r="AM35" s="524"/>
      <c r="AN35" s="524"/>
      <c r="AO35" s="524"/>
      <c r="AP35" s="524"/>
      <c r="AQ35" s="524"/>
      <c r="AR35" s="517"/>
      <c r="AS35" s="517"/>
      <c r="AT35" s="517"/>
      <c r="AU35" s="517"/>
      <c r="AV35" s="517"/>
      <c r="AW35" s="517"/>
      <c r="AX35" s="517"/>
      <c r="AY35" s="517"/>
      <c r="AZ35" s="517"/>
      <c r="BA35" s="517"/>
      <c r="BB35" s="517"/>
      <c r="BC35" s="517"/>
      <c r="BD35" s="517"/>
      <c r="BE35" s="517"/>
      <c r="BF35" s="517"/>
      <c r="BG35" s="517"/>
      <c r="BH35" s="517"/>
      <c r="BI35" s="517"/>
      <c r="BJ35" s="517"/>
      <c r="BK35" s="517"/>
      <c r="BL35" s="517"/>
      <c r="BM35" s="517"/>
      <c r="BN35" s="517"/>
      <c r="BO35" s="517"/>
      <c r="BP35" s="517"/>
      <c r="BQ35" s="517"/>
      <c r="BR35" s="517"/>
      <c r="BS35" s="517"/>
      <c r="BT35" s="517"/>
      <c r="BU35" s="517"/>
    </row>
    <row r="36" spans="1:73" s="507" customFormat="1" ht="22.5" customHeight="1">
      <c r="A36" s="491"/>
      <c r="B36" s="491" t="s">
        <v>644</v>
      </c>
      <c r="C36" s="369">
        <f>SUM(C33:C35)</f>
        <v>18586</v>
      </c>
      <c r="D36" s="370">
        <f t="shared" ref="D36:N36" si="26">SUM(D33:D35)</f>
        <v>17028</v>
      </c>
      <c r="E36" s="370">
        <f t="shared" si="26"/>
        <v>20419</v>
      </c>
      <c r="F36" s="370">
        <f t="shared" si="26"/>
        <v>24428</v>
      </c>
      <c r="G36" s="369">
        <f t="shared" si="26"/>
        <v>3308</v>
      </c>
      <c r="H36" s="370">
        <f t="shared" si="26"/>
        <v>4386</v>
      </c>
      <c r="I36" s="370">
        <f t="shared" si="26"/>
        <v>4564</v>
      </c>
      <c r="J36" s="370">
        <f t="shared" ref="J36" si="27">SUM(J33:J35)</f>
        <v>3680</v>
      </c>
      <c r="K36" s="369">
        <f t="shared" si="26"/>
        <v>6796</v>
      </c>
      <c r="L36" s="370">
        <f t="shared" si="26"/>
        <v>6777</v>
      </c>
      <c r="M36" s="370">
        <f t="shared" si="26"/>
        <v>7015</v>
      </c>
      <c r="N36" s="370">
        <f t="shared" si="26"/>
        <v>7178</v>
      </c>
      <c r="O36" s="369">
        <f t="shared" ref="O36:AD36" si="28">SUM(O33:O35)</f>
        <v>3310</v>
      </c>
      <c r="P36" s="370">
        <f t="shared" si="28"/>
        <v>3211</v>
      </c>
      <c r="Q36" s="370">
        <f t="shared" si="28"/>
        <v>3468</v>
      </c>
      <c r="R36" s="370">
        <f t="shared" si="28"/>
        <v>3562</v>
      </c>
      <c r="S36" s="369">
        <f t="shared" si="28"/>
        <v>660</v>
      </c>
      <c r="T36" s="370">
        <f t="shared" si="28"/>
        <v>787</v>
      </c>
      <c r="U36" s="370">
        <f t="shared" si="28"/>
        <v>754</v>
      </c>
      <c r="V36" s="370">
        <f t="shared" si="28"/>
        <v>791</v>
      </c>
      <c r="W36" s="369">
        <f t="shared" si="28"/>
        <v>1189</v>
      </c>
      <c r="X36" s="370">
        <f t="shared" si="28"/>
        <v>1579</v>
      </c>
      <c r="Y36" s="370">
        <f t="shared" si="28"/>
        <v>392</v>
      </c>
      <c r="Z36" s="370">
        <f t="shared" si="28"/>
        <v>132</v>
      </c>
      <c r="AA36" s="369">
        <f t="shared" si="28"/>
        <v>33849</v>
      </c>
      <c r="AB36" s="370">
        <f t="shared" si="28"/>
        <v>33768</v>
      </c>
      <c r="AC36" s="370">
        <f t="shared" si="28"/>
        <v>36612</v>
      </c>
      <c r="AD36" s="492">
        <f t="shared" si="28"/>
        <v>39771</v>
      </c>
      <c r="AE36" s="524"/>
      <c r="AF36" s="524"/>
      <c r="AG36" s="524"/>
      <c r="AH36" s="524"/>
      <c r="AI36" s="524"/>
      <c r="AJ36" s="524"/>
      <c r="AK36" s="524"/>
      <c r="AL36" s="524"/>
      <c r="AM36" s="524"/>
      <c r="AN36" s="524"/>
      <c r="AO36" s="524"/>
      <c r="AP36" s="524"/>
      <c r="AQ36" s="524"/>
      <c r="AR36" s="517"/>
      <c r="AS36" s="517"/>
      <c r="AT36" s="517"/>
      <c r="AU36" s="517"/>
      <c r="AV36" s="517"/>
      <c r="AW36" s="517"/>
      <c r="AX36" s="517"/>
      <c r="AY36" s="517"/>
      <c r="AZ36" s="517"/>
      <c r="BA36" s="517"/>
      <c r="BB36" s="517"/>
      <c r="BC36" s="517"/>
      <c r="BD36" s="517"/>
      <c r="BE36" s="517"/>
      <c r="BF36" s="517"/>
      <c r="BG36" s="517"/>
      <c r="BH36" s="517"/>
      <c r="BI36" s="517"/>
      <c r="BJ36" s="517"/>
      <c r="BK36" s="517"/>
      <c r="BL36" s="517"/>
      <c r="BM36" s="517"/>
      <c r="BN36" s="517"/>
      <c r="BO36" s="517"/>
      <c r="BP36" s="517"/>
      <c r="BQ36" s="517"/>
      <c r="BR36" s="517"/>
      <c r="BS36" s="517"/>
      <c r="BT36" s="517"/>
      <c r="BU36" s="517"/>
    </row>
    <row r="37" spans="1:73" s="507" customFormat="1" ht="22.5" customHeight="1">
      <c r="A37" s="491" t="s">
        <v>547</v>
      </c>
      <c r="B37" s="343" t="s">
        <v>841</v>
      </c>
      <c r="C37" s="369">
        <f>+'45'!C37+'44'!C37+'43'!C37+'42'!C37+'41'!C37</f>
        <v>13284</v>
      </c>
      <c r="D37" s="370">
        <f>+'45'!D37+'44'!D37+'43'!D37+'42'!D37+'41'!D37</f>
        <v>13862</v>
      </c>
      <c r="E37" s="370">
        <f>+'45'!E37+'44'!E37+'43'!E37+'42'!E37+'41'!E37</f>
        <v>16310</v>
      </c>
      <c r="F37" s="370">
        <f>+'45'!F37+'44'!F37+'43'!F37+'42'!F37+'41'!F37</f>
        <v>11951</v>
      </c>
      <c r="G37" s="369">
        <f>+'45'!G37+'44'!G37+'43'!G37+'42'!G37+'41'!G37</f>
        <v>1999</v>
      </c>
      <c r="H37" s="370">
        <f>+'45'!H37+'44'!H37+'43'!H37+'42'!H37+'41'!H37</f>
        <v>1591</v>
      </c>
      <c r="I37" s="370">
        <f>+'45'!I37+'44'!I37+'43'!I37+'42'!I37+'41'!I37</f>
        <v>1323</v>
      </c>
      <c r="J37" s="370">
        <f>+'45'!J37+'44'!J37+'43'!J37+'42'!J37+'41'!J37</f>
        <v>1293</v>
      </c>
      <c r="K37" s="369">
        <f>+'45'!K37+'44'!K37+'43'!K37+'42'!K37+'41'!K37</f>
        <v>3845</v>
      </c>
      <c r="L37" s="370">
        <f>+'45'!L37+'44'!L37+'43'!L37+'42'!L37+'41'!L37</f>
        <v>3623</v>
      </c>
      <c r="M37" s="370">
        <f>+'45'!M37+'44'!M37+'43'!M37+'42'!M37+'41'!M37</f>
        <v>3385</v>
      </c>
      <c r="N37" s="370">
        <f>+'45'!N37+'44'!N37+'43'!N37+'42'!N37+'41'!N37</f>
        <v>3747</v>
      </c>
      <c r="O37" s="369">
        <f>+'45'!O37+'44'!O37+'43'!O37+'42'!O37+'41'!O37</f>
        <v>3746</v>
      </c>
      <c r="P37" s="370">
        <f>+'45'!P37+'44'!P37+'43'!P37+'42'!P37+'41'!P37</f>
        <v>3402</v>
      </c>
      <c r="Q37" s="370">
        <f>+'45'!Q37+'44'!Q37+'43'!Q37+'42'!Q37+'41'!Q37</f>
        <v>3149</v>
      </c>
      <c r="R37" s="370">
        <f>+'45'!R37+'44'!R37+'43'!R37+'42'!R37+'41'!R37</f>
        <v>2673</v>
      </c>
      <c r="S37" s="369">
        <f>+'45'!S37+'44'!S37+'43'!S37+'42'!S37+'41'!S37</f>
        <v>1149</v>
      </c>
      <c r="T37" s="370">
        <f>+'45'!T37+'44'!T37+'43'!T37+'42'!T37+'41'!T37</f>
        <v>661</v>
      </c>
      <c r="U37" s="370">
        <f>+'45'!U37+'44'!U37+'43'!U37+'42'!U37+'41'!U37</f>
        <v>277</v>
      </c>
      <c r="V37" s="370">
        <f>+'45'!V37+'44'!V37+'43'!V37+'42'!V37+'41'!V37</f>
        <v>422</v>
      </c>
      <c r="W37" s="369">
        <f>+'45'!W37+'44'!W37+'43'!W37+'42'!W37+'41'!W37</f>
        <v>365</v>
      </c>
      <c r="X37" s="370">
        <f>+'45'!X37+'44'!X37+'43'!X37+'42'!X37+'41'!X37</f>
        <v>502</v>
      </c>
      <c r="Y37" s="370">
        <f>+'45'!Y37+'44'!Y37+'43'!Y37+'42'!Y37+'41'!Y37</f>
        <v>5</v>
      </c>
      <c r="Z37" s="492">
        <f>+'45'!Z37+'44'!Z37+'43'!Z37+'42'!Z37+'41'!Z37</f>
        <v>4</v>
      </c>
      <c r="AA37" s="370">
        <f t="shared" si="24"/>
        <v>24388</v>
      </c>
      <c r="AB37" s="370">
        <f t="shared" si="24"/>
        <v>23641</v>
      </c>
      <c r="AC37" s="370">
        <f t="shared" si="24"/>
        <v>24449</v>
      </c>
      <c r="AD37" s="492">
        <f t="shared" si="24"/>
        <v>20090</v>
      </c>
      <c r="AE37" s="524"/>
      <c r="AF37" s="524"/>
      <c r="AG37" s="524"/>
      <c r="AH37" s="524"/>
      <c r="AI37" s="524"/>
      <c r="AJ37" s="524"/>
      <c r="AK37" s="524"/>
      <c r="AL37" s="524"/>
      <c r="AM37" s="524"/>
      <c r="AN37" s="524"/>
      <c r="AO37" s="524"/>
      <c r="AP37" s="524"/>
      <c r="AQ37" s="524"/>
      <c r="AR37" s="517"/>
      <c r="AS37" s="517"/>
      <c r="AT37" s="517"/>
      <c r="AU37" s="517"/>
      <c r="AV37" s="517"/>
      <c r="AW37" s="517"/>
      <c r="AX37" s="517"/>
      <c r="AY37" s="517"/>
      <c r="AZ37" s="517"/>
      <c r="BA37" s="517"/>
      <c r="BB37" s="517"/>
      <c r="BC37" s="517"/>
      <c r="BD37" s="517"/>
      <c r="BE37" s="517"/>
      <c r="BF37" s="517"/>
      <c r="BG37" s="517"/>
      <c r="BH37" s="517"/>
      <c r="BI37" s="517"/>
      <c r="BJ37" s="517"/>
      <c r="BK37" s="517"/>
      <c r="BL37" s="517"/>
      <c r="BM37" s="517"/>
      <c r="BN37" s="517"/>
      <c r="BO37" s="517"/>
      <c r="BP37" s="517"/>
      <c r="BQ37" s="517"/>
      <c r="BR37" s="517"/>
      <c r="BS37" s="517"/>
      <c r="BT37" s="517"/>
      <c r="BU37" s="517"/>
    </row>
    <row r="38" spans="1:73" s="507" customFormat="1" ht="22.5" customHeight="1">
      <c r="A38" s="491" t="s">
        <v>967</v>
      </c>
      <c r="B38" s="343" t="s">
        <v>842</v>
      </c>
      <c r="C38" s="369">
        <f>+'45'!C38+'44'!C38+'43'!C38+'42'!C38+'41'!C38</f>
        <v>31812</v>
      </c>
      <c r="D38" s="370">
        <f>+'45'!D38+'44'!D38+'43'!D38+'42'!D38+'41'!D38</f>
        <v>30582</v>
      </c>
      <c r="E38" s="370">
        <f>+'45'!E38+'44'!E38+'43'!E38+'42'!E38+'41'!E38</f>
        <v>30294</v>
      </c>
      <c r="F38" s="370">
        <f>+'45'!F38+'44'!F38+'43'!F38+'42'!F38+'41'!F38</f>
        <v>30425</v>
      </c>
      <c r="G38" s="369">
        <f>+'45'!G38+'44'!G38+'43'!G38+'42'!G38+'41'!G38</f>
        <v>5234</v>
      </c>
      <c r="H38" s="370">
        <f>+'45'!H38+'44'!H38+'43'!H38+'42'!H38+'41'!H38</f>
        <v>4860</v>
      </c>
      <c r="I38" s="370">
        <f>+'45'!I38+'44'!I38+'43'!I38+'42'!I38+'41'!I38</f>
        <v>4806</v>
      </c>
      <c r="J38" s="370">
        <f>+'45'!J38+'44'!J38+'43'!J38+'42'!J38+'41'!J38</f>
        <v>5193</v>
      </c>
      <c r="K38" s="369">
        <f>+'45'!K38+'44'!K38+'43'!K38+'42'!K38+'41'!K38</f>
        <v>11531</v>
      </c>
      <c r="L38" s="370">
        <f>+'45'!L38+'44'!L38+'43'!L38+'42'!L38+'41'!L38</f>
        <v>11588</v>
      </c>
      <c r="M38" s="370">
        <f>+'45'!M38+'44'!M38+'43'!M38+'42'!M38+'41'!M38</f>
        <v>11261</v>
      </c>
      <c r="N38" s="370">
        <f>+'45'!N38+'44'!N38+'43'!N38+'42'!N38+'41'!N38</f>
        <v>10754</v>
      </c>
      <c r="O38" s="369">
        <f>+'45'!O38+'44'!O38+'43'!O38+'42'!O38+'41'!O38</f>
        <v>6560</v>
      </c>
      <c r="P38" s="370">
        <f>+'45'!P38+'44'!P38+'43'!P38+'42'!P38+'41'!P38</f>
        <v>5978</v>
      </c>
      <c r="Q38" s="370">
        <f>+'45'!Q38+'44'!Q38+'43'!Q38+'42'!Q38+'41'!Q38</f>
        <v>6325</v>
      </c>
      <c r="R38" s="370">
        <f>+'45'!R38+'44'!R38+'43'!R38+'42'!R38+'41'!R38</f>
        <v>5099</v>
      </c>
      <c r="S38" s="369">
        <f>+'45'!S38+'44'!S38+'43'!S38+'42'!S38+'41'!S38</f>
        <v>1400</v>
      </c>
      <c r="T38" s="370">
        <f>+'45'!T38+'44'!T38+'43'!T38+'42'!T38+'41'!T38</f>
        <v>1037</v>
      </c>
      <c r="U38" s="370">
        <f>+'45'!U38+'44'!U38+'43'!U38+'42'!U38+'41'!U38</f>
        <v>884</v>
      </c>
      <c r="V38" s="370">
        <f>+'45'!V38+'44'!V38+'43'!V38+'42'!V38+'41'!V38</f>
        <v>809</v>
      </c>
      <c r="W38" s="369">
        <f>+'45'!W38+'44'!W38+'43'!W38+'42'!W38+'41'!W38</f>
        <v>1791</v>
      </c>
      <c r="X38" s="370">
        <f>+'45'!X38+'44'!X38+'43'!X38+'42'!X38+'41'!X38</f>
        <v>1710</v>
      </c>
      <c r="Y38" s="370">
        <f>+'45'!Y38+'44'!Y38+'43'!Y38+'42'!Y38+'41'!Y38</f>
        <v>1179</v>
      </c>
      <c r="Z38" s="492">
        <f>+'45'!Z38+'44'!Z38+'43'!Z38+'42'!Z38+'41'!Z38</f>
        <v>101</v>
      </c>
      <c r="AA38" s="370">
        <f t="shared" si="24"/>
        <v>58328</v>
      </c>
      <c r="AB38" s="370">
        <f t="shared" si="24"/>
        <v>55755</v>
      </c>
      <c r="AC38" s="370">
        <f t="shared" si="24"/>
        <v>54749</v>
      </c>
      <c r="AD38" s="492">
        <f t="shared" si="24"/>
        <v>52381</v>
      </c>
      <c r="AE38" s="524"/>
      <c r="AF38" s="524"/>
      <c r="AG38" s="524"/>
      <c r="AH38" s="524"/>
      <c r="AI38" s="524"/>
      <c r="AJ38" s="524"/>
      <c r="AK38" s="524"/>
      <c r="AL38" s="524"/>
      <c r="AM38" s="524"/>
      <c r="AN38" s="524"/>
      <c r="AO38" s="524"/>
      <c r="AP38" s="524"/>
      <c r="AQ38" s="524"/>
      <c r="AR38" s="517"/>
      <c r="AS38" s="517"/>
      <c r="AT38" s="517"/>
      <c r="AU38" s="517"/>
      <c r="AV38" s="517"/>
      <c r="AW38" s="517"/>
      <c r="AX38" s="517"/>
      <c r="AY38" s="517"/>
      <c r="AZ38" s="517"/>
      <c r="BA38" s="517"/>
      <c r="BB38" s="517"/>
      <c r="BC38" s="517"/>
      <c r="BD38" s="517"/>
      <c r="BE38" s="517"/>
      <c r="BF38" s="517"/>
      <c r="BG38" s="517"/>
      <c r="BH38" s="517"/>
      <c r="BI38" s="517"/>
      <c r="BJ38" s="517"/>
      <c r="BK38" s="517"/>
      <c r="BL38" s="517"/>
      <c r="BM38" s="517"/>
      <c r="BN38" s="517"/>
      <c r="BO38" s="517"/>
      <c r="BP38" s="517"/>
      <c r="BQ38" s="517"/>
      <c r="BR38" s="517"/>
      <c r="BS38" s="517"/>
      <c r="BT38" s="517"/>
      <c r="BU38" s="517"/>
    </row>
    <row r="39" spans="1:73" s="507" customFormat="1" ht="22.5" customHeight="1">
      <c r="A39" s="491"/>
      <c r="B39" s="251" t="s">
        <v>1001</v>
      </c>
      <c r="C39" s="369">
        <f>+'45'!C39+'44'!C39+'43'!C39+'42'!C39+'41'!C39</f>
        <v>0</v>
      </c>
      <c r="D39" s="370">
        <f>+'45'!D39+'44'!D39+'43'!D39+'42'!D39+'41'!D39</f>
        <v>0</v>
      </c>
      <c r="E39" s="370">
        <f>+'45'!E39+'44'!E39+'43'!E39+'42'!E39+'41'!E39</f>
        <v>396</v>
      </c>
      <c r="F39" s="370">
        <f>+'45'!F39+'44'!F39+'43'!F39+'42'!F39+'41'!F39</f>
        <v>395</v>
      </c>
      <c r="G39" s="369">
        <f>+'45'!G39+'44'!G39+'43'!G39+'42'!G39+'41'!G39</f>
        <v>0</v>
      </c>
      <c r="H39" s="370">
        <f>+'45'!H39+'44'!H39+'43'!H39+'42'!H39+'41'!H39</f>
        <v>0</v>
      </c>
      <c r="I39" s="370">
        <f>+'45'!I39+'44'!I39+'43'!I39+'42'!I39+'41'!I39</f>
        <v>3</v>
      </c>
      <c r="J39" s="370">
        <f>+'45'!J39+'44'!J39+'43'!J39+'42'!J39+'41'!J39</f>
        <v>187</v>
      </c>
      <c r="K39" s="369">
        <f>+'45'!K39+'44'!K39+'43'!K39+'42'!K39+'41'!K39</f>
        <v>0</v>
      </c>
      <c r="L39" s="370">
        <f>+'45'!L39+'44'!L39+'43'!L39+'42'!L39+'41'!L39</f>
        <v>0</v>
      </c>
      <c r="M39" s="370">
        <f>+'45'!M39+'44'!M39+'43'!M39+'42'!M39+'41'!M39</f>
        <v>0</v>
      </c>
      <c r="N39" s="370">
        <f>+'45'!N39+'44'!N39+'43'!N39+'42'!N39+'41'!N39</f>
        <v>0</v>
      </c>
      <c r="O39" s="369">
        <f>+'45'!O39+'44'!O39+'43'!O39+'42'!O39+'41'!O39</f>
        <v>0</v>
      </c>
      <c r="P39" s="370">
        <f>+'45'!P39+'44'!P39+'43'!P39+'42'!P39+'41'!P39</f>
        <v>0</v>
      </c>
      <c r="Q39" s="370">
        <f>+'45'!Q39+'44'!Q39+'43'!Q39+'42'!Q39+'41'!Q39</f>
        <v>279</v>
      </c>
      <c r="R39" s="370">
        <f>+'45'!R39+'44'!R39+'43'!R39+'42'!R39+'41'!R39</f>
        <v>285</v>
      </c>
      <c r="S39" s="369">
        <f>+'45'!S39+'44'!S39+'43'!S39+'42'!S39+'41'!S39</f>
        <v>0</v>
      </c>
      <c r="T39" s="370">
        <f>+'45'!T39+'44'!T39+'43'!T39+'42'!T39+'41'!T39</f>
        <v>0</v>
      </c>
      <c r="U39" s="370">
        <f>+'45'!U39+'44'!U39+'43'!U39+'42'!U39+'41'!U39</f>
        <v>171</v>
      </c>
      <c r="V39" s="370">
        <f>+'45'!V39+'44'!V39+'43'!V39+'42'!V39+'41'!V39</f>
        <v>833</v>
      </c>
      <c r="W39" s="369">
        <f>+'45'!W39+'44'!W39+'43'!W39+'42'!W39+'41'!W39</f>
        <v>0</v>
      </c>
      <c r="X39" s="370">
        <f>+'45'!X39+'44'!X39+'43'!X39+'42'!X39+'41'!X39</f>
        <v>0</v>
      </c>
      <c r="Y39" s="370">
        <f>+'45'!Y39+'44'!Y39+'43'!Y39+'42'!Y39+'41'!Y39</f>
        <v>0</v>
      </c>
      <c r="Z39" s="492">
        <f>+'45'!Z39+'44'!Z39+'43'!Z39+'42'!Z39+'41'!Z39</f>
        <v>0</v>
      </c>
      <c r="AA39" s="370">
        <f t="shared" ref="AA39" si="29">+W39+S39+O39+K39+G39+C39</f>
        <v>0</v>
      </c>
      <c r="AB39" s="370">
        <f t="shared" ref="AB39" si="30">+X39+T39+P39+L39+H39+D39</f>
        <v>0</v>
      </c>
      <c r="AC39" s="370">
        <f t="shared" si="24"/>
        <v>849</v>
      </c>
      <c r="AD39" s="492">
        <f t="shared" si="24"/>
        <v>1700</v>
      </c>
      <c r="AE39" s="524"/>
      <c r="AF39" s="524"/>
      <c r="AG39" s="524"/>
      <c r="AH39" s="524"/>
      <c r="AI39" s="524"/>
      <c r="AJ39" s="524"/>
      <c r="AK39" s="524"/>
      <c r="AL39" s="524"/>
      <c r="AM39" s="524"/>
      <c r="AN39" s="524"/>
      <c r="AO39" s="524"/>
      <c r="AP39" s="524"/>
      <c r="AQ39" s="524"/>
      <c r="AR39" s="517"/>
      <c r="AS39" s="517"/>
      <c r="AT39" s="517"/>
      <c r="AU39" s="517"/>
      <c r="AV39" s="517"/>
      <c r="AW39" s="517"/>
      <c r="AX39" s="517"/>
      <c r="AY39" s="517"/>
      <c r="AZ39" s="517"/>
      <c r="BA39" s="517"/>
      <c r="BB39" s="517"/>
      <c r="BC39" s="517"/>
      <c r="BD39" s="517"/>
      <c r="BE39" s="517"/>
      <c r="BF39" s="517"/>
      <c r="BG39" s="517"/>
      <c r="BH39" s="517"/>
      <c r="BI39" s="517"/>
      <c r="BJ39" s="517"/>
      <c r="BK39" s="517"/>
      <c r="BL39" s="517"/>
      <c r="BM39" s="517"/>
      <c r="BN39" s="517"/>
      <c r="BO39" s="517"/>
      <c r="BP39" s="517"/>
      <c r="BQ39" s="517"/>
      <c r="BR39" s="517"/>
      <c r="BS39" s="517"/>
      <c r="BT39" s="517"/>
      <c r="BU39" s="517"/>
    </row>
    <row r="40" spans="1:73" s="507" customFormat="1" ht="22.5" customHeight="1">
      <c r="A40" s="491" t="s">
        <v>549</v>
      </c>
      <c r="B40" s="343" t="s">
        <v>843</v>
      </c>
      <c r="C40" s="369">
        <f>+'45'!C40+'44'!C40+'43'!C40+'42'!C40+'41'!C40</f>
        <v>21783</v>
      </c>
      <c r="D40" s="370">
        <f>+'45'!D40+'44'!D40+'43'!D40+'42'!D40+'41'!D40</f>
        <v>17545</v>
      </c>
      <c r="E40" s="370">
        <f>+'45'!E40+'44'!E40+'43'!E40+'42'!E40+'41'!E40</f>
        <v>17372</v>
      </c>
      <c r="F40" s="370">
        <f>+'45'!F40+'44'!F40+'43'!F40+'42'!F40+'41'!F40</f>
        <v>19139</v>
      </c>
      <c r="G40" s="369">
        <f>+'45'!G40+'44'!G40+'43'!G40+'42'!G40+'41'!G40</f>
        <v>3872</v>
      </c>
      <c r="H40" s="370">
        <f>+'45'!H40+'44'!H40+'43'!H40+'42'!H40+'41'!H40</f>
        <v>3463</v>
      </c>
      <c r="I40" s="370">
        <f>+'45'!I40+'44'!I40+'43'!I40+'42'!I40+'41'!I40</f>
        <v>3641</v>
      </c>
      <c r="J40" s="370">
        <f>+'45'!J40+'44'!J40+'43'!J40+'42'!J40+'41'!J40</f>
        <v>2836</v>
      </c>
      <c r="K40" s="369">
        <f>+'45'!K40+'44'!K40+'43'!K40+'42'!K40+'41'!K40</f>
        <v>4737</v>
      </c>
      <c r="L40" s="370">
        <f>+'45'!L40+'44'!L40+'43'!L40+'42'!L40+'41'!L40</f>
        <v>4401</v>
      </c>
      <c r="M40" s="370">
        <f>+'45'!M40+'44'!M40+'43'!M40+'42'!M40+'41'!M40</f>
        <v>5227</v>
      </c>
      <c r="N40" s="370">
        <f>+'45'!N40+'44'!N40+'43'!N40+'42'!N40+'41'!N40</f>
        <v>5797</v>
      </c>
      <c r="O40" s="369">
        <f>+'45'!O40+'44'!O40+'43'!O40+'42'!O40+'41'!O40</f>
        <v>2615</v>
      </c>
      <c r="P40" s="370">
        <f>+'45'!P40+'44'!P40+'43'!P40+'42'!P40+'41'!P40</f>
        <v>2531</v>
      </c>
      <c r="Q40" s="370">
        <f>+'45'!Q40+'44'!Q40+'43'!Q40+'42'!Q40+'41'!Q40</f>
        <v>2630</v>
      </c>
      <c r="R40" s="370">
        <f>+'45'!R40+'44'!R40+'43'!R40+'42'!R40+'41'!R40</f>
        <v>2632</v>
      </c>
      <c r="S40" s="369">
        <f>+'45'!S40+'44'!S40+'43'!S40+'42'!S40+'41'!S40</f>
        <v>624</v>
      </c>
      <c r="T40" s="370">
        <f>+'45'!T40+'44'!T40+'43'!T40+'42'!T40+'41'!T40</f>
        <v>783</v>
      </c>
      <c r="U40" s="370">
        <f>+'45'!U40+'44'!U40+'43'!U40+'42'!U40+'41'!U40</f>
        <v>645</v>
      </c>
      <c r="V40" s="370">
        <f>+'45'!V40+'44'!V40+'43'!V40+'42'!V40+'41'!V40</f>
        <v>834</v>
      </c>
      <c r="W40" s="369">
        <f>+'45'!W40+'44'!W40+'43'!W40+'42'!W40+'41'!W40</f>
        <v>597</v>
      </c>
      <c r="X40" s="370">
        <f>+'45'!X40+'44'!X40+'43'!X40+'42'!X40+'41'!X40</f>
        <v>628</v>
      </c>
      <c r="Y40" s="370">
        <f>+'45'!Y40+'44'!Y40+'43'!Y40+'42'!Y40+'41'!Y40</f>
        <v>107</v>
      </c>
      <c r="Z40" s="370">
        <f>+'45'!Z40+'44'!Z40+'43'!Z40+'42'!Z40+'41'!Z40</f>
        <v>164</v>
      </c>
      <c r="AA40" s="369">
        <f>+'45'!AA40+'44'!AA40+'43'!AA40+'42'!AA40+'41'!AA40</f>
        <v>34228</v>
      </c>
      <c r="AB40" s="370">
        <f>+'45'!AB40+'44'!AB40+'43'!AB40+'42'!AB40+'41'!AB40</f>
        <v>29351</v>
      </c>
      <c r="AC40" s="370">
        <f>+'45'!AC40+'44'!AC40+'43'!AC40+'42'!AC40+'41'!AC40</f>
        <v>29622</v>
      </c>
      <c r="AD40" s="492">
        <f>+'45'!AD40+'44'!AD40+'43'!AD40+'42'!AD40+'41'!AD40</f>
        <v>31402</v>
      </c>
      <c r="AE40" s="524"/>
      <c r="AF40" s="524"/>
      <c r="AG40" s="524"/>
      <c r="AH40" s="524"/>
      <c r="AI40" s="524"/>
      <c r="AJ40" s="524"/>
      <c r="AK40" s="524"/>
      <c r="AL40" s="524"/>
      <c r="AM40" s="524"/>
      <c r="AN40" s="524"/>
      <c r="AO40" s="524"/>
      <c r="AP40" s="524"/>
      <c r="AQ40" s="524"/>
      <c r="AR40" s="517"/>
      <c r="AS40" s="517"/>
      <c r="AT40" s="517"/>
      <c r="AU40" s="517"/>
      <c r="AV40" s="517"/>
      <c r="AW40" s="517"/>
      <c r="AX40" s="517"/>
      <c r="AY40" s="517"/>
      <c r="AZ40" s="517"/>
      <c r="BA40" s="517"/>
      <c r="BB40" s="517"/>
      <c r="BC40" s="517"/>
      <c r="BD40" s="517"/>
      <c r="BE40" s="517"/>
      <c r="BF40" s="517"/>
      <c r="BG40" s="517"/>
      <c r="BH40" s="517"/>
      <c r="BI40" s="517"/>
      <c r="BJ40" s="517"/>
      <c r="BK40" s="517"/>
      <c r="BL40" s="517"/>
      <c r="BM40" s="517"/>
      <c r="BN40" s="517"/>
      <c r="BO40" s="517"/>
      <c r="BP40" s="517"/>
      <c r="BQ40" s="517"/>
      <c r="BR40" s="517"/>
      <c r="BS40" s="517"/>
      <c r="BT40" s="517"/>
      <c r="BU40" s="517"/>
    </row>
    <row r="41" spans="1:73" s="507" customFormat="1" ht="22.5" customHeight="1">
      <c r="A41" s="1119"/>
      <c r="B41" s="251" t="s">
        <v>1270</v>
      </c>
      <c r="C41" s="369">
        <f>+'45'!C41+'44'!C41+'43'!C41+'42'!C41+'41'!C41</f>
        <v>2733</v>
      </c>
      <c r="D41" s="370">
        <f>+'45'!D41+'44'!D41+'43'!D41+'42'!D41+'41'!D41</f>
        <v>3321</v>
      </c>
      <c r="E41" s="370">
        <f>+'45'!E41+'44'!E41+'43'!E41+'42'!E41+'41'!E41</f>
        <v>1350</v>
      </c>
      <c r="F41" s="370">
        <f>+'45'!F41+'44'!F41+'43'!F41+'42'!F41+'41'!F41</f>
        <v>1770</v>
      </c>
      <c r="G41" s="369">
        <f>+'45'!G41+'44'!G41+'43'!G41+'42'!G41+'41'!G41</f>
        <v>482</v>
      </c>
      <c r="H41" s="370">
        <f>+'45'!H41+'44'!H41+'43'!H41+'42'!H41+'41'!H41</f>
        <v>496</v>
      </c>
      <c r="I41" s="370">
        <f>+'45'!I41+'44'!I41+'43'!I41+'42'!I41+'41'!I41</f>
        <v>586</v>
      </c>
      <c r="J41" s="370">
        <f>+'45'!J41+'44'!J41+'43'!J41+'42'!J41+'41'!J41</f>
        <v>438</v>
      </c>
      <c r="K41" s="369">
        <f>+'45'!K41+'44'!K41+'43'!K41+'42'!K41+'41'!K41</f>
        <v>877</v>
      </c>
      <c r="L41" s="370">
        <f>+'45'!L41+'44'!L41+'43'!L41+'42'!L41+'41'!L41</f>
        <v>735</v>
      </c>
      <c r="M41" s="370">
        <f>+'45'!M41+'44'!M41+'43'!M41+'42'!M41+'41'!M41</f>
        <v>617</v>
      </c>
      <c r="N41" s="370">
        <f>+'45'!N41+'44'!N41+'43'!N41+'42'!N41+'41'!N41</f>
        <v>735</v>
      </c>
      <c r="O41" s="369">
        <f>+'45'!O41+'44'!O41+'43'!O41+'42'!O41+'41'!O41</f>
        <v>268</v>
      </c>
      <c r="P41" s="370">
        <f>+'45'!P41+'44'!P41+'43'!P41+'42'!P41+'41'!P41</f>
        <v>237</v>
      </c>
      <c r="Q41" s="370">
        <f>+'45'!Q41+'44'!Q41+'43'!Q41+'42'!Q41+'41'!Q41</f>
        <v>344</v>
      </c>
      <c r="R41" s="370">
        <f>+'45'!R41+'44'!R41+'43'!R41+'42'!R41+'41'!R41</f>
        <v>321</v>
      </c>
      <c r="S41" s="369">
        <f>+'45'!S41+'44'!S41+'43'!S41+'42'!S41+'41'!S41</f>
        <v>0</v>
      </c>
      <c r="T41" s="370">
        <f>+'45'!T41+'44'!T41+'43'!T41+'42'!T41+'41'!T41</f>
        <v>0</v>
      </c>
      <c r="U41" s="370">
        <f>+'45'!U41+'44'!U41+'43'!U41+'42'!U41+'41'!U41</f>
        <v>0</v>
      </c>
      <c r="V41" s="370">
        <f>+'45'!V41+'44'!V41+'43'!V41+'42'!V41+'41'!V41</f>
        <v>0</v>
      </c>
      <c r="W41" s="369">
        <f>+'45'!W41+'44'!W41+'43'!W41+'42'!W41+'41'!W41</f>
        <v>110</v>
      </c>
      <c r="X41" s="370">
        <f>+'45'!X41+'44'!X41+'43'!X41+'42'!X41+'41'!X41</f>
        <v>192</v>
      </c>
      <c r="Y41" s="370">
        <f>+'45'!Y41+'44'!Y41+'43'!Y41+'42'!Y41+'41'!Y41</f>
        <v>67</v>
      </c>
      <c r="Z41" s="370">
        <f>+'45'!Z41+'44'!Z41+'43'!Z41+'42'!Z41+'41'!Z41</f>
        <v>65</v>
      </c>
      <c r="AA41" s="369">
        <f>+'45'!AA41+'44'!AA41+'43'!AA41+'42'!AA41+'41'!AA41</f>
        <v>4470</v>
      </c>
      <c r="AB41" s="370">
        <f>+'45'!AB41+'44'!AB41+'43'!AB41+'42'!AB41+'41'!AB41</f>
        <v>4981</v>
      </c>
      <c r="AC41" s="370">
        <f>+'45'!AC41+'44'!AC41+'43'!AC41+'42'!AC41+'41'!AC41</f>
        <v>2964</v>
      </c>
      <c r="AD41" s="492">
        <f>+'45'!AD41+'44'!AD41+'43'!AD41+'42'!AD41+'41'!AD41</f>
        <v>3329</v>
      </c>
      <c r="AE41" s="524"/>
      <c r="AF41" s="524"/>
      <c r="AG41" s="524"/>
      <c r="AH41" s="524"/>
      <c r="AI41" s="524"/>
      <c r="AJ41" s="524"/>
      <c r="AK41" s="524"/>
      <c r="AL41" s="524"/>
      <c r="AM41" s="524"/>
      <c r="AN41" s="524"/>
      <c r="AO41" s="524"/>
      <c r="AP41" s="524"/>
      <c r="AQ41" s="524"/>
      <c r="AR41" s="517"/>
      <c r="AS41" s="517"/>
      <c r="AT41" s="517"/>
      <c r="AU41" s="517"/>
      <c r="AV41" s="517"/>
      <c r="AW41" s="517"/>
      <c r="AX41" s="517"/>
      <c r="AY41" s="517"/>
      <c r="AZ41" s="517"/>
      <c r="BA41" s="517"/>
      <c r="BB41" s="517"/>
      <c r="BC41" s="517"/>
      <c r="BD41" s="517"/>
      <c r="BE41" s="517"/>
      <c r="BF41" s="517"/>
      <c r="BG41" s="517"/>
      <c r="BH41" s="517"/>
      <c r="BI41" s="517"/>
      <c r="BJ41" s="517"/>
      <c r="BK41" s="517"/>
      <c r="BL41" s="517"/>
      <c r="BM41" s="517"/>
      <c r="BN41" s="517"/>
      <c r="BO41" s="517"/>
      <c r="BP41" s="517"/>
      <c r="BQ41" s="517"/>
      <c r="BR41" s="517"/>
      <c r="BS41" s="517"/>
      <c r="BT41" s="517"/>
      <c r="BU41" s="517"/>
    </row>
    <row r="42" spans="1:73" s="507" customFormat="1" ht="22.5" customHeight="1">
      <c r="A42" s="491"/>
      <c r="B42" s="491" t="s">
        <v>644</v>
      </c>
      <c r="C42" s="369">
        <f t="shared" ref="C42:AD42" si="31">SUM(C40:C41)</f>
        <v>24516</v>
      </c>
      <c r="D42" s="370">
        <f t="shared" si="31"/>
        <v>20866</v>
      </c>
      <c r="E42" s="370">
        <f t="shared" si="31"/>
        <v>18722</v>
      </c>
      <c r="F42" s="370">
        <f t="shared" si="31"/>
        <v>20909</v>
      </c>
      <c r="G42" s="369">
        <f t="shared" si="31"/>
        <v>4354</v>
      </c>
      <c r="H42" s="370">
        <f t="shared" si="31"/>
        <v>3959</v>
      </c>
      <c r="I42" s="370">
        <f t="shared" si="31"/>
        <v>4227</v>
      </c>
      <c r="J42" s="370">
        <f t="shared" ref="J42" si="32">SUM(J40:J41)</f>
        <v>3274</v>
      </c>
      <c r="K42" s="369">
        <f t="shared" si="31"/>
        <v>5614</v>
      </c>
      <c r="L42" s="370">
        <f t="shared" si="31"/>
        <v>5136</v>
      </c>
      <c r="M42" s="370">
        <f t="shared" si="31"/>
        <v>5844</v>
      </c>
      <c r="N42" s="370">
        <f t="shared" si="31"/>
        <v>6532</v>
      </c>
      <c r="O42" s="369">
        <f t="shared" si="31"/>
        <v>2883</v>
      </c>
      <c r="P42" s="370">
        <f t="shared" si="31"/>
        <v>2768</v>
      </c>
      <c r="Q42" s="370">
        <f t="shared" si="31"/>
        <v>2974</v>
      </c>
      <c r="R42" s="370">
        <f t="shared" si="31"/>
        <v>2953</v>
      </c>
      <c r="S42" s="369">
        <f t="shared" si="31"/>
        <v>624</v>
      </c>
      <c r="T42" s="370">
        <f t="shared" si="31"/>
        <v>783</v>
      </c>
      <c r="U42" s="370">
        <f t="shared" si="31"/>
        <v>645</v>
      </c>
      <c r="V42" s="370">
        <f t="shared" si="31"/>
        <v>834</v>
      </c>
      <c r="W42" s="369">
        <f t="shared" si="31"/>
        <v>707</v>
      </c>
      <c r="X42" s="370">
        <f t="shared" si="31"/>
        <v>820</v>
      </c>
      <c r="Y42" s="370">
        <f t="shared" si="31"/>
        <v>174</v>
      </c>
      <c r="Z42" s="370">
        <f t="shared" si="31"/>
        <v>229</v>
      </c>
      <c r="AA42" s="369">
        <f t="shared" si="31"/>
        <v>38698</v>
      </c>
      <c r="AB42" s="370">
        <f t="shared" si="31"/>
        <v>34332</v>
      </c>
      <c r="AC42" s="370">
        <f t="shared" si="31"/>
        <v>32586</v>
      </c>
      <c r="AD42" s="492">
        <f t="shared" si="31"/>
        <v>34731</v>
      </c>
      <c r="AE42" s="524"/>
      <c r="AF42" s="524"/>
      <c r="AG42" s="524"/>
      <c r="AH42" s="524"/>
      <c r="AI42" s="524"/>
      <c r="AJ42" s="524"/>
      <c r="AK42" s="524"/>
      <c r="AL42" s="524"/>
      <c r="AM42" s="524"/>
      <c r="AN42" s="524"/>
      <c r="AO42" s="524"/>
      <c r="AP42" s="524"/>
      <c r="AQ42" s="524"/>
      <c r="AR42" s="517"/>
      <c r="AS42" s="517"/>
      <c r="AT42" s="517"/>
      <c r="AU42" s="517"/>
      <c r="AV42" s="517"/>
      <c r="AW42" s="517"/>
      <c r="AX42" s="517"/>
      <c r="AY42" s="517"/>
      <c r="AZ42" s="517"/>
      <c r="BA42" s="517"/>
      <c r="BB42" s="517"/>
      <c r="BC42" s="517"/>
      <c r="BD42" s="517"/>
      <c r="BE42" s="517"/>
      <c r="BF42" s="517"/>
      <c r="BG42" s="517"/>
      <c r="BH42" s="517"/>
      <c r="BI42" s="517"/>
      <c r="BJ42" s="517"/>
      <c r="BK42" s="517"/>
      <c r="BL42" s="517"/>
      <c r="BM42" s="517"/>
      <c r="BN42" s="517"/>
      <c r="BO42" s="517"/>
      <c r="BP42" s="517"/>
      <c r="BQ42" s="517"/>
      <c r="BR42" s="517"/>
      <c r="BS42" s="517"/>
      <c r="BT42" s="517"/>
      <c r="BU42" s="517"/>
    </row>
    <row r="43" spans="1:73" s="6" customFormat="1" ht="22.5" customHeight="1">
      <c r="A43" s="501" t="s">
        <v>968</v>
      </c>
      <c r="B43" s="497"/>
      <c r="C43" s="498">
        <f t="shared" ref="C43:AD43" si="33">SUM(C36:C41)+C27+C32</f>
        <v>200114</v>
      </c>
      <c r="D43" s="499">
        <f t="shared" si="33"/>
        <v>189142</v>
      </c>
      <c r="E43" s="499">
        <f t="shared" si="33"/>
        <v>197932</v>
      </c>
      <c r="F43" s="499">
        <f t="shared" si="33"/>
        <v>191781</v>
      </c>
      <c r="G43" s="498">
        <f t="shared" si="33"/>
        <v>33225</v>
      </c>
      <c r="H43" s="499">
        <f t="shared" si="33"/>
        <v>35629</v>
      </c>
      <c r="I43" s="499">
        <f t="shared" si="33"/>
        <v>35386</v>
      </c>
      <c r="J43" s="499">
        <f t="shared" si="33"/>
        <v>33365</v>
      </c>
      <c r="K43" s="498">
        <f t="shared" si="33"/>
        <v>66885</v>
      </c>
      <c r="L43" s="499">
        <f t="shared" si="33"/>
        <v>66379</v>
      </c>
      <c r="M43" s="499">
        <f t="shared" si="33"/>
        <v>57950</v>
      </c>
      <c r="N43" s="499">
        <f t="shared" si="33"/>
        <v>60150</v>
      </c>
      <c r="O43" s="498">
        <f t="shared" si="33"/>
        <v>35562</v>
      </c>
      <c r="P43" s="499">
        <f t="shared" si="33"/>
        <v>35749</v>
      </c>
      <c r="Q43" s="499">
        <f t="shared" si="33"/>
        <v>39383</v>
      </c>
      <c r="R43" s="499">
        <f t="shared" si="33"/>
        <v>34807</v>
      </c>
      <c r="S43" s="498">
        <f t="shared" si="33"/>
        <v>9956</v>
      </c>
      <c r="T43" s="499">
        <f t="shared" si="33"/>
        <v>9198</v>
      </c>
      <c r="U43" s="499">
        <f t="shared" si="33"/>
        <v>9944</v>
      </c>
      <c r="V43" s="499">
        <f t="shared" si="33"/>
        <v>12304</v>
      </c>
      <c r="W43" s="498">
        <f t="shared" si="33"/>
        <v>8997</v>
      </c>
      <c r="X43" s="499">
        <f t="shared" si="33"/>
        <v>10334</v>
      </c>
      <c r="Y43" s="499">
        <f t="shared" si="33"/>
        <v>3426</v>
      </c>
      <c r="Z43" s="499">
        <f t="shared" si="33"/>
        <v>1004</v>
      </c>
      <c r="AA43" s="498">
        <f t="shared" si="33"/>
        <v>354739</v>
      </c>
      <c r="AB43" s="499">
        <f t="shared" si="33"/>
        <v>346431</v>
      </c>
      <c r="AC43" s="499">
        <f t="shared" si="33"/>
        <v>344021</v>
      </c>
      <c r="AD43" s="500">
        <f t="shared" si="33"/>
        <v>333411</v>
      </c>
      <c r="AE43" s="524"/>
      <c r="AF43" s="524"/>
    </row>
    <row r="44" spans="1:73" s="507" customFormat="1" ht="22.5" customHeight="1">
      <c r="A44" s="1407" t="s">
        <v>656</v>
      </c>
      <c r="B44" s="1409"/>
      <c r="C44" s="502">
        <f t="shared" ref="C44:AD44" si="34">+C22+C43</f>
        <v>319218</v>
      </c>
      <c r="D44" s="503">
        <f t="shared" si="34"/>
        <v>289391</v>
      </c>
      <c r="E44" s="503">
        <f t="shared" si="34"/>
        <v>300661</v>
      </c>
      <c r="F44" s="504">
        <f t="shared" si="34"/>
        <v>293694</v>
      </c>
      <c r="G44" s="502">
        <f t="shared" si="34"/>
        <v>55172</v>
      </c>
      <c r="H44" s="503">
        <f t="shared" si="34"/>
        <v>57666</v>
      </c>
      <c r="I44" s="503">
        <f t="shared" si="34"/>
        <v>57996</v>
      </c>
      <c r="J44" s="504">
        <f t="shared" si="34"/>
        <v>55121</v>
      </c>
      <c r="K44" s="503">
        <f t="shared" si="34"/>
        <v>101484</v>
      </c>
      <c r="L44" s="503">
        <f t="shared" si="34"/>
        <v>98823</v>
      </c>
      <c r="M44" s="503">
        <f t="shared" si="34"/>
        <v>91781</v>
      </c>
      <c r="N44" s="503">
        <f t="shared" si="34"/>
        <v>93506</v>
      </c>
      <c r="O44" s="502">
        <f t="shared" si="34"/>
        <v>59029</v>
      </c>
      <c r="P44" s="503">
        <f t="shared" si="34"/>
        <v>56094</v>
      </c>
      <c r="Q44" s="503">
        <f t="shared" si="34"/>
        <v>61385</v>
      </c>
      <c r="R44" s="504">
        <f t="shared" si="34"/>
        <v>55009</v>
      </c>
      <c r="S44" s="503">
        <f t="shared" si="34"/>
        <v>13226</v>
      </c>
      <c r="T44" s="503">
        <f t="shared" si="34"/>
        <v>12565</v>
      </c>
      <c r="U44" s="503">
        <f t="shared" si="34"/>
        <v>15336</v>
      </c>
      <c r="V44" s="503">
        <f t="shared" si="34"/>
        <v>18344</v>
      </c>
      <c r="W44" s="502">
        <f t="shared" si="34"/>
        <v>15312</v>
      </c>
      <c r="X44" s="503">
        <f t="shared" si="34"/>
        <v>16243</v>
      </c>
      <c r="Y44" s="503">
        <f t="shared" si="34"/>
        <v>4532</v>
      </c>
      <c r="Z44" s="504">
        <f t="shared" si="34"/>
        <v>1140</v>
      </c>
      <c r="AA44" s="503">
        <f t="shared" si="34"/>
        <v>563441</v>
      </c>
      <c r="AB44" s="503">
        <f t="shared" si="34"/>
        <v>530782</v>
      </c>
      <c r="AC44" s="503">
        <f t="shared" si="34"/>
        <v>531691</v>
      </c>
      <c r="AD44" s="504">
        <f t="shared" si="34"/>
        <v>516814</v>
      </c>
      <c r="AE44" s="524"/>
      <c r="AF44" s="524"/>
      <c r="AG44" s="524"/>
      <c r="AH44" s="524"/>
      <c r="AI44" s="524"/>
      <c r="AJ44" s="524"/>
      <c r="AK44" s="524"/>
      <c r="AL44" s="524"/>
      <c r="AM44" s="524"/>
      <c r="AN44" s="524"/>
      <c r="AO44" s="524"/>
      <c r="AP44" s="524"/>
      <c r="AQ44" s="524"/>
      <c r="AR44" s="517"/>
      <c r="AS44" s="517"/>
      <c r="AT44" s="517"/>
      <c r="AU44" s="517"/>
      <c r="AV44" s="517"/>
      <c r="AW44" s="517"/>
      <c r="AX44" s="517"/>
      <c r="AY44" s="517"/>
      <c r="AZ44" s="517"/>
      <c r="BA44" s="517"/>
      <c r="BB44" s="517"/>
      <c r="BC44" s="517"/>
      <c r="BD44" s="517"/>
      <c r="BE44" s="517"/>
      <c r="BF44" s="517"/>
      <c r="BG44" s="517"/>
      <c r="BH44" s="517"/>
      <c r="BI44" s="517"/>
      <c r="BJ44" s="517"/>
      <c r="BK44" s="517"/>
      <c r="BL44" s="517"/>
      <c r="BM44" s="517"/>
      <c r="BN44" s="517"/>
      <c r="BO44" s="517"/>
      <c r="BP44" s="517"/>
      <c r="BQ44" s="517"/>
      <c r="BR44" s="517"/>
      <c r="BS44" s="517"/>
      <c r="BT44" s="517"/>
      <c r="BU44" s="517"/>
    </row>
    <row r="45" spans="1:73">
      <c r="A45" s="431"/>
      <c r="B45" s="431"/>
      <c r="C45" s="512"/>
      <c r="D45" s="512"/>
      <c r="E45" s="512"/>
      <c r="F45" s="512"/>
      <c r="G45" s="512"/>
      <c r="H45" s="512"/>
      <c r="I45" s="512"/>
      <c r="J45" s="512"/>
      <c r="K45" s="512"/>
      <c r="L45" s="512"/>
      <c r="M45" s="512"/>
      <c r="N45" s="512"/>
      <c r="O45" s="512"/>
      <c r="P45" s="512"/>
      <c r="Q45" s="512"/>
      <c r="R45" s="512"/>
      <c r="S45" s="512"/>
      <c r="T45" s="512"/>
      <c r="U45" s="512"/>
      <c r="V45" s="512"/>
      <c r="W45" s="512"/>
      <c r="X45" s="512"/>
      <c r="Y45" s="512"/>
      <c r="Z45" s="512"/>
      <c r="AA45" s="512"/>
      <c r="AB45" s="512"/>
      <c r="AC45" s="512"/>
      <c r="AD45" s="512"/>
      <c r="AE45" s="512"/>
      <c r="AF45" s="512"/>
      <c r="AG45" s="512"/>
      <c r="AH45" s="512"/>
      <c r="AI45" s="512"/>
      <c r="AJ45" s="512"/>
      <c r="AK45" s="512"/>
      <c r="AL45" s="512"/>
      <c r="AM45" s="512"/>
      <c r="AN45" s="512"/>
      <c r="AO45" s="512"/>
      <c r="AP45" s="512"/>
      <c r="AQ45" s="512"/>
      <c r="AR45" s="521"/>
      <c r="AS45" s="521"/>
      <c r="AT45" s="521"/>
      <c r="AU45" s="521"/>
      <c r="AV45" s="521"/>
      <c r="AW45" s="521"/>
      <c r="AX45" s="521"/>
      <c r="AY45" s="521"/>
      <c r="AZ45" s="521"/>
      <c r="BA45" s="521"/>
      <c r="BB45" s="521"/>
      <c r="BC45" s="521"/>
      <c r="BD45" s="521"/>
      <c r="BE45" s="521"/>
      <c r="BF45" s="521"/>
      <c r="BG45" s="521"/>
      <c r="BH45" s="521"/>
      <c r="BI45" s="521"/>
      <c r="BJ45" s="521"/>
      <c r="BK45" s="521"/>
      <c r="BL45" s="521"/>
      <c r="BM45" s="521"/>
      <c r="BN45" s="521"/>
      <c r="BO45" s="521"/>
      <c r="BP45" s="521"/>
      <c r="BQ45" s="521"/>
      <c r="BR45" s="521"/>
      <c r="BS45" s="521"/>
      <c r="BT45" s="521"/>
      <c r="BU45" s="521"/>
    </row>
    <row r="46" spans="1:73">
      <c r="B46" s="208"/>
      <c r="C46" s="512"/>
      <c r="D46" s="512"/>
      <c r="E46" s="512"/>
      <c r="F46" s="512"/>
      <c r="G46" s="512"/>
      <c r="H46" s="512"/>
      <c r="I46" s="512"/>
      <c r="J46" s="512"/>
      <c r="K46" s="512"/>
      <c r="L46" s="512"/>
      <c r="M46" s="512"/>
      <c r="N46" s="512"/>
      <c r="O46" s="512"/>
      <c r="P46" s="512"/>
      <c r="Q46" s="512"/>
      <c r="R46" s="512"/>
      <c r="S46" s="512"/>
      <c r="T46" s="512"/>
      <c r="U46" s="512"/>
      <c r="V46" s="512"/>
      <c r="W46" s="512"/>
      <c r="X46" s="512"/>
      <c r="Y46" s="512"/>
      <c r="Z46" s="512"/>
      <c r="AA46" s="512"/>
      <c r="AB46" s="512"/>
      <c r="AC46" s="512"/>
      <c r="AD46" s="512"/>
      <c r="AE46" s="512"/>
      <c r="AF46" s="512"/>
      <c r="AG46" s="512"/>
      <c r="AH46" s="512"/>
      <c r="AI46" s="512"/>
      <c r="AJ46" s="512"/>
      <c r="AK46" s="512"/>
      <c r="AL46" s="512"/>
      <c r="AM46" s="512"/>
      <c r="AN46" s="512"/>
      <c r="AO46" s="512"/>
      <c r="AP46" s="512"/>
      <c r="AQ46" s="512"/>
      <c r="AR46" s="521"/>
      <c r="AS46" s="521"/>
      <c r="AT46" s="521"/>
      <c r="AU46" s="521"/>
      <c r="AV46" s="521"/>
      <c r="AW46" s="521"/>
      <c r="AX46" s="521"/>
      <c r="AY46" s="521"/>
      <c r="AZ46" s="521"/>
      <c r="BA46" s="521"/>
      <c r="BB46" s="521"/>
      <c r="BC46" s="521"/>
      <c r="BD46" s="521"/>
      <c r="BE46" s="521"/>
      <c r="BF46" s="521"/>
      <c r="BG46" s="521"/>
      <c r="BH46" s="521"/>
      <c r="BI46" s="521"/>
      <c r="BJ46" s="521"/>
      <c r="BK46" s="521"/>
      <c r="BL46" s="521"/>
      <c r="BM46" s="521"/>
      <c r="BN46" s="521"/>
      <c r="BO46" s="521"/>
      <c r="BP46" s="521"/>
      <c r="BQ46" s="521"/>
      <c r="BR46" s="521"/>
      <c r="BS46" s="521"/>
      <c r="BT46" s="521"/>
      <c r="BU46" s="521"/>
    </row>
    <row r="47" spans="1:73">
      <c r="B47" s="208"/>
      <c r="C47" s="509"/>
      <c r="D47" s="509"/>
      <c r="E47" s="509"/>
      <c r="F47" s="512"/>
      <c r="G47" s="509"/>
      <c r="H47" s="509"/>
      <c r="I47" s="509"/>
      <c r="J47" s="512"/>
      <c r="K47" s="509"/>
      <c r="L47" s="509"/>
      <c r="M47" s="509"/>
      <c r="N47" s="512"/>
      <c r="O47" s="509"/>
      <c r="P47" s="509"/>
      <c r="Q47" s="509"/>
      <c r="R47" s="512"/>
      <c r="S47" s="509"/>
      <c r="T47" s="509"/>
      <c r="U47" s="509"/>
      <c r="V47" s="512"/>
      <c r="W47" s="509"/>
      <c r="X47" s="509"/>
      <c r="Y47" s="509"/>
      <c r="Z47" s="512"/>
      <c r="AA47" s="509"/>
      <c r="AB47" s="509"/>
      <c r="AC47" s="509"/>
      <c r="AD47" s="512"/>
      <c r="AE47" s="509"/>
      <c r="AF47" s="509"/>
      <c r="AG47" s="509"/>
      <c r="AH47" s="509"/>
      <c r="AI47" s="509"/>
      <c r="AJ47" s="509"/>
      <c r="AK47" s="509"/>
      <c r="AL47" s="509"/>
      <c r="AM47" s="509"/>
      <c r="AN47" s="509"/>
      <c r="AO47" s="509"/>
      <c r="AP47" s="509"/>
      <c r="AQ47" s="509"/>
    </row>
    <row r="48" spans="1:73">
      <c r="B48" s="208"/>
      <c r="C48" s="509"/>
      <c r="D48" s="509"/>
      <c r="E48" s="509"/>
      <c r="F48" s="512"/>
      <c r="G48" s="509"/>
      <c r="H48" s="509"/>
      <c r="I48" s="509"/>
      <c r="J48" s="512"/>
      <c r="K48" s="509"/>
      <c r="L48" s="509"/>
      <c r="M48" s="509"/>
      <c r="N48" s="512"/>
      <c r="O48" s="509"/>
      <c r="P48" s="509"/>
      <c r="Q48" s="509"/>
      <c r="R48" s="512"/>
      <c r="S48" s="509"/>
      <c r="T48" s="509"/>
      <c r="U48" s="509"/>
      <c r="V48" s="512"/>
      <c r="W48" s="509"/>
      <c r="X48" s="509"/>
      <c r="Y48" s="509"/>
      <c r="Z48" s="512"/>
      <c r="AA48" s="509"/>
      <c r="AB48" s="509"/>
      <c r="AC48" s="509"/>
      <c r="AD48" s="512"/>
      <c r="AE48" s="509"/>
      <c r="AF48" s="509"/>
      <c r="AG48" s="509"/>
      <c r="AH48" s="509"/>
      <c r="AI48" s="509"/>
      <c r="AJ48" s="509"/>
      <c r="AK48" s="509"/>
      <c r="AL48" s="509"/>
      <c r="AM48" s="509"/>
      <c r="AN48" s="509"/>
      <c r="AO48" s="509"/>
      <c r="AP48" s="509"/>
      <c r="AQ48" s="509"/>
    </row>
    <row r="49" spans="2:43">
      <c r="B49" s="208"/>
      <c r="C49" s="509"/>
      <c r="D49" s="509"/>
      <c r="E49" s="509"/>
      <c r="F49" s="512"/>
      <c r="G49" s="509"/>
      <c r="H49" s="509"/>
      <c r="I49" s="509"/>
      <c r="J49" s="512"/>
      <c r="K49" s="512"/>
      <c r="L49" s="512"/>
      <c r="M49" s="512"/>
      <c r="N49" s="512"/>
      <c r="O49" s="512"/>
      <c r="P49" s="512"/>
      <c r="Q49" s="512"/>
      <c r="R49" s="512"/>
      <c r="S49" s="512"/>
      <c r="T49" s="512"/>
      <c r="U49" s="512"/>
      <c r="V49" s="512"/>
      <c r="W49" s="512"/>
      <c r="X49" s="512"/>
      <c r="Y49" s="512"/>
      <c r="Z49" s="512"/>
      <c r="AA49" s="512"/>
      <c r="AB49" s="512"/>
      <c r="AC49" s="512"/>
      <c r="AD49" s="512"/>
      <c r="AE49" s="509"/>
      <c r="AF49" s="512"/>
      <c r="AG49" s="509"/>
      <c r="AH49" s="509"/>
      <c r="AI49" s="509"/>
      <c r="AJ49" s="509"/>
      <c r="AK49" s="509"/>
      <c r="AL49" s="509"/>
      <c r="AM49" s="509"/>
      <c r="AN49" s="509"/>
      <c r="AO49" s="509"/>
      <c r="AP49" s="509"/>
      <c r="AQ49" s="509"/>
    </row>
    <row r="50" spans="2:43">
      <c r="F50" s="521"/>
      <c r="G50" s="521"/>
      <c r="H50" s="521"/>
      <c r="I50" s="521"/>
      <c r="J50" s="521"/>
      <c r="K50" s="521"/>
      <c r="L50" s="521"/>
      <c r="M50" s="521"/>
      <c r="N50" s="521"/>
      <c r="O50" s="521"/>
      <c r="P50" s="521"/>
      <c r="Q50" s="521"/>
      <c r="R50" s="521"/>
      <c r="S50" s="521"/>
      <c r="T50" s="521"/>
      <c r="U50" s="521"/>
      <c r="V50" s="521"/>
      <c r="W50" s="521"/>
      <c r="X50" s="521"/>
      <c r="Y50" s="521"/>
      <c r="Z50" s="521"/>
      <c r="AA50" s="521"/>
      <c r="AB50" s="521"/>
      <c r="AC50" s="521"/>
      <c r="AD50" s="521"/>
    </row>
    <row r="51" spans="2:43">
      <c r="F51" s="521"/>
      <c r="G51" s="521"/>
      <c r="H51" s="521"/>
      <c r="I51" s="521"/>
      <c r="J51" s="521"/>
      <c r="K51" s="521"/>
      <c r="L51" s="521"/>
      <c r="M51" s="521"/>
      <c r="N51" s="521"/>
      <c r="O51" s="521"/>
      <c r="P51" s="521"/>
      <c r="Q51" s="521"/>
      <c r="R51" s="521"/>
      <c r="S51" s="521"/>
      <c r="T51" s="521"/>
      <c r="U51" s="521"/>
      <c r="V51" s="521"/>
      <c r="W51" s="521"/>
      <c r="X51" s="521"/>
      <c r="Y51" s="521"/>
      <c r="Z51" s="521"/>
      <c r="AA51" s="521"/>
      <c r="AB51" s="521"/>
      <c r="AC51" s="521"/>
      <c r="AD51" s="521"/>
    </row>
    <row r="52" spans="2:43">
      <c r="B52" s="208"/>
      <c r="F52" s="521"/>
      <c r="J52" s="521"/>
      <c r="N52" s="521"/>
      <c r="R52" s="521"/>
      <c r="V52" s="521"/>
      <c r="Z52" s="521"/>
      <c r="AD52" s="521"/>
    </row>
    <row r="53" spans="2:43">
      <c r="F53" s="521"/>
      <c r="G53" s="521"/>
      <c r="H53" s="521"/>
      <c r="I53" s="521"/>
      <c r="J53" s="521"/>
      <c r="K53" s="521"/>
      <c r="L53" s="521"/>
      <c r="M53" s="521"/>
      <c r="N53" s="521"/>
      <c r="O53" s="521"/>
      <c r="P53" s="521"/>
      <c r="Q53" s="521"/>
      <c r="R53" s="521"/>
      <c r="S53" s="521"/>
      <c r="T53" s="521"/>
      <c r="U53" s="521"/>
      <c r="V53" s="521"/>
      <c r="W53" s="521"/>
      <c r="X53" s="521"/>
      <c r="Y53" s="521"/>
      <c r="Z53" s="521"/>
      <c r="AA53" s="521"/>
      <c r="AB53" s="521"/>
      <c r="AC53" s="521"/>
      <c r="AD53" s="521"/>
    </row>
    <row r="54" spans="2:43">
      <c r="F54" s="521"/>
      <c r="J54" s="521"/>
      <c r="N54" s="521"/>
      <c r="R54" s="521"/>
      <c r="V54" s="521"/>
      <c r="Z54" s="521"/>
      <c r="AD54" s="521"/>
    </row>
    <row r="55" spans="2:43">
      <c r="F55" s="521"/>
      <c r="J55" s="521"/>
      <c r="N55" s="521"/>
      <c r="R55" s="521"/>
      <c r="Z55" s="521"/>
      <c r="AD55" s="521"/>
    </row>
    <row r="58" spans="2:43">
      <c r="F58" s="521"/>
      <c r="J58" s="521"/>
      <c r="N58" s="521"/>
      <c r="R58" s="521"/>
      <c r="V58" s="521"/>
      <c r="Z58" s="521"/>
      <c r="AD58" s="521"/>
    </row>
  </sheetData>
  <mergeCells count="12">
    <mergeCell ref="A44:B44"/>
    <mergeCell ref="A1:AD1"/>
    <mergeCell ref="A2:AD2"/>
    <mergeCell ref="A3:AD3"/>
    <mergeCell ref="A4:AD4"/>
    <mergeCell ref="AA7:AD7"/>
    <mergeCell ref="W7:Z7"/>
    <mergeCell ref="C7:F7"/>
    <mergeCell ref="G7:J7"/>
    <mergeCell ref="K7:N7"/>
    <mergeCell ref="O7:R7"/>
    <mergeCell ref="S7:V7"/>
  </mergeCells>
  <phoneticPr fontId="19" type="noConversion"/>
  <pageMargins left="0.39370078740157483" right="0" top="0.98425196850393704" bottom="0.98425196850393704" header="0" footer="0"/>
  <pageSetup paperSize="5" scale="69" orientation="landscape" horizontalDpi="300" verticalDpi="300" r:id="rId1"/>
  <headerFooter alignWithMargins="0"/>
  <ignoredErrors>
    <ignoredError sqref="J42" formula="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0"/>
  <sheetViews>
    <sheetView topLeftCell="E40" workbookViewId="0">
      <selection activeCell="H14" sqref="H14"/>
    </sheetView>
  </sheetViews>
  <sheetFormatPr baseColWidth="10" defaultColWidth="11.85546875" defaultRowHeight="12"/>
  <cols>
    <col min="1" max="1" width="12.7109375" style="398" customWidth="1"/>
    <col min="2" max="2" width="19.85546875" style="398" customWidth="1"/>
    <col min="3" max="48" width="7.140625" style="398" customWidth="1"/>
    <col min="49" max="16384" width="11.85546875" style="398"/>
  </cols>
  <sheetData>
    <row r="1" spans="1:29" ht="23.25" customHeight="1">
      <c r="A1" s="1410" t="s">
        <v>974</v>
      </c>
      <c r="B1" s="1393"/>
      <c r="C1" s="1393"/>
      <c r="D1" s="1393"/>
      <c r="E1" s="1393"/>
      <c r="F1" s="1393"/>
      <c r="G1" s="1393"/>
      <c r="H1" s="1393"/>
      <c r="I1" s="1393"/>
      <c r="J1" s="1393"/>
      <c r="K1" s="1393"/>
      <c r="L1" s="1393"/>
      <c r="M1" s="1393"/>
      <c r="N1" s="1393"/>
      <c r="O1" s="1393"/>
      <c r="P1" s="1393"/>
      <c r="Q1" s="1393"/>
      <c r="R1" s="1393"/>
      <c r="S1" s="1393"/>
      <c r="T1" s="1393"/>
      <c r="U1" s="1393"/>
      <c r="V1" s="1393"/>
    </row>
    <row r="2" spans="1:29">
      <c r="A2" s="1393" t="s">
        <v>910</v>
      </c>
      <c r="B2" s="1393"/>
      <c r="C2" s="1393"/>
      <c r="D2" s="1393"/>
      <c r="E2" s="1393"/>
      <c r="F2" s="1393"/>
      <c r="G2" s="1393"/>
      <c r="H2" s="1393"/>
      <c r="I2" s="1393"/>
      <c r="J2" s="1393"/>
      <c r="K2" s="1393"/>
      <c r="L2" s="1393"/>
      <c r="M2" s="1393"/>
      <c r="N2" s="1393"/>
      <c r="O2" s="1393"/>
      <c r="P2" s="1393"/>
      <c r="Q2" s="1393"/>
      <c r="R2" s="1393"/>
      <c r="S2" s="1393"/>
      <c r="T2" s="1393"/>
      <c r="U2" s="1393"/>
      <c r="V2" s="1393"/>
    </row>
    <row r="3" spans="1:29">
      <c r="A3" s="1393" t="str">
        <f>+'46'!A4:AD4</f>
        <v>2012 - 2015</v>
      </c>
      <c r="B3" s="1393"/>
      <c r="C3" s="1393"/>
      <c r="D3" s="1393"/>
      <c r="E3" s="1393"/>
      <c r="F3" s="1393"/>
      <c r="G3" s="1393"/>
      <c r="H3" s="1393"/>
      <c r="I3" s="1393"/>
      <c r="J3" s="1393"/>
      <c r="K3" s="1393"/>
      <c r="L3" s="1393"/>
      <c r="M3" s="1393"/>
      <c r="N3" s="1393"/>
      <c r="O3" s="1393"/>
      <c r="P3" s="1393"/>
      <c r="Q3" s="1393"/>
      <c r="R3" s="1393"/>
      <c r="S3" s="1393"/>
      <c r="T3" s="1393"/>
      <c r="U3" s="1393"/>
      <c r="V3" s="1393"/>
    </row>
    <row r="6" spans="1:29" s="507" customFormat="1" ht="18" customHeight="1">
      <c r="A6" s="465" t="s">
        <v>554</v>
      </c>
      <c r="B6" s="506" t="s">
        <v>866</v>
      </c>
      <c r="C6" s="1389" t="s">
        <v>975</v>
      </c>
      <c r="D6" s="1389"/>
      <c r="E6" s="1389"/>
      <c r="F6" s="1390"/>
      <c r="G6" s="1389" t="s">
        <v>976</v>
      </c>
      <c r="H6" s="1389"/>
      <c r="I6" s="1389"/>
      <c r="J6" s="1389"/>
      <c r="K6" s="1388" t="s">
        <v>977</v>
      </c>
      <c r="L6" s="1389"/>
      <c r="M6" s="1389"/>
      <c r="N6" s="1390"/>
      <c r="O6" s="1388" t="s">
        <v>978</v>
      </c>
      <c r="P6" s="1389"/>
      <c r="Q6" s="1389"/>
      <c r="R6" s="1390"/>
      <c r="S6" s="1385" t="s">
        <v>535</v>
      </c>
      <c r="T6" s="1385"/>
      <c r="U6" s="1385"/>
      <c r="V6" s="1386"/>
    </row>
    <row r="7" spans="1:29" s="507" customFormat="1" ht="18" customHeight="1">
      <c r="A7" s="487"/>
      <c r="B7" s="523"/>
      <c r="C7" s="488">
        <f>+'46'!S8</f>
        <v>2012</v>
      </c>
      <c r="D7" s="489">
        <f>+'46'!T8</f>
        <v>2013</v>
      </c>
      <c r="E7" s="489">
        <f>+'46'!U8</f>
        <v>2014</v>
      </c>
      <c r="F7" s="490">
        <f>+'46'!V8</f>
        <v>2015</v>
      </c>
      <c r="G7" s="488">
        <f>+'46'!W8</f>
        <v>2012</v>
      </c>
      <c r="H7" s="489">
        <f>+'46'!X8</f>
        <v>2013</v>
      </c>
      <c r="I7" s="489">
        <f>+'46'!Y8</f>
        <v>2014</v>
      </c>
      <c r="J7" s="490">
        <f>+'46'!Z8</f>
        <v>2015</v>
      </c>
      <c r="K7" s="488">
        <f t="shared" ref="K7:V7" si="0">+C7</f>
        <v>2012</v>
      </c>
      <c r="L7" s="489">
        <f t="shared" si="0"/>
        <v>2013</v>
      </c>
      <c r="M7" s="489">
        <f t="shared" si="0"/>
        <v>2014</v>
      </c>
      <c r="N7" s="490">
        <f t="shared" si="0"/>
        <v>2015</v>
      </c>
      <c r="O7" s="489">
        <f t="shared" si="0"/>
        <v>2012</v>
      </c>
      <c r="P7" s="489">
        <f t="shared" si="0"/>
        <v>2013</v>
      </c>
      <c r="Q7" s="489">
        <f t="shared" si="0"/>
        <v>2014</v>
      </c>
      <c r="R7" s="490">
        <f t="shared" si="0"/>
        <v>2015</v>
      </c>
      <c r="S7" s="489">
        <f t="shared" si="0"/>
        <v>2012</v>
      </c>
      <c r="T7" s="489">
        <f t="shared" si="0"/>
        <v>2013</v>
      </c>
      <c r="U7" s="489">
        <f t="shared" si="0"/>
        <v>2014</v>
      </c>
      <c r="V7" s="490">
        <f t="shared" si="0"/>
        <v>2015</v>
      </c>
      <c r="W7" s="526"/>
      <c r="X7" s="526"/>
      <c r="Y7" s="526"/>
      <c r="Z7" s="526"/>
      <c r="AA7" s="526"/>
      <c r="AB7" s="526"/>
      <c r="AC7" s="526"/>
    </row>
    <row r="8" spans="1:29" s="507" customFormat="1" ht="18" customHeight="1">
      <c r="A8" s="491"/>
      <c r="B8" s="299" t="s">
        <v>1480</v>
      </c>
      <c r="C8" s="370">
        <v>368</v>
      </c>
      <c r="D8" s="370">
        <v>412</v>
      </c>
      <c r="E8" s="370">
        <v>304</v>
      </c>
      <c r="F8" s="492">
        <v>352</v>
      </c>
      <c r="G8" s="370">
        <v>772</v>
      </c>
      <c r="H8" s="370">
        <v>645</v>
      </c>
      <c r="I8" s="370">
        <v>638</v>
      </c>
      <c r="J8" s="492">
        <v>572</v>
      </c>
      <c r="K8" s="370">
        <v>1868</v>
      </c>
      <c r="L8" s="370">
        <v>1602</v>
      </c>
      <c r="M8" s="370">
        <v>1558</v>
      </c>
      <c r="N8" s="492">
        <v>1526</v>
      </c>
      <c r="O8" s="370">
        <v>525</v>
      </c>
      <c r="P8" s="370">
        <v>442</v>
      </c>
      <c r="Q8" s="370">
        <v>424</v>
      </c>
      <c r="R8" s="492">
        <v>509</v>
      </c>
      <c r="S8" s="369">
        <f t="shared" ref="S8:V8" si="1">+C8+G8+K8+O8</f>
        <v>3533</v>
      </c>
      <c r="T8" s="370">
        <f t="shared" si="1"/>
        <v>3101</v>
      </c>
      <c r="U8" s="370">
        <f t="shared" si="1"/>
        <v>2924</v>
      </c>
      <c r="V8" s="492">
        <f t="shared" si="1"/>
        <v>2959</v>
      </c>
      <c r="W8" s="526"/>
      <c r="X8" s="524"/>
      <c r="Y8" s="526"/>
      <c r="Z8" s="524"/>
      <c r="AA8" s="526"/>
      <c r="AB8" s="526"/>
      <c r="AC8" s="526"/>
    </row>
    <row r="9" spans="1:29" s="507" customFormat="1" ht="18" customHeight="1">
      <c r="A9" s="491"/>
      <c r="B9" s="299" t="s">
        <v>1481</v>
      </c>
      <c r="C9" s="370">
        <v>226</v>
      </c>
      <c r="D9" s="370">
        <v>202</v>
      </c>
      <c r="E9" s="370">
        <v>260</v>
      </c>
      <c r="F9" s="492">
        <v>304</v>
      </c>
      <c r="G9" s="370">
        <v>617</v>
      </c>
      <c r="H9" s="370">
        <v>449</v>
      </c>
      <c r="I9" s="370">
        <v>487</v>
      </c>
      <c r="J9" s="492">
        <v>542</v>
      </c>
      <c r="K9" s="370">
        <v>1639</v>
      </c>
      <c r="L9" s="370">
        <v>1054</v>
      </c>
      <c r="M9" s="370">
        <v>1250</v>
      </c>
      <c r="N9" s="492">
        <v>960</v>
      </c>
      <c r="O9" s="370">
        <v>178</v>
      </c>
      <c r="P9" s="370">
        <v>134</v>
      </c>
      <c r="Q9" s="370">
        <v>161</v>
      </c>
      <c r="R9" s="492">
        <v>120</v>
      </c>
      <c r="S9" s="369">
        <f t="shared" ref="S9:V10" si="2">+C9+G9+K9+O9</f>
        <v>2660</v>
      </c>
      <c r="T9" s="370">
        <f t="shared" si="2"/>
        <v>1839</v>
      </c>
      <c r="U9" s="370">
        <f t="shared" si="2"/>
        <v>2158</v>
      </c>
      <c r="V9" s="492">
        <f t="shared" si="2"/>
        <v>1926</v>
      </c>
      <c r="W9" s="526"/>
      <c r="X9" s="526"/>
      <c r="Y9" s="526"/>
      <c r="Z9" s="526"/>
      <c r="AA9" s="524"/>
      <c r="AB9" s="526"/>
      <c r="AC9" s="526"/>
    </row>
    <row r="10" spans="1:29" s="507" customFormat="1" ht="18" customHeight="1">
      <c r="A10" s="491"/>
      <c r="B10" s="299" t="s">
        <v>1282</v>
      </c>
      <c r="C10" s="370">
        <v>6</v>
      </c>
      <c r="D10" s="370">
        <v>11</v>
      </c>
      <c r="E10" s="370">
        <v>6</v>
      </c>
      <c r="F10" s="492">
        <v>16</v>
      </c>
      <c r="G10" s="370">
        <v>7</v>
      </c>
      <c r="H10" s="370">
        <v>12</v>
      </c>
      <c r="I10" s="370">
        <v>68</v>
      </c>
      <c r="J10" s="492">
        <v>9</v>
      </c>
      <c r="K10" s="370">
        <v>19</v>
      </c>
      <c r="L10" s="370">
        <v>49</v>
      </c>
      <c r="M10" s="370">
        <v>46</v>
      </c>
      <c r="N10" s="492">
        <v>33</v>
      </c>
      <c r="O10" s="370">
        <v>6</v>
      </c>
      <c r="P10" s="370">
        <v>8</v>
      </c>
      <c r="Q10" s="370">
        <v>5</v>
      </c>
      <c r="R10" s="492">
        <v>6</v>
      </c>
      <c r="S10" s="370">
        <f t="shared" si="2"/>
        <v>38</v>
      </c>
      <c r="T10" s="370">
        <f t="shared" si="2"/>
        <v>80</v>
      </c>
      <c r="U10" s="370">
        <f t="shared" si="2"/>
        <v>125</v>
      </c>
      <c r="V10" s="492">
        <f t="shared" si="2"/>
        <v>64</v>
      </c>
      <c r="W10" s="526"/>
      <c r="X10" s="526"/>
      <c r="Y10" s="526"/>
      <c r="Z10" s="526"/>
      <c r="AA10" s="526"/>
      <c r="AB10" s="526"/>
      <c r="AC10" s="526"/>
    </row>
    <row r="11" spans="1:29" s="507" customFormat="1" ht="18" customHeight="1">
      <c r="A11" s="491"/>
      <c r="B11" s="343" t="s">
        <v>829</v>
      </c>
      <c r="C11" s="370">
        <v>36</v>
      </c>
      <c r="D11" s="370">
        <v>53</v>
      </c>
      <c r="E11" s="370">
        <v>59</v>
      </c>
      <c r="F11" s="492">
        <v>45</v>
      </c>
      <c r="G11" s="370">
        <v>109</v>
      </c>
      <c r="H11" s="370">
        <v>104</v>
      </c>
      <c r="I11" s="370">
        <v>161</v>
      </c>
      <c r="J11" s="492">
        <v>138</v>
      </c>
      <c r="K11" s="370">
        <v>147</v>
      </c>
      <c r="L11" s="370">
        <v>191</v>
      </c>
      <c r="M11" s="370">
        <v>302</v>
      </c>
      <c r="N11" s="492">
        <v>223</v>
      </c>
      <c r="O11" s="370">
        <v>18</v>
      </c>
      <c r="P11" s="370">
        <v>22</v>
      </c>
      <c r="Q11" s="370">
        <v>28</v>
      </c>
      <c r="R11" s="492">
        <v>53</v>
      </c>
      <c r="S11" s="369">
        <f>+C11+G11+K11+O11</f>
        <v>310</v>
      </c>
      <c r="T11" s="370">
        <f>+D11+H11+L11+P11</f>
        <v>370</v>
      </c>
      <c r="U11" s="370">
        <f>+E11+I11+M11+Q11</f>
        <v>550</v>
      </c>
      <c r="V11" s="492">
        <f t="shared" ref="V11:V18" si="3">+F11+J11+N11+R11</f>
        <v>459</v>
      </c>
      <c r="W11" s="526"/>
      <c r="X11" s="526"/>
      <c r="Y11" s="526"/>
      <c r="Z11" s="526"/>
      <c r="AA11" s="526"/>
      <c r="AB11" s="526"/>
      <c r="AC11" s="526"/>
    </row>
    <row r="12" spans="1:29" s="507" customFormat="1" ht="18" customHeight="1">
      <c r="A12" s="491"/>
      <c r="B12" s="343" t="s">
        <v>644</v>
      </c>
      <c r="C12" s="370">
        <v>636</v>
      </c>
      <c r="D12" s="370">
        <v>678</v>
      </c>
      <c r="E12" s="370">
        <f>SUM(E8:E11)</f>
        <v>629</v>
      </c>
      <c r="F12" s="492">
        <f>SUM(F8:F11)</f>
        <v>717</v>
      </c>
      <c r="G12" s="370">
        <v>1505</v>
      </c>
      <c r="H12" s="370">
        <v>1210</v>
      </c>
      <c r="I12" s="370">
        <f>SUM(I8:I11)</f>
        <v>1354</v>
      </c>
      <c r="J12" s="492">
        <f>SUM(J8:J11)</f>
        <v>1261</v>
      </c>
      <c r="K12" s="370">
        <v>3673</v>
      </c>
      <c r="L12" s="370">
        <v>2896</v>
      </c>
      <c r="M12" s="370">
        <f>SUM(M8:M11)</f>
        <v>3156</v>
      </c>
      <c r="N12" s="492">
        <f>SUM(N8:N11)</f>
        <v>2742</v>
      </c>
      <c r="O12" s="370">
        <v>727</v>
      </c>
      <c r="P12" s="370">
        <v>606</v>
      </c>
      <c r="Q12" s="370">
        <f t="shared" ref="Q12:V12" si="4">SUM(Q8:Q11)</f>
        <v>618</v>
      </c>
      <c r="R12" s="492">
        <f t="shared" si="4"/>
        <v>688</v>
      </c>
      <c r="S12" s="369">
        <f t="shared" si="4"/>
        <v>6541</v>
      </c>
      <c r="T12" s="370">
        <f t="shared" si="4"/>
        <v>5390</v>
      </c>
      <c r="U12" s="370">
        <f t="shared" si="4"/>
        <v>5757</v>
      </c>
      <c r="V12" s="492">
        <f t="shared" si="4"/>
        <v>5408</v>
      </c>
      <c r="W12" s="526"/>
      <c r="X12" s="526"/>
      <c r="Y12" s="526"/>
      <c r="Z12" s="526"/>
      <c r="AA12" s="526"/>
      <c r="AB12" s="526"/>
      <c r="AC12" s="526"/>
    </row>
    <row r="13" spans="1:29" s="507" customFormat="1" ht="18" customHeight="1">
      <c r="A13" s="491" t="s">
        <v>540</v>
      </c>
      <c r="B13" s="343" t="s">
        <v>830</v>
      </c>
      <c r="C13" s="370">
        <v>108</v>
      </c>
      <c r="D13" s="370">
        <v>173</v>
      </c>
      <c r="E13" s="370">
        <v>115</v>
      </c>
      <c r="F13" s="492">
        <v>121</v>
      </c>
      <c r="G13" s="370">
        <v>184</v>
      </c>
      <c r="H13" s="370">
        <v>259</v>
      </c>
      <c r="I13" s="370">
        <v>258</v>
      </c>
      <c r="J13" s="492">
        <v>282</v>
      </c>
      <c r="K13" s="370">
        <v>437</v>
      </c>
      <c r="L13" s="370">
        <v>694</v>
      </c>
      <c r="M13" s="370">
        <v>866</v>
      </c>
      <c r="N13" s="492">
        <v>836</v>
      </c>
      <c r="O13" s="370">
        <v>55</v>
      </c>
      <c r="P13" s="370">
        <v>100</v>
      </c>
      <c r="Q13" s="370">
        <v>130</v>
      </c>
      <c r="R13" s="492">
        <v>142</v>
      </c>
      <c r="S13" s="369">
        <f t="shared" ref="S13:U15" si="5">+C13+G13+K13+O13</f>
        <v>784</v>
      </c>
      <c r="T13" s="370">
        <f t="shared" si="5"/>
        <v>1226</v>
      </c>
      <c r="U13" s="370">
        <f t="shared" si="5"/>
        <v>1369</v>
      </c>
      <c r="V13" s="492">
        <f t="shared" si="3"/>
        <v>1381</v>
      </c>
      <c r="W13" s="526"/>
      <c r="X13" s="526"/>
      <c r="Y13" s="526"/>
      <c r="Z13" s="526"/>
      <c r="AA13" s="526"/>
      <c r="AB13" s="526"/>
      <c r="AC13" s="526"/>
    </row>
    <row r="14" spans="1:29" s="507" customFormat="1" ht="18" customHeight="1">
      <c r="A14" s="491"/>
      <c r="B14" s="299" t="s">
        <v>1283</v>
      </c>
      <c r="C14" s="370">
        <v>7</v>
      </c>
      <c r="D14" s="370">
        <v>14</v>
      </c>
      <c r="E14" s="370">
        <v>16</v>
      </c>
      <c r="F14" s="492">
        <v>9</v>
      </c>
      <c r="G14" s="370">
        <v>21</v>
      </c>
      <c r="H14" s="370">
        <v>15</v>
      </c>
      <c r="I14" s="370">
        <v>13</v>
      </c>
      <c r="J14" s="492">
        <v>20</v>
      </c>
      <c r="K14" s="370">
        <v>61</v>
      </c>
      <c r="L14" s="370">
        <v>29</v>
      </c>
      <c r="M14" s="370">
        <v>74</v>
      </c>
      <c r="N14" s="492">
        <v>96</v>
      </c>
      <c r="O14" s="370">
        <v>6</v>
      </c>
      <c r="P14" s="370">
        <v>4</v>
      </c>
      <c r="Q14" s="370">
        <v>12</v>
      </c>
      <c r="R14" s="492">
        <v>30</v>
      </c>
      <c r="S14" s="370">
        <f t="shared" si="5"/>
        <v>95</v>
      </c>
      <c r="T14" s="370">
        <f t="shared" si="5"/>
        <v>62</v>
      </c>
      <c r="U14" s="370">
        <f t="shared" si="5"/>
        <v>115</v>
      </c>
      <c r="V14" s="492">
        <f t="shared" si="3"/>
        <v>155</v>
      </c>
      <c r="W14" s="526"/>
      <c r="X14" s="526"/>
      <c r="Y14" s="526"/>
      <c r="Z14" s="526"/>
      <c r="AA14" s="526"/>
      <c r="AB14" s="526"/>
      <c r="AC14" s="526"/>
    </row>
    <row r="15" spans="1:29" s="507" customFormat="1" ht="18" customHeight="1">
      <c r="A15" s="491"/>
      <c r="B15" s="299" t="s">
        <v>1284</v>
      </c>
      <c r="C15" s="370">
        <v>15</v>
      </c>
      <c r="D15" s="370">
        <v>10</v>
      </c>
      <c r="E15" s="370">
        <v>6</v>
      </c>
      <c r="F15" s="492">
        <v>5</v>
      </c>
      <c r="G15" s="370">
        <v>28</v>
      </c>
      <c r="H15" s="370">
        <v>39</v>
      </c>
      <c r="I15" s="370">
        <v>16</v>
      </c>
      <c r="J15" s="492">
        <v>17</v>
      </c>
      <c r="K15" s="370">
        <v>117</v>
      </c>
      <c r="L15" s="370">
        <v>81</v>
      </c>
      <c r="M15" s="370">
        <v>86</v>
      </c>
      <c r="N15" s="492">
        <v>87</v>
      </c>
      <c r="O15" s="370">
        <v>13</v>
      </c>
      <c r="P15" s="370">
        <v>5</v>
      </c>
      <c r="Q15" s="370"/>
      <c r="R15" s="492">
        <v>35</v>
      </c>
      <c r="S15" s="370">
        <f t="shared" si="5"/>
        <v>173</v>
      </c>
      <c r="T15" s="370">
        <f t="shared" si="5"/>
        <v>135</v>
      </c>
      <c r="U15" s="370">
        <f t="shared" si="5"/>
        <v>108</v>
      </c>
      <c r="V15" s="492">
        <f t="shared" si="3"/>
        <v>144</v>
      </c>
      <c r="W15" s="526"/>
      <c r="X15" s="526"/>
      <c r="Y15" s="526"/>
      <c r="Z15" s="526"/>
      <c r="AA15" s="526"/>
      <c r="AB15" s="526"/>
      <c r="AC15" s="526"/>
    </row>
    <row r="16" spans="1:29" s="507" customFormat="1" ht="18" customHeight="1">
      <c r="A16" s="491"/>
      <c r="B16" s="343" t="s">
        <v>644</v>
      </c>
      <c r="C16" s="370">
        <v>130</v>
      </c>
      <c r="D16" s="370">
        <v>197</v>
      </c>
      <c r="E16" s="370">
        <f>SUM(E13:E15)</f>
        <v>137</v>
      </c>
      <c r="F16" s="492">
        <f>SUM(F13:F15)</f>
        <v>135</v>
      </c>
      <c r="G16" s="370">
        <v>233</v>
      </c>
      <c r="H16" s="370">
        <v>313</v>
      </c>
      <c r="I16" s="370">
        <f>SUM(I13:I15)</f>
        <v>287</v>
      </c>
      <c r="J16" s="492">
        <f>SUM(J13:J15)</f>
        <v>319</v>
      </c>
      <c r="K16" s="370">
        <v>615</v>
      </c>
      <c r="L16" s="370">
        <v>804</v>
      </c>
      <c r="M16" s="370">
        <f>SUM(M13:M15)</f>
        <v>1026</v>
      </c>
      <c r="N16" s="492">
        <f>SUM(N13:N15)</f>
        <v>1019</v>
      </c>
      <c r="O16" s="370">
        <v>74</v>
      </c>
      <c r="P16" s="370">
        <v>109</v>
      </c>
      <c r="Q16" s="370">
        <f>SUM(Q13:Q15)</f>
        <v>142</v>
      </c>
      <c r="R16" s="492">
        <f>SUM(R13:R15)</f>
        <v>207</v>
      </c>
      <c r="S16" s="369">
        <f t="shared" ref="S16:U18" si="6">+C16+G16+K16+O16</f>
        <v>1052</v>
      </c>
      <c r="T16" s="370">
        <f t="shared" si="6"/>
        <v>1423</v>
      </c>
      <c r="U16" s="370">
        <f t="shared" si="6"/>
        <v>1592</v>
      </c>
      <c r="V16" s="492">
        <f>SUM(V13:V15)</f>
        <v>1680</v>
      </c>
      <c r="W16" s="526"/>
      <c r="X16" s="526"/>
      <c r="Y16" s="526"/>
      <c r="Z16" s="526"/>
      <c r="AA16" s="526"/>
      <c r="AB16" s="526"/>
      <c r="AC16" s="526"/>
    </row>
    <row r="17" spans="1:29" s="507" customFormat="1" ht="18" customHeight="1">
      <c r="A17" s="491" t="s">
        <v>963</v>
      </c>
      <c r="B17" s="299" t="s">
        <v>832</v>
      </c>
      <c r="C17" s="370">
        <v>206</v>
      </c>
      <c r="D17" s="370">
        <v>165</v>
      </c>
      <c r="E17" s="370">
        <v>145</v>
      </c>
      <c r="F17" s="492">
        <v>149</v>
      </c>
      <c r="G17" s="370">
        <v>319</v>
      </c>
      <c r="H17" s="370">
        <v>251</v>
      </c>
      <c r="I17" s="370">
        <v>232</v>
      </c>
      <c r="J17" s="492">
        <v>182</v>
      </c>
      <c r="K17" s="370">
        <v>1103</v>
      </c>
      <c r="L17" s="370">
        <v>804</v>
      </c>
      <c r="M17" s="370">
        <v>833</v>
      </c>
      <c r="N17" s="492">
        <v>641</v>
      </c>
      <c r="O17" s="370">
        <v>201</v>
      </c>
      <c r="P17" s="370">
        <v>199</v>
      </c>
      <c r="Q17" s="370">
        <v>203</v>
      </c>
      <c r="R17" s="492">
        <v>154</v>
      </c>
      <c r="S17" s="369">
        <f t="shared" si="6"/>
        <v>1829</v>
      </c>
      <c r="T17" s="370">
        <f t="shared" si="6"/>
        <v>1419</v>
      </c>
      <c r="U17" s="370">
        <f t="shared" si="6"/>
        <v>1413</v>
      </c>
      <c r="V17" s="492">
        <f t="shared" si="3"/>
        <v>1126</v>
      </c>
      <c r="W17" s="526"/>
      <c r="X17" s="526"/>
      <c r="Y17" s="526"/>
      <c r="Z17" s="526"/>
      <c r="AA17" s="526"/>
      <c r="AB17" s="526"/>
      <c r="AC17" s="526"/>
    </row>
    <row r="18" spans="1:29" s="507" customFormat="1" ht="18" customHeight="1">
      <c r="A18" s="491"/>
      <c r="B18" s="299" t="s">
        <v>1286</v>
      </c>
      <c r="C18" s="370">
        <v>16</v>
      </c>
      <c r="D18" s="370">
        <v>11</v>
      </c>
      <c r="E18" s="370">
        <v>3</v>
      </c>
      <c r="F18" s="492">
        <v>4</v>
      </c>
      <c r="G18" s="370">
        <v>14</v>
      </c>
      <c r="H18" s="370">
        <v>27</v>
      </c>
      <c r="I18" s="370">
        <v>32</v>
      </c>
      <c r="J18" s="492">
        <v>8</v>
      </c>
      <c r="K18" s="370">
        <v>33</v>
      </c>
      <c r="L18" s="370">
        <v>55</v>
      </c>
      <c r="M18" s="370">
        <v>49</v>
      </c>
      <c r="N18" s="492">
        <v>34</v>
      </c>
      <c r="O18" s="370">
        <v>14</v>
      </c>
      <c r="P18" s="370">
        <v>23</v>
      </c>
      <c r="Q18" s="370">
        <v>29</v>
      </c>
      <c r="R18" s="492">
        <v>43</v>
      </c>
      <c r="S18" s="370">
        <f t="shared" si="6"/>
        <v>77</v>
      </c>
      <c r="T18" s="370">
        <f t="shared" si="6"/>
        <v>116</v>
      </c>
      <c r="U18" s="370">
        <f t="shared" si="6"/>
        <v>113</v>
      </c>
      <c r="V18" s="492">
        <f t="shared" si="3"/>
        <v>89</v>
      </c>
      <c r="W18" s="526"/>
      <c r="X18" s="526"/>
      <c r="Y18" s="526"/>
      <c r="Z18" s="526"/>
      <c r="AA18" s="526"/>
      <c r="AB18" s="526"/>
      <c r="AC18" s="526"/>
    </row>
    <row r="19" spans="1:29" s="507" customFormat="1" ht="18" customHeight="1">
      <c r="A19" s="491"/>
      <c r="B19" s="343" t="s">
        <v>644</v>
      </c>
      <c r="C19" s="370">
        <v>222</v>
      </c>
      <c r="D19" s="370">
        <v>176</v>
      </c>
      <c r="E19" s="370">
        <f>SUM(E17:E18)</f>
        <v>148</v>
      </c>
      <c r="F19" s="492">
        <f>SUM(F17:F18)</f>
        <v>153</v>
      </c>
      <c r="G19" s="370">
        <v>333</v>
      </c>
      <c r="H19" s="370">
        <v>278</v>
      </c>
      <c r="I19" s="370">
        <f>SUM(I17:I18)</f>
        <v>264</v>
      </c>
      <c r="J19" s="492">
        <f>SUM(J17:J18)</f>
        <v>190</v>
      </c>
      <c r="K19" s="370">
        <v>1136</v>
      </c>
      <c r="L19" s="370">
        <v>859</v>
      </c>
      <c r="M19" s="370">
        <f>SUM(M17:M18)</f>
        <v>882</v>
      </c>
      <c r="N19" s="492">
        <f>SUM(N17:N18)</f>
        <v>675</v>
      </c>
      <c r="O19" s="370">
        <v>215</v>
      </c>
      <c r="P19" s="370">
        <v>222</v>
      </c>
      <c r="Q19" s="370">
        <f>SUM(Q17:Q18)</f>
        <v>232</v>
      </c>
      <c r="R19" s="370">
        <f>SUM(R17:R18)</f>
        <v>197</v>
      </c>
      <c r="S19" s="369">
        <f t="shared" ref="S19:U20" si="7">+C19+G19+K19+O19</f>
        <v>1906</v>
      </c>
      <c r="T19" s="370">
        <f t="shared" si="7"/>
        <v>1535</v>
      </c>
      <c r="U19" s="370">
        <f t="shared" si="7"/>
        <v>1526</v>
      </c>
      <c r="V19" s="492">
        <f>SUM(V17:V18)</f>
        <v>1215</v>
      </c>
      <c r="W19" s="526"/>
      <c r="X19" s="526"/>
      <c r="Y19" s="526"/>
      <c r="Z19" s="526"/>
      <c r="AA19" s="526"/>
      <c r="AB19" s="526"/>
      <c r="AC19" s="526"/>
    </row>
    <row r="20" spans="1:29" s="507" customFormat="1" ht="18" customHeight="1">
      <c r="A20" s="491" t="s">
        <v>542</v>
      </c>
      <c r="B20" s="343" t="s">
        <v>833</v>
      </c>
      <c r="C20" s="370">
        <v>395</v>
      </c>
      <c r="D20" s="370">
        <v>410</v>
      </c>
      <c r="E20" s="370">
        <v>371</v>
      </c>
      <c r="F20" s="492">
        <v>379</v>
      </c>
      <c r="G20" s="370">
        <v>258</v>
      </c>
      <c r="H20" s="370">
        <v>567</v>
      </c>
      <c r="I20" s="370">
        <v>514</v>
      </c>
      <c r="J20" s="492">
        <v>479</v>
      </c>
      <c r="K20" s="370">
        <v>378</v>
      </c>
      <c r="L20" s="370">
        <v>1272</v>
      </c>
      <c r="M20" s="370">
        <v>1344</v>
      </c>
      <c r="N20" s="492">
        <v>1325</v>
      </c>
      <c r="O20" s="370">
        <v>35</v>
      </c>
      <c r="P20" s="370">
        <v>126</v>
      </c>
      <c r="Q20" s="370">
        <v>147</v>
      </c>
      <c r="R20" s="492">
        <v>147</v>
      </c>
      <c r="S20" s="369">
        <f t="shared" si="7"/>
        <v>1066</v>
      </c>
      <c r="T20" s="370">
        <f t="shared" si="7"/>
        <v>2375</v>
      </c>
      <c r="U20" s="370">
        <f t="shared" si="7"/>
        <v>2376</v>
      </c>
      <c r="V20" s="492">
        <f>+F20+J20+N20+R20</f>
        <v>2330</v>
      </c>
      <c r="W20" s="526"/>
      <c r="X20" s="526"/>
      <c r="Y20" s="526"/>
      <c r="Z20" s="526"/>
      <c r="AA20" s="526"/>
      <c r="AB20" s="526"/>
      <c r="AC20" s="526"/>
    </row>
    <row r="21" spans="1:29" s="507" customFormat="1" ht="18" customHeight="1">
      <c r="A21" s="501" t="s">
        <v>964</v>
      </c>
      <c r="B21" s="510"/>
      <c r="C21" s="499">
        <v>1383</v>
      </c>
      <c r="D21" s="499">
        <v>1461</v>
      </c>
      <c r="E21" s="499">
        <f>+E12+E16+E19+E20</f>
        <v>1285</v>
      </c>
      <c r="F21" s="500">
        <f>+F12+F16+F19+F20</f>
        <v>1384</v>
      </c>
      <c r="G21" s="499">
        <v>2329</v>
      </c>
      <c r="H21" s="499">
        <v>2368</v>
      </c>
      <c r="I21" s="499">
        <f>+I12+I16+I19+I20</f>
        <v>2419</v>
      </c>
      <c r="J21" s="500">
        <f>+J12+J16+J19+J20</f>
        <v>2249</v>
      </c>
      <c r="K21" s="499">
        <v>5802</v>
      </c>
      <c r="L21" s="499">
        <v>5831</v>
      </c>
      <c r="M21" s="499">
        <f>+M12+M16+M19+M20</f>
        <v>6408</v>
      </c>
      <c r="N21" s="500">
        <f>+N12+N16+N19+N20</f>
        <v>5761</v>
      </c>
      <c r="O21" s="499">
        <v>1051</v>
      </c>
      <c r="P21" s="499">
        <v>1063</v>
      </c>
      <c r="Q21" s="499">
        <f t="shared" ref="Q21:U21" si="8">+Q12+Q16+Q19+Q20</f>
        <v>1139</v>
      </c>
      <c r="R21" s="500">
        <f t="shared" si="8"/>
        <v>1239</v>
      </c>
      <c r="S21" s="498">
        <f t="shared" si="8"/>
        <v>10565</v>
      </c>
      <c r="T21" s="499">
        <f t="shared" si="8"/>
        <v>10723</v>
      </c>
      <c r="U21" s="499">
        <f t="shared" si="8"/>
        <v>11251</v>
      </c>
      <c r="V21" s="500">
        <f>+V12+V16+V19+V20</f>
        <v>10633</v>
      </c>
      <c r="W21" s="526"/>
      <c r="X21" s="526"/>
      <c r="Y21" s="526"/>
      <c r="Z21" s="526"/>
      <c r="AA21" s="526"/>
      <c r="AB21" s="526"/>
      <c r="AC21" s="526"/>
    </row>
    <row r="22" spans="1:29" s="507" customFormat="1" ht="18" customHeight="1">
      <c r="A22" s="491" t="s">
        <v>965</v>
      </c>
      <c r="B22" s="299" t="s">
        <v>1483</v>
      </c>
      <c r="C22" s="370">
        <v>508</v>
      </c>
      <c r="D22" s="370">
        <v>415</v>
      </c>
      <c r="E22" s="370">
        <v>466</v>
      </c>
      <c r="F22" s="492">
        <v>480</v>
      </c>
      <c r="G22" s="370">
        <v>770</v>
      </c>
      <c r="H22" s="370">
        <v>566</v>
      </c>
      <c r="I22" s="370">
        <v>862</v>
      </c>
      <c r="J22" s="492">
        <v>777</v>
      </c>
      <c r="K22" s="370">
        <v>2367</v>
      </c>
      <c r="L22" s="370">
        <v>1958</v>
      </c>
      <c r="M22" s="370">
        <v>2243</v>
      </c>
      <c r="N22" s="492">
        <v>2103</v>
      </c>
      <c r="O22" s="370">
        <v>716</v>
      </c>
      <c r="P22" s="370">
        <v>635</v>
      </c>
      <c r="Q22" s="370">
        <v>774</v>
      </c>
      <c r="R22" s="492">
        <v>836</v>
      </c>
      <c r="S22" s="369">
        <f t="shared" ref="S22:S38" si="9">+C22+G22+K22+O22</f>
        <v>4361</v>
      </c>
      <c r="T22" s="370">
        <f t="shared" ref="S22:T39" si="10">+D22+H22+L22+P22</f>
        <v>3574</v>
      </c>
      <c r="U22" s="370">
        <f t="shared" ref="U22:U39" si="11">+E22+I22+M22+Q22</f>
        <v>4345</v>
      </c>
      <c r="V22" s="492">
        <f>+F22+J22+N22+R22</f>
        <v>4196</v>
      </c>
      <c r="W22" s="526"/>
      <c r="X22" s="526"/>
      <c r="Y22" s="526"/>
      <c r="Z22" s="526"/>
      <c r="AA22" s="526"/>
      <c r="AB22" s="526"/>
      <c r="AC22" s="526"/>
    </row>
    <row r="23" spans="1:29" s="507" customFormat="1" ht="18" customHeight="1">
      <c r="A23" s="491"/>
      <c r="B23" s="299" t="s">
        <v>1482</v>
      </c>
      <c r="C23" s="370">
        <v>933</v>
      </c>
      <c r="D23" s="370">
        <v>966</v>
      </c>
      <c r="E23" s="370">
        <v>1025</v>
      </c>
      <c r="F23" s="533">
        <f>666+196</f>
        <v>862</v>
      </c>
      <c r="G23" s="370">
        <v>2194</v>
      </c>
      <c r="H23" s="370">
        <v>1775</v>
      </c>
      <c r="I23" s="370">
        <v>1455</v>
      </c>
      <c r="J23" s="533">
        <f>442+847</f>
        <v>1289</v>
      </c>
      <c r="K23" s="370">
        <v>5614</v>
      </c>
      <c r="L23" s="370">
        <v>4800</v>
      </c>
      <c r="M23" s="370">
        <v>3154</v>
      </c>
      <c r="N23" s="533">
        <f>129+2899</f>
        <v>3028</v>
      </c>
      <c r="O23" s="370">
        <v>1371</v>
      </c>
      <c r="P23" s="370">
        <v>1354</v>
      </c>
      <c r="Q23" s="370">
        <v>662</v>
      </c>
      <c r="R23" s="533">
        <f>46+574</f>
        <v>620</v>
      </c>
      <c r="S23" s="369">
        <f t="shared" si="9"/>
        <v>10112</v>
      </c>
      <c r="T23" s="370">
        <f t="shared" si="10"/>
        <v>8895</v>
      </c>
      <c r="U23" s="370">
        <f t="shared" si="11"/>
        <v>6296</v>
      </c>
      <c r="V23" s="492">
        <f>+F23+J23+N23+R23</f>
        <v>5799</v>
      </c>
      <c r="W23" s="526"/>
      <c r="X23" s="526"/>
      <c r="Y23" s="526"/>
      <c r="Z23" s="526"/>
      <c r="AA23" s="526"/>
      <c r="AB23" s="526"/>
      <c r="AC23" s="526"/>
    </row>
    <row r="24" spans="1:29" s="507" customFormat="1" ht="18" customHeight="1">
      <c r="A24" s="491"/>
      <c r="B24" s="343" t="s">
        <v>550</v>
      </c>
      <c r="C24" s="370">
        <v>27</v>
      </c>
      <c r="D24" s="370">
        <v>24</v>
      </c>
      <c r="E24" s="370">
        <v>76</v>
      </c>
      <c r="F24" s="492">
        <v>104</v>
      </c>
      <c r="G24" s="370">
        <v>45</v>
      </c>
      <c r="H24" s="370">
        <v>111</v>
      </c>
      <c r="I24" s="370">
        <v>132</v>
      </c>
      <c r="J24" s="492">
        <v>131</v>
      </c>
      <c r="K24" s="370">
        <v>141</v>
      </c>
      <c r="L24" s="370">
        <v>324</v>
      </c>
      <c r="M24" s="370">
        <v>315</v>
      </c>
      <c r="N24" s="492">
        <v>298</v>
      </c>
      <c r="O24" s="370">
        <v>73</v>
      </c>
      <c r="P24" s="370">
        <v>61</v>
      </c>
      <c r="Q24" s="370">
        <v>66</v>
      </c>
      <c r="R24" s="492">
        <v>67</v>
      </c>
      <c r="S24" s="369">
        <f>+C24+G24+K24+O24</f>
        <v>286</v>
      </c>
      <c r="T24" s="370">
        <f>+D24+H24+L24+P24</f>
        <v>520</v>
      </c>
      <c r="U24" s="370">
        <f>+E24+I24+M24+Q24</f>
        <v>589</v>
      </c>
      <c r="V24" s="492">
        <f>+F24+J24+N24+R24</f>
        <v>600</v>
      </c>
      <c r="W24" s="526"/>
      <c r="X24" s="526"/>
      <c r="Y24" s="526"/>
      <c r="Z24" s="526"/>
      <c r="AA24" s="526"/>
      <c r="AB24" s="526"/>
      <c r="AC24" s="526"/>
    </row>
    <row r="25" spans="1:29" s="507" customFormat="1" ht="18" customHeight="1">
      <c r="A25" s="491"/>
      <c r="B25" s="343" t="s">
        <v>837</v>
      </c>
      <c r="C25" s="370">
        <v>226</v>
      </c>
      <c r="D25" s="370">
        <v>135</v>
      </c>
      <c r="E25" s="370">
        <v>143</v>
      </c>
      <c r="F25" s="492">
        <v>110</v>
      </c>
      <c r="G25" s="370">
        <v>351</v>
      </c>
      <c r="H25" s="370">
        <v>239</v>
      </c>
      <c r="I25" s="370">
        <v>260</v>
      </c>
      <c r="J25" s="492">
        <v>233</v>
      </c>
      <c r="K25" s="370">
        <v>1340</v>
      </c>
      <c r="L25" s="370">
        <v>979</v>
      </c>
      <c r="M25" s="370">
        <v>750</v>
      </c>
      <c r="N25" s="492">
        <v>797</v>
      </c>
      <c r="O25" s="370">
        <v>350</v>
      </c>
      <c r="P25" s="370">
        <v>208</v>
      </c>
      <c r="Q25" s="370">
        <v>207</v>
      </c>
      <c r="R25" s="492">
        <v>205</v>
      </c>
      <c r="S25" s="369">
        <f t="shared" si="9"/>
        <v>2267</v>
      </c>
      <c r="T25" s="370">
        <f t="shared" si="10"/>
        <v>1561</v>
      </c>
      <c r="U25" s="370">
        <f t="shared" si="11"/>
        <v>1360</v>
      </c>
      <c r="V25" s="492">
        <f>+F25+J25+N25+R25</f>
        <v>1345</v>
      </c>
      <c r="W25" s="526"/>
      <c r="X25" s="526"/>
      <c r="Y25" s="526"/>
      <c r="Z25" s="526"/>
      <c r="AA25" s="526"/>
      <c r="AB25" s="526"/>
      <c r="AC25" s="526"/>
    </row>
    <row r="26" spans="1:29" s="507" customFormat="1" ht="18" customHeight="1">
      <c r="A26" s="491"/>
      <c r="B26" s="343" t="s">
        <v>644</v>
      </c>
      <c r="C26" s="370">
        <v>1694</v>
      </c>
      <c r="D26" s="370">
        <v>1540</v>
      </c>
      <c r="E26" s="370">
        <f>SUM(E22:E25)</f>
        <v>1710</v>
      </c>
      <c r="F26" s="492">
        <f>SUM(F22:F25)</f>
        <v>1556</v>
      </c>
      <c r="G26" s="370">
        <v>3360</v>
      </c>
      <c r="H26" s="370">
        <v>2691</v>
      </c>
      <c r="I26" s="370">
        <f>SUM(I22:I25)</f>
        <v>2709</v>
      </c>
      <c r="J26" s="492">
        <f>SUM(J22:J25)</f>
        <v>2430</v>
      </c>
      <c r="K26" s="370">
        <v>9462</v>
      </c>
      <c r="L26" s="370">
        <v>8061</v>
      </c>
      <c r="M26" s="370">
        <f>SUM(M22:M25)</f>
        <v>6462</v>
      </c>
      <c r="N26" s="492">
        <f>SUM(N22:N25)</f>
        <v>6226</v>
      </c>
      <c r="O26" s="370">
        <v>2510</v>
      </c>
      <c r="P26" s="370">
        <v>2258</v>
      </c>
      <c r="Q26" s="370">
        <f t="shared" ref="Q26:V26" si="12">SUM(Q22:Q25)</f>
        <v>1709</v>
      </c>
      <c r="R26" s="492">
        <f t="shared" si="12"/>
        <v>1728</v>
      </c>
      <c r="S26" s="369">
        <f t="shared" si="12"/>
        <v>17026</v>
      </c>
      <c r="T26" s="370">
        <f t="shared" si="12"/>
        <v>14550</v>
      </c>
      <c r="U26" s="370">
        <f t="shared" si="12"/>
        <v>12590</v>
      </c>
      <c r="V26" s="492">
        <f t="shared" si="12"/>
        <v>11940</v>
      </c>
      <c r="W26" s="526"/>
      <c r="X26" s="526"/>
      <c r="Y26" s="526"/>
      <c r="Z26" s="526"/>
      <c r="AA26" s="526"/>
      <c r="AB26" s="526"/>
      <c r="AC26" s="526"/>
    </row>
    <row r="27" spans="1:29" s="507" customFormat="1" ht="18" customHeight="1">
      <c r="A27" s="491" t="s">
        <v>545</v>
      </c>
      <c r="B27" s="343" t="s">
        <v>838</v>
      </c>
      <c r="C27" s="370">
        <v>375</v>
      </c>
      <c r="D27" s="370">
        <v>361</v>
      </c>
      <c r="E27" s="370">
        <v>224</v>
      </c>
      <c r="F27" s="492">
        <v>235</v>
      </c>
      <c r="G27" s="370">
        <v>486</v>
      </c>
      <c r="H27" s="370">
        <v>495</v>
      </c>
      <c r="I27" s="370">
        <v>372</v>
      </c>
      <c r="J27" s="492">
        <v>413</v>
      </c>
      <c r="K27" s="370">
        <v>1260</v>
      </c>
      <c r="L27" s="370">
        <v>1164</v>
      </c>
      <c r="M27" s="370">
        <v>1110</v>
      </c>
      <c r="N27" s="492">
        <v>1002</v>
      </c>
      <c r="O27" s="370">
        <v>294</v>
      </c>
      <c r="P27" s="370">
        <v>356</v>
      </c>
      <c r="Q27" s="370">
        <v>246</v>
      </c>
      <c r="R27" s="492">
        <v>247</v>
      </c>
      <c r="S27" s="369">
        <f t="shared" si="9"/>
        <v>2415</v>
      </c>
      <c r="T27" s="370">
        <f t="shared" si="10"/>
        <v>2376</v>
      </c>
      <c r="U27" s="370">
        <f t="shared" si="11"/>
        <v>1952</v>
      </c>
      <c r="V27" s="492">
        <f>+F27+J27+N27+R27</f>
        <v>1897</v>
      </c>
      <c r="W27" s="526"/>
      <c r="X27" s="526"/>
      <c r="Y27" s="526"/>
      <c r="Z27" s="526"/>
      <c r="AA27" s="526"/>
      <c r="AB27" s="526"/>
      <c r="AC27" s="526"/>
    </row>
    <row r="28" spans="1:29" s="507" customFormat="1" ht="18" customHeight="1">
      <c r="A28" s="491"/>
      <c r="B28" s="299" t="s">
        <v>1276</v>
      </c>
      <c r="C28" s="370">
        <v>25</v>
      </c>
      <c r="D28" s="370">
        <v>27</v>
      </c>
      <c r="E28" s="370">
        <v>23</v>
      </c>
      <c r="F28" s="492">
        <v>37</v>
      </c>
      <c r="G28" s="370">
        <v>54</v>
      </c>
      <c r="H28" s="370">
        <v>34</v>
      </c>
      <c r="I28" s="370">
        <v>26</v>
      </c>
      <c r="J28" s="492">
        <v>41</v>
      </c>
      <c r="K28" s="370">
        <v>152</v>
      </c>
      <c r="L28" s="370">
        <v>147</v>
      </c>
      <c r="M28" s="370">
        <v>140</v>
      </c>
      <c r="N28" s="492">
        <v>122</v>
      </c>
      <c r="O28" s="370">
        <v>82</v>
      </c>
      <c r="P28" s="370">
        <v>122</v>
      </c>
      <c r="Q28" s="370">
        <v>91</v>
      </c>
      <c r="R28" s="492">
        <v>44</v>
      </c>
      <c r="S28" s="370">
        <f t="shared" si="10"/>
        <v>313</v>
      </c>
      <c r="T28" s="370">
        <f t="shared" si="10"/>
        <v>330</v>
      </c>
      <c r="U28" s="370">
        <f t="shared" si="11"/>
        <v>280</v>
      </c>
      <c r="V28" s="492">
        <f>+F28+J28+N28+R28</f>
        <v>244</v>
      </c>
      <c r="W28" s="526"/>
      <c r="X28" s="526"/>
      <c r="Y28" s="526"/>
      <c r="Z28" s="526"/>
      <c r="AA28" s="526"/>
      <c r="AB28" s="526"/>
      <c r="AC28" s="526"/>
    </row>
    <row r="29" spans="1:29" s="507" customFormat="1" ht="18" customHeight="1">
      <c r="A29" s="491"/>
      <c r="B29" s="299" t="s">
        <v>1285</v>
      </c>
      <c r="C29" s="370">
        <v>17</v>
      </c>
      <c r="D29" s="370">
        <v>33</v>
      </c>
      <c r="E29" s="370">
        <v>19</v>
      </c>
      <c r="F29" s="492">
        <v>10</v>
      </c>
      <c r="G29" s="370">
        <v>54</v>
      </c>
      <c r="H29" s="370">
        <v>71</v>
      </c>
      <c r="I29" s="370">
        <v>54</v>
      </c>
      <c r="J29" s="492">
        <v>24</v>
      </c>
      <c r="K29" s="370">
        <v>258</v>
      </c>
      <c r="L29" s="370">
        <v>281</v>
      </c>
      <c r="M29" s="370">
        <v>261</v>
      </c>
      <c r="N29" s="492">
        <v>249</v>
      </c>
      <c r="O29" s="370">
        <v>43</v>
      </c>
      <c r="P29" s="370">
        <v>78</v>
      </c>
      <c r="Q29" s="370">
        <v>71</v>
      </c>
      <c r="R29" s="492">
        <v>69</v>
      </c>
      <c r="S29" s="370">
        <f t="shared" si="10"/>
        <v>372</v>
      </c>
      <c r="T29" s="370">
        <f t="shared" si="10"/>
        <v>463</v>
      </c>
      <c r="U29" s="370">
        <f t="shared" si="11"/>
        <v>405</v>
      </c>
      <c r="V29" s="492">
        <f>+F29+J29+N29+R29</f>
        <v>352</v>
      </c>
      <c r="W29" s="526"/>
      <c r="X29" s="526"/>
      <c r="Y29" s="526"/>
      <c r="Z29" s="526"/>
      <c r="AA29" s="526"/>
      <c r="AB29" s="526"/>
      <c r="AC29" s="526"/>
    </row>
    <row r="30" spans="1:29" s="507" customFormat="1" ht="18" customHeight="1">
      <c r="A30" s="491"/>
      <c r="B30" s="343" t="s">
        <v>966</v>
      </c>
      <c r="C30" s="370">
        <v>332</v>
      </c>
      <c r="D30" s="370">
        <v>278</v>
      </c>
      <c r="E30" s="370">
        <v>243</v>
      </c>
      <c r="F30" s="492">
        <v>233</v>
      </c>
      <c r="G30" s="370">
        <v>1293</v>
      </c>
      <c r="H30" s="370">
        <v>1266</v>
      </c>
      <c r="I30" s="370">
        <v>1014</v>
      </c>
      <c r="J30" s="492">
        <v>1032</v>
      </c>
      <c r="K30" s="370">
        <v>2669</v>
      </c>
      <c r="L30" s="370">
        <v>2099</v>
      </c>
      <c r="M30" s="370">
        <v>2113</v>
      </c>
      <c r="N30" s="492">
        <v>2042</v>
      </c>
      <c r="O30" s="370">
        <v>309</v>
      </c>
      <c r="P30" s="370">
        <v>231</v>
      </c>
      <c r="Q30" s="370">
        <v>281</v>
      </c>
      <c r="R30" s="492">
        <v>261</v>
      </c>
      <c r="S30" s="369">
        <f t="shared" si="9"/>
        <v>4603</v>
      </c>
      <c r="T30" s="370">
        <f t="shared" si="10"/>
        <v>3874</v>
      </c>
      <c r="U30" s="370">
        <f t="shared" si="11"/>
        <v>3651</v>
      </c>
      <c r="V30" s="492">
        <f>+F30+J30+N30+R30</f>
        <v>3568</v>
      </c>
      <c r="W30" s="526"/>
      <c r="X30" s="526"/>
      <c r="Y30" s="524"/>
      <c r="Z30" s="526"/>
      <c r="AA30" s="524"/>
      <c r="AB30" s="526"/>
      <c r="AC30" s="526"/>
    </row>
    <row r="31" spans="1:29" s="507" customFormat="1" ht="18" customHeight="1">
      <c r="A31" s="491"/>
      <c r="B31" s="343" t="s">
        <v>644</v>
      </c>
      <c r="C31" s="370">
        <v>749</v>
      </c>
      <c r="D31" s="370">
        <v>699</v>
      </c>
      <c r="E31" s="370">
        <f>SUM(E27:E30)</f>
        <v>509</v>
      </c>
      <c r="F31" s="492">
        <f>SUM(F27:F30)</f>
        <v>515</v>
      </c>
      <c r="G31" s="370">
        <v>1887</v>
      </c>
      <c r="H31" s="370">
        <v>1866</v>
      </c>
      <c r="I31" s="370">
        <f>SUM(I27:I30)</f>
        <v>1466</v>
      </c>
      <c r="J31" s="492">
        <f>SUM(J27:J30)</f>
        <v>1510</v>
      </c>
      <c r="K31" s="370">
        <v>4339</v>
      </c>
      <c r="L31" s="370">
        <v>3691</v>
      </c>
      <c r="M31" s="370">
        <f>SUM(M27:M30)</f>
        <v>3624</v>
      </c>
      <c r="N31" s="492">
        <f>SUM(N27:N30)</f>
        <v>3415</v>
      </c>
      <c r="O31" s="370">
        <v>728</v>
      </c>
      <c r="P31" s="370">
        <v>787</v>
      </c>
      <c r="Q31" s="370">
        <f t="shared" ref="Q31:V31" si="13">SUM(Q27:Q30)</f>
        <v>689</v>
      </c>
      <c r="R31" s="492">
        <f t="shared" si="13"/>
        <v>621</v>
      </c>
      <c r="S31" s="369">
        <f t="shared" si="13"/>
        <v>7703</v>
      </c>
      <c r="T31" s="370">
        <f t="shared" si="13"/>
        <v>7043</v>
      </c>
      <c r="U31" s="370">
        <f t="shared" si="13"/>
        <v>6288</v>
      </c>
      <c r="V31" s="492">
        <f t="shared" si="13"/>
        <v>6061</v>
      </c>
      <c r="W31" s="526"/>
      <c r="X31" s="526"/>
      <c r="Y31" s="1214"/>
      <c r="Z31" s="1292"/>
      <c r="AA31" s="1214"/>
      <c r="AB31" s="526"/>
      <c r="AC31" s="526"/>
    </row>
    <row r="32" spans="1:29" s="507" customFormat="1" ht="18" customHeight="1">
      <c r="A32" s="491" t="s">
        <v>546</v>
      </c>
      <c r="B32" s="299" t="s">
        <v>648</v>
      </c>
      <c r="C32" s="370">
        <v>228</v>
      </c>
      <c r="D32" s="370">
        <v>176</v>
      </c>
      <c r="E32" s="370">
        <v>225</v>
      </c>
      <c r="F32" s="492">
        <v>227</v>
      </c>
      <c r="G32" s="370">
        <v>316</v>
      </c>
      <c r="H32" s="370">
        <v>368</v>
      </c>
      <c r="I32" s="370">
        <v>438</v>
      </c>
      <c r="J32" s="492">
        <v>442</v>
      </c>
      <c r="K32" s="370">
        <v>1157</v>
      </c>
      <c r="L32" s="370">
        <v>1118</v>
      </c>
      <c r="M32" s="370">
        <v>1328</v>
      </c>
      <c r="N32" s="492">
        <v>1160</v>
      </c>
      <c r="O32" s="370">
        <v>216</v>
      </c>
      <c r="P32" s="370">
        <v>220</v>
      </c>
      <c r="Q32" s="370">
        <v>242</v>
      </c>
      <c r="R32" s="492">
        <v>248</v>
      </c>
      <c r="S32" s="369">
        <f t="shared" si="9"/>
        <v>1917</v>
      </c>
      <c r="T32" s="370">
        <f t="shared" si="10"/>
        <v>1882</v>
      </c>
      <c r="U32" s="370">
        <f t="shared" si="11"/>
        <v>2233</v>
      </c>
      <c r="V32" s="492">
        <f>+F32+J32+N32+R32</f>
        <v>2077</v>
      </c>
      <c r="W32" s="526"/>
      <c r="X32" s="526"/>
      <c r="Y32" s="526"/>
      <c r="Z32" s="526"/>
      <c r="AA32" s="526"/>
      <c r="AB32" s="526"/>
      <c r="AC32" s="526"/>
    </row>
    <row r="33" spans="1:29" s="507" customFormat="1" ht="18" customHeight="1">
      <c r="A33" s="491"/>
      <c r="B33" s="299" t="s">
        <v>840</v>
      </c>
      <c r="C33" s="370">
        <v>56</v>
      </c>
      <c r="D33" s="370">
        <v>61</v>
      </c>
      <c r="E33" s="370">
        <v>44</v>
      </c>
      <c r="F33" s="492">
        <v>42</v>
      </c>
      <c r="G33" s="370">
        <v>84</v>
      </c>
      <c r="H33" s="370">
        <v>48</v>
      </c>
      <c r="I33" s="370">
        <v>61</v>
      </c>
      <c r="J33" s="492">
        <v>54</v>
      </c>
      <c r="K33" s="370">
        <v>330</v>
      </c>
      <c r="L33" s="370">
        <v>180</v>
      </c>
      <c r="M33" s="370">
        <v>214</v>
      </c>
      <c r="N33" s="492">
        <v>307</v>
      </c>
      <c r="O33" s="370">
        <v>63</v>
      </c>
      <c r="P33" s="370">
        <v>56</v>
      </c>
      <c r="Q33" s="370">
        <v>70</v>
      </c>
      <c r="R33" s="492">
        <v>127</v>
      </c>
      <c r="S33" s="369">
        <f t="shared" si="9"/>
        <v>533</v>
      </c>
      <c r="T33" s="370">
        <f t="shared" si="10"/>
        <v>345</v>
      </c>
      <c r="U33" s="370">
        <f t="shared" si="11"/>
        <v>389</v>
      </c>
      <c r="V33" s="492">
        <f>+F33+J33+N33+R33</f>
        <v>530</v>
      </c>
      <c r="W33" s="526"/>
      <c r="X33" s="526"/>
      <c r="Y33" s="526"/>
      <c r="Z33" s="526"/>
      <c r="AA33" s="526"/>
      <c r="AB33" s="526"/>
      <c r="AC33" s="526"/>
    </row>
    <row r="34" spans="1:29" s="507" customFormat="1" ht="18" customHeight="1">
      <c r="A34" s="491"/>
      <c r="B34" s="299" t="s">
        <v>1277</v>
      </c>
      <c r="C34" s="370">
        <v>30</v>
      </c>
      <c r="D34" s="370">
        <v>11</v>
      </c>
      <c r="E34" s="370">
        <v>13</v>
      </c>
      <c r="F34" s="492">
        <v>9</v>
      </c>
      <c r="G34" s="370">
        <v>19</v>
      </c>
      <c r="H34" s="370">
        <v>28</v>
      </c>
      <c r="I34" s="370">
        <v>33</v>
      </c>
      <c r="J34" s="492">
        <v>27</v>
      </c>
      <c r="K34" s="370">
        <v>129</v>
      </c>
      <c r="L34" s="370">
        <v>137</v>
      </c>
      <c r="M34" s="370">
        <v>82</v>
      </c>
      <c r="N34" s="492">
        <v>83</v>
      </c>
      <c r="O34" s="370">
        <v>44</v>
      </c>
      <c r="P34" s="370">
        <v>30</v>
      </c>
      <c r="Q34" s="370">
        <v>28</v>
      </c>
      <c r="R34" s="492">
        <v>24</v>
      </c>
      <c r="S34" s="370">
        <f t="shared" si="10"/>
        <v>222</v>
      </c>
      <c r="T34" s="370">
        <f t="shared" si="10"/>
        <v>206</v>
      </c>
      <c r="U34" s="370">
        <f t="shared" si="11"/>
        <v>156</v>
      </c>
      <c r="V34" s="492">
        <f>+F34+J34+N34+R34</f>
        <v>143</v>
      </c>
      <c r="W34" s="526"/>
      <c r="X34" s="526"/>
      <c r="Y34" s="526"/>
      <c r="Z34" s="526"/>
      <c r="AA34" s="526"/>
      <c r="AB34" s="526"/>
      <c r="AC34" s="526"/>
    </row>
    <row r="35" spans="1:29" s="507" customFormat="1" ht="18" customHeight="1">
      <c r="A35" s="491"/>
      <c r="B35" s="343" t="s">
        <v>644</v>
      </c>
      <c r="C35" s="370">
        <v>314</v>
      </c>
      <c r="D35" s="370">
        <v>248</v>
      </c>
      <c r="E35" s="370">
        <f>SUM(E32:E34)</f>
        <v>282</v>
      </c>
      <c r="F35" s="492">
        <f>SUM(F32:F34)</f>
        <v>278</v>
      </c>
      <c r="G35" s="370">
        <v>419</v>
      </c>
      <c r="H35" s="370">
        <v>444</v>
      </c>
      <c r="I35" s="370">
        <f>SUM(I32:I34)</f>
        <v>532</v>
      </c>
      <c r="J35" s="492">
        <f>SUM(J32:J34)</f>
        <v>523</v>
      </c>
      <c r="K35" s="370">
        <v>1616</v>
      </c>
      <c r="L35" s="370">
        <v>1435</v>
      </c>
      <c r="M35" s="370">
        <f>SUM(M32:M34)</f>
        <v>1624</v>
      </c>
      <c r="N35" s="492">
        <f>SUM(N32:N34)</f>
        <v>1550</v>
      </c>
      <c r="O35" s="370">
        <v>323</v>
      </c>
      <c r="P35" s="370">
        <v>306</v>
      </c>
      <c r="Q35" s="370">
        <f t="shared" ref="Q35:V35" si="14">SUM(Q32:Q34)</f>
        <v>340</v>
      </c>
      <c r="R35" s="492">
        <f t="shared" si="14"/>
        <v>399</v>
      </c>
      <c r="S35" s="370">
        <f t="shared" si="14"/>
        <v>2672</v>
      </c>
      <c r="T35" s="370">
        <f t="shared" si="14"/>
        <v>2433</v>
      </c>
      <c r="U35" s="370">
        <f t="shared" si="14"/>
        <v>2778</v>
      </c>
      <c r="V35" s="492">
        <f t="shared" si="14"/>
        <v>2750</v>
      </c>
      <c r="W35" s="526"/>
      <c r="X35" s="526"/>
      <c r="Y35" s="526"/>
      <c r="Z35" s="526"/>
      <c r="AA35" s="526"/>
      <c r="AB35" s="526"/>
      <c r="AC35" s="526"/>
    </row>
    <row r="36" spans="1:29" s="507" customFormat="1" ht="18" customHeight="1">
      <c r="A36" s="491" t="s">
        <v>547</v>
      </c>
      <c r="B36" s="343" t="s">
        <v>841</v>
      </c>
      <c r="C36" s="370">
        <v>127</v>
      </c>
      <c r="D36" s="370">
        <v>130</v>
      </c>
      <c r="E36" s="370">
        <v>171</v>
      </c>
      <c r="F36" s="492">
        <v>139</v>
      </c>
      <c r="G36" s="370">
        <v>197</v>
      </c>
      <c r="H36" s="370">
        <v>181</v>
      </c>
      <c r="I36" s="370">
        <v>245</v>
      </c>
      <c r="J36" s="492">
        <v>176</v>
      </c>
      <c r="K36" s="370">
        <v>549</v>
      </c>
      <c r="L36" s="370">
        <v>560</v>
      </c>
      <c r="M36" s="370">
        <v>566</v>
      </c>
      <c r="N36" s="492">
        <v>616</v>
      </c>
      <c r="O36" s="370">
        <v>87</v>
      </c>
      <c r="P36" s="370">
        <v>147</v>
      </c>
      <c r="Q36" s="370">
        <v>139</v>
      </c>
      <c r="R36" s="492">
        <v>161</v>
      </c>
      <c r="S36" s="369">
        <f t="shared" si="9"/>
        <v>960</v>
      </c>
      <c r="T36" s="370">
        <f t="shared" si="10"/>
        <v>1018</v>
      </c>
      <c r="U36" s="370">
        <f t="shared" si="11"/>
        <v>1121</v>
      </c>
      <c r="V36" s="492">
        <f>+F36+J36+N36+R36</f>
        <v>1092</v>
      </c>
      <c r="W36" s="526"/>
      <c r="X36" s="526"/>
      <c r="Y36" s="526"/>
      <c r="Z36" s="526"/>
      <c r="AA36" s="526"/>
      <c r="AB36" s="526"/>
      <c r="AC36" s="526"/>
    </row>
    <row r="37" spans="1:29" s="507" customFormat="1" ht="18" customHeight="1">
      <c r="A37" s="491" t="s">
        <v>967</v>
      </c>
      <c r="B37" s="343" t="s">
        <v>842</v>
      </c>
      <c r="C37" s="370">
        <v>491</v>
      </c>
      <c r="D37" s="370">
        <v>452</v>
      </c>
      <c r="E37" s="370">
        <v>433</v>
      </c>
      <c r="F37" s="492">
        <v>502</v>
      </c>
      <c r="G37" s="370">
        <v>644</v>
      </c>
      <c r="H37" s="370">
        <v>441</v>
      </c>
      <c r="I37" s="370">
        <v>548</v>
      </c>
      <c r="J37" s="492">
        <v>559</v>
      </c>
      <c r="K37" s="370">
        <v>1950</v>
      </c>
      <c r="L37" s="370">
        <v>1851</v>
      </c>
      <c r="M37" s="370">
        <v>1360</v>
      </c>
      <c r="N37" s="492">
        <v>1325</v>
      </c>
      <c r="O37" s="370">
        <v>298</v>
      </c>
      <c r="P37" s="370">
        <v>347</v>
      </c>
      <c r="Q37" s="370">
        <v>328</v>
      </c>
      <c r="R37" s="492">
        <v>332</v>
      </c>
      <c r="S37" s="369">
        <f t="shared" si="9"/>
        <v>3383</v>
      </c>
      <c r="T37" s="370">
        <f t="shared" si="10"/>
        <v>3091</v>
      </c>
      <c r="U37" s="370">
        <f t="shared" si="11"/>
        <v>2669</v>
      </c>
      <c r="V37" s="492">
        <f>+F37+J37+N37+R37</f>
        <v>2718</v>
      </c>
      <c r="W37" s="526"/>
      <c r="X37" s="526"/>
      <c r="Y37" s="526"/>
      <c r="Z37" s="526"/>
      <c r="AA37" s="526"/>
      <c r="AB37" s="526"/>
      <c r="AC37" s="526"/>
    </row>
    <row r="38" spans="1:29" s="507" customFormat="1" ht="18" customHeight="1">
      <c r="A38" s="491" t="s">
        <v>549</v>
      </c>
      <c r="B38" s="299" t="s">
        <v>843</v>
      </c>
      <c r="C38" s="370">
        <v>318</v>
      </c>
      <c r="D38" s="370">
        <v>367</v>
      </c>
      <c r="E38" s="370">
        <v>356</v>
      </c>
      <c r="F38" s="492">
        <v>280</v>
      </c>
      <c r="G38" s="370">
        <v>579</v>
      </c>
      <c r="H38" s="370">
        <v>613</v>
      </c>
      <c r="I38" s="370">
        <v>596</v>
      </c>
      <c r="J38" s="492">
        <v>573</v>
      </c>
      <c r="K38" s="370">
        <v>842</v>
      </c>
      <c r="L38" s="370">
        <v>808</v>
      </c>
      <c r="M38" s="370">
        <v>1004</v>
      </c>
      <c r="N38" s="492">
        <v>964</v>
      </c>
      <c r="O38" s="370">
        <v>166</v>
      </c>
      <c r="P38" s="370">
        <v>165</v>
      </c>
      <c r="Q38" s="370">
        <v>148</v>
      </c>
      <c r="R38" s="492">
        <v>223</v>
      </c>
      <c r="S38" s="369">
        <f t="shared" si="9"/>
        <v>1905</v>
      </c>
      <c r="T38" s="370">
        <f t="shared" si="10"/>
        <v>1953</v>
      </c>
      <c r="U38" s="370">
        <f t="shared" si="11"/>
        <v>2104</v>
      </c>
      <c r="V38" s="492">
        <f>+F38+J38+N38+R38</f>
        <v>2040</v>
      </c>
      <c r="W38" s="526"/>
      <c r="X38" s="526"/>
      <c r="Y38" s="526"/>
      <c r="Z38" s="526"/>
      <c r="AA38" s="526"/>
      <c r="AB38" s="526"/>
      <c r="AC38" s="526"/>
    </row>
    <row r="39" spans="1:29" s="507" customFormat="1" ht="18" customHeight="1">
      <c r="A39" s="491"/>
      <c r="B39" s="299" t="s">
        <v>1270</v>
      </c>
      <c r="C39" s="370">
        <v>31</v>
      </c>
      <c r="D39" s="370">
        <v>63</v>
      </c>
      <c r="E39" s="370">
        <v>45</v>
      </c>
      <c r="F39" s="492">
        <v>44</v>
      </c>
      <c r="G39" s="370">
        <v>24</v>
      </c>
      <c r="H39" s="370">
        <v>46</v>
      </c>
      <c r="I39" s="370">
        <v>53</v>
      </c>
      <c r="J39" s="492">
        <v>25</v>
      </c>
      <c r="K39" s="370">
        <v>71</v>
      </c>
      <c r="L39" s="370">
        <v>109</v>
      </c>
      <c r="M39" s="370">
        <v>106</v>
      </c>
      <c r="N39" s="492">
        <v>111</v>
      </c>
      <c r="O39" s="370">
        <v>11</v>
      </c>
      <c r="P39" s="370">
        <v>15</v>
      </c>
      <c r="Q39" s="370">
        <v>8</v>
      </c>
      <c r="R39" s="492">
        <v>22</v>
      </c>
      <c r="S39" s="370">
        <f t="shared" si="10"/>
        <v>137</v>
      </c>
      <c r="T39" s="370">
        <f t="shared" si="10"/>
        <v>233</v>
      </c>
      <c r="U39" s="370">
        <f t="shared" si="11"/>
        <v>212</v>
      </c>
      <c r="V39" s="492">
        <f>+F39+J39+N39+R39</f>
        <v>202</v>
      </c>
      <c r="W39" s="526"/>
      <c r="X39" s="526"/>
      <c r="Y39" s="526"/>
      <c r="Z39" s="526"/>
      <c r="AA39" s="526"/>
      <c r="AB39" s="526"/>
      <c r="AC39" s="526"/>
    </row>
    <row r="40" spans="1:29" s="507" customFormat="1" ht="18" customHeight="1">
      <c r="A40" s="491"/>
      <c r="B40" s="343" t="s">
        <v>644</v>
      </c>
      <c r="C40" s="370">
        <f>SUM(C38:C39)</f>
        <v>349</v>
      </c>
      <c r="D40" s="370">
        <f>SUM(D38:D39)</f>
        <v>430</v>
      </c>
      <c r="E40" s="370">
        <f>SUM(E38:E39)</f>
        <v>401</v>
      </c>
      <c r="F40" s="492">
        <f>SUM(F38:F39)</f>
        <v>324</v>
      </c>
      <c r="G40" s="370">
        <f t="shared" ref="G40:I40" si="15">SUM(G38:G39)</f>
        <v>603</v>
      </c>
      <c r="H40" s="370">
        <f t="shared" si="15"/>
        <v>659</v>
      </c>
      <c r="I40" s="370">
        <f t="shared" si="15"/>
        <v>649</v>
      </c>
      <c r="J40" s="492">
        <f t="shared" ref="J40:M40" si="16">SUM(J38:J39)</f>
        <v>598</v>
      </c>
      <c r="K40" s="370">
        <f t="shared" si="16"/>
        <v>913</v>
      </c>
      <c r="L40" s="370">
        <f t="shared" si="16"/>
        <v>917</v>
      </c>
      <c r="M40" s="370">
        <f t="shared" si="16"/>
        <v>1110</v>
      </c>
      <c r="N40" s="492">
        <f t="shared" ref="N40:Q40" si="17">SUM(N38:N39)</f>
        <v>1075</v>
      </c>
      <c r="O40" s="370">
        <f t="shared" si="17"/>
        <v>177</v>
      </c>
      <c r="P40" s="370">
        <f t="shared" si="17"/>
        <v>180</v>
      </c>
      <c r="Q40" s="370">
        <f t="shared" si="17"/>
        <v>156</v>
      </c>
      <c r="R40" s="492">
        <f t="shared" ref="R40" si="18">SUM(R38:R39)</f>
        <v>245</v>
      </c>
      <c r="S40" s="370">
        <f t="shared" ref="S40:V40" si="19">SUM(S38:S39)</f>
        <v>2042</v>
      </c>
      <c r="T40" s="370">
        <f t="shared" si="19"/>
        <v>2186</v>
      </c>
      <c r="U40" s="370">
        <f t="shared" si="19"/>
        <v>2316</v>
      </c>
      <c r="V40" s="492">
        <f t="shared" si="19"/>
        <v>2242</v>
      </c>
      <c r="W40" s="526"/>
      <c r="X40" s="526"/>
      <c r="Y40" s="526"/>
      <c r="Z40" s="526"/>
      <c r="AA40" s="526"/>
      <c r="AB40" s="526"/>
      <c r="AC40" s="526"/>
    </row>
    <row r="41" spans="1:29" s="507" customFormat="1" ht="18" customHeight="1">
      <c r="A41" s="501" t="s">
        <v>968</v>
      </c>
      <c r="B41" s="510"/>
      <c r="C41" s="499">
        <f>+C26+C31+C35+C36+C37+C40</f>
        <v>3724</v>
      </c>
      <c r="D41" s="499">
        <f>+D26+D31+D35+D36+D37+D40</f>
        <v>3499</v>
      </c>
      <c r="E41" s="499">
        <f>+E26+E31+E35+E36+E37+E40</f>
        <v>3506</v>
      </c>
      <c r="F41" s="500">
        <f>+F26+F31+F35+F36+F37+F40</f>
        <v>3314</v>
      </c>
      <c r="G41" s="499">
        <f t="shared" ref="G41:R41" si="20">+G26+G31+G35+G36+G37+G40</f>
        <v>7110</v>
      </c>
      <c r="H41" s="499">
        <f t="shared" si="20"/>
        <v>6282</v>
      </c>
      <c r="I41" s="499">
        <f t="shared" si="20"/>
        <v>6149</v>
      </c>
      <c r="J41" s="500">
        <f t="shared" si="20"/>
        <v>5796</v>
      </c>
      <c r="K41" s="499">
        <f t="shared" si="20"/>
        <v>18829</v>
      </c>
      <c r="L41" s="499">
        <f t="shared" si="20"/>
        <v>16515</v>
      </c>
      <c r="M41" s="499">
        <f t="shared" si="20"/>
        <v>14746</v>
      </c>
      <c r="N41" s="500">
        <f t="shared" si="20"/>
        <v>14207</v>
      </c>
      <c r="O41" s="499">
        <f t="shared" si="20"/>
        <v>4123</v>
      </c>
      <c r="P41" s="499">
        <f t="shared" si="20"/>
        <v>4025</v>
      </c>
      <c r="Q41" s="499">
        <f t="shared" si="20"/>
        <v>3361</v>
      </c>
      <c r="R41" s="500">
        <f t="shared" si="20"/>
        <v>3486</v>
      </c>
      <c r="S41" s="499">
        <f>+S26+S31+S35+S36+S37+S40</f>
        <v>33786</v>
      </c>
      <c r="T41" s="499">
        <f>+T26+T31+T35+T36+T37+T40</f>
        <v>30321</v>
      </c>
      <c r="U41" s="499">
        <f>+U26+U31+U35+U36+U37+U40</f>
        <v>27762</v>
      </c>
      <c r="V41" s="500">
        <f>+V26+V31+V35+V36+V37+V40</f>
        <v>26803</v>
      </c>
      <c r="W41" s="527"/>
      <c r="X41" s="525"/>
      <c r="Y41" s="527"/>
      <c r="Z41" s="525"/>
      <c r="AA41" s="527"/>
      <c r="AB41" s="526"/>
      <c r="AC41" s="526"/>
    </row>
    <row r="42" spans="1:29" s="507" customFormat="1" ht="18" customHeight="1">
      <c r="A42" s="1407" t="s">
        <v>656</v>
      </c>
      <c r="B42" s="1408"/>
      <c r="C42" s="502">
        <f t="shared" ref="C42:V42" si="21">+C21+C41</f>
        <v>5107</v>
      </c>
      <c r="D42" s="503">
        <f t="shared" si="21"/>
        <v>4960</v>
      </c>
      <c r="E42" s="503">
        <f t="shared" si="21"/>
        <v>4791</v>
      </c>
      <c r="F42" s="504">
        <f t="shared" si="21"/>
        <v>4698</v>
      </c>
      <c r="G42" s="503">
        <f t="shared" si="21"/>
        <v>9439</v>
      </c>
      <c r="H42" s="503">
        <f t="shared" si="21"/>
        <v>8650</v>
      </c>
      <c r="I42" s="503">
        <f t="shared" si="21"/>
        <v>8568</v>
      </c>
      <c r="J42" s="504">
        <f t="shared" si="21"/>
        <v>8045</v>
      </c>
      <c r="K42" s="503">
        <f t="shared" si="21"/>
        <v>24631</v>
      </c>
      <c r="L42" s="503">
        <f t="shared" si="21"/>
        <v>22346</v>
      </c>
      <c r="M42" s="503">
        <f t="shared" si="21"/>
        <v>21154</v>
      </c>
      <c r="N42" s="504">
        <f t="shared" si="21"/>
        <v>19968</v>
      </c>
      <c r="O42" s="503">
        <f t="shared" si="21"/>
        <v>5174</v>
      </c>
      <c r="P42" s="503">
        <f t="shared" si="21"/>
        <v>5088</v>
      </c>
      <c r="Q42" s="503">
        <f t="shared" si="21"/>
        <v>4500</v>
      </c>
      <c r="R42" s="504">
        <f t="shared" si="21"/>
        <v>4725</v>
      </c>
      <c r="S42" s="502">
        <f t="shared" si="21"/>
        <v>44351</v>
      </c>
      <c r="T42" s="503">
        <f t="shared" si="21"/>
        <v>41044</v>
      </c>
      <c r="U42" s="503">
        <f t="shared" si="21"/>
        <v>39013</v>
      </c>
      <c r="V42" s="504">
        <f t="shared" si="21"/>
        <v>37436</v>
      </c>
      <c r="W42" s="511"/>
      <c r="X42" s="518"/>
      <c r="Y42" s="511"/>
      <c r="Z42" s="525"/>
      <c r="AA42" s="511"/>
    </row>
    <row r="43" spans="1:29" s="507" customFormat="1" ht="18" customHeight="1">
      <c r="C43" s="517"/>
      <c r="D43" s="517"/>
      <c r="E43" s="517"/>
      <c r="F43" s="517"/>
      <c r="G43" s="517"/>
      <c r="H43" s="517"/>
      <c r="I43" s="517"/>
      <c r="J43" s="517"/>
      <c r="K43" s="517"/>
      <c r="L43" s="517"/>
      <c r="M43" s="517"/>
      <c r="N43" s="517"/>
      <c r="O43" s="517"/>
      <c r="P43" s="517"/>
      <c r="Q43" s="517"/>
      <c r="R43" s="517"/>
      <c r="S43" s="517"/>
      <c r="T43" s="517"/>
      <c r="U43" s="517"/>
      <c r="V43" s="517"/>
      <c r="X43" s="517"/>
      <c r="Y43" s="517"/>
      <c r="Z43" s="517"/>
    </row>
    <row r="44" spans="1:29">
      <c r="B44" s="208"/>
      <c r="C44" s="521"/>
      <c r="D44" s="521"/>
      <c r="E44" s="521"/>
      <c r="F44" s="521"/>
      <c r="G44" s="521"/>
      <c r="H44" s="521"/>
      <c r="I44" s="521"/>
      <c r="J44" s="521"/>
      <c r="K44" s="521"/>
      <c r="L44" s="521"/>
      <c r="M44" s="521"/>
      <c r="N44" s="521"/>
      <c r="O44" s="521"/>
      <c r="P44" s="521"/>
      <c r="Q44" s="521"/>
      <c r="R44" s="521"/>
      <c r="S44" s="521"/>
      <c r="T44" s="521"/>
      <c r="U44" s="521"/>
      <c r="V44" s="521"/>
      <c r="W44" s="521"/>
      <c r="X44" s="521"/>
    </row>
    <row r="45" spans="1:29">
      <c r="B45" s="208"/>
      <c r="C45" s="521"/>
      <c r="D45" s="521"/>
      <c r="E45" s="521"/>
      <c r="F45" s="521"/>
      <c r="G45" s="521"/>
      <c r="H45" s="521"/>
      <c r="I45" s="521"/>
      <c r="J45" s="521"/>
      <c r="K45" s="521"/>
      <c r="L45" s="521"/>
      <c r="M45" s="521"/>
      <c r="N45" s="521"/>
      <c r="O45" s="521"/>
      <c r="P45" s="521"/>
      <c r="Q45" s="521"/>
      <c r="R45" s="521"/>
      <c r="S45" s="521"/>
      <c r="T45" s="521"/>
      <c r="U45" s="521"/>
      <c r="V45" s="521"/>
      <c r="W45" s="521"/>
    </row>
    <row r="46" spans="1:29">
      <c r="C46" s="521"/>
      <c r="D46" s="521"/>
      <c r="E46" s="521"/>
      <c r="F46" s="521"/>
      <c r="G46" s="521"/>
      <c r="H46" s="521"/>
      <c r="I46" s="521"/>
      <c r="J46" s="521"/>
      <c r="K46" s="521"/>
      <c r="L46" s="521"/>
      <c r="M46" s="521"/>
      <c r="N46" s="521"/>
      <c r="O46" s="521"/>
      <c r="P46" s="521"/>
      <c r="Q46" s="521"/>
      <c r="R46" s="521"/>
      <c r="S46" s="521"/>
      <c r="T46" s="521"/>
      <c r="U46" s="521"/>
      <c r="V46" s="521"/>
    </row>
    <row r="47" spans="1:29">
      <c r="C47" s="521"/>
      <c r="D47" s="521"/>
      <c r="E47" s="521"/>
      <c r="F47" s="521"/>
      <c r="G47" s="521"/>
      <c r="H47" s="521"/>
      <c r="I47" s="521"/>
      <c r="J47" s="521"/>
      <c r="K47" s="521"/>
      <c r="L47" s="521"/>
      <c r="M47" s="521"/>
      <c r="N47" s="521"/>
      <c r="O47" s="521"/>
      <c r="P47" s="521"/>
      <c r="Q47" s="521"/>
      <c r="R47" s="521"/>
      <c r="S47" s="521"/>
      <c r="T47" s="521"/>
      <c r="U47" s="521"/>
      <c r="V47" s="521"/>
    </row>
    <row r="48" spans="1:29">
      <c r="C48" s="521"/>
      <c r="D48" s="521"/>
      <c r="E48" s="521"/>
      <c r="F48" s="521"/>
      <c r="G48" s="521"/>
      <c r="H48" s="521"/>
      <c r="I48" s="521"/>
      <c r="J48" s="521"/>
      <c r="K48" s="521"/>
      <c r="L48" s="521"/>
      <c r="M48" s="521"/>
      <c r="N48" s="521"/>
      <c r="O48" s="521"/>
      <c r="P48" s="521"/>
      <c r="Q48" s="521"/>
      <c r="R48" s="521"/>
      <c r="S48" s="521"/>
      <c r="T48" s="521"/>
      <c r="U48" s="521"/>
      <c r="V48" s="521"/>
    </row>
    <row r="49" spans="3:22">
      <c r="C49" s="521"/>
      <c r="D49" s="521"/>
      <c r="E49" s="521"/>
      <c r="F49" s="521"/>
      <c r="G49" s="521"/>
      <c r="H49" s="521"/>
      <c r="I49" s="521"/>
      <c r="J49" s="521"/>
      <c r="K49" s="521"/>
      <c r="L49" s="521"/>
      <c r="M49" s="521"/>
      <c r="N49" s="521"/>
      <c r="O49" s="521"/>
      <c r="P49" s="521"/>
      <c r="Q49" s="521"/>
      <c r="R49" s="521"/>
      <c r="S49" s="521"/>
      <c r="T49" s="521"/>
      <c r="U49" s="521"/>
      <c r="V49" s="521"/>
    </row>
    <row r="50" spans="3:22">
      <c r="C50" s="521"/>
      <c r="D50" s="521"/>
      <c r="E50" s="521"/>
      <c r="F50" s="521"/>
      <c r="G50" s="521"/>
      <c r="H50" s="521"/>
      <c r="I50" s="521"/>
      <c r="J50" s="521"/>
      <c r="K50" s="521"/>
      <c r="L50" s="521"/>
      <c r="M50" s="521"/>
      <c r="N50" s="521"/>
      <c r="O50" s="521"/>
      <c r="P50" s="521"/>
      <c r="Q50" s="521"/>
      <c r="R50" s="521"/>
      <c r="S50" s="521"/>
      <c r="T50" s="521"/>
      <c r="U50" s="521"/>
      <c r="V50" s="521"/>
    </row>
  </sheetData>
  <mergeCells count="9">
    <mergeCell ref="O6:R6"/>
    <mergeCell ref="S6:V6"/>
    <mergeCell ref="A42:B42"/>
    <mergeCell ref="A1:V1"/>
    <mergeCell ref="A2:V2"/>
    <mergeCell ref="A3:V3"/>
    <mergeCell ref="C6:F6"/>
    <mergeCell ref="G6:J6"/>
    <mergeCell ref="K6:N6"/>
  </mergeCells>
  <phoneticPr fontId="19" type="noConversion"/>
  <pageMargins left="1.5748031496062993" right="0.78740157480314965" top="1.1811023622047245" bottom="0.59055118110236227" header="0" footer="0"/>
  <pageSetup paperSize="5" scale="70" orientation="landscape" horizontalDpi="300"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31"/>
  <sheetViews>
    <sheetView topLeftCell="T26" workbookViewId="0">
      <selection activeCell="AK15" sqref="AK15"/>
    </sheetView>
  </sheetViews>
  <sheetFormatPr baseColWidth="10" defaultColWidth="11.42578125" defaultRowHeight="12"/>
  <cols>
    <col min="1" max="1" width="12.7109375" style="398" customWidth="1"/>
    <col min="2" max="2" width="17.85546875" style="398" customWidth="1"/>
    <col min="3" max="22" width="7.140625" style="398" customWidth="1"/>
    <col min="23" max="23" width="6.42578125" style="398" customWidth="1"/>
    <col min="24" max="24" width="7.42578125" style="398" customWidth="1"/>
    <col min="25" max="25" width="6.5703125" style="398" customWidth="1"/>
    <col min="26" max="34" width="6.28515625" style="398" customWidth="1"/>
    <col min="35" max="60" width="7.140625" style="398" customWidth="1"/>
    <col min="61" max="16384" width="11.42578125" style="398"/>
  </cols>
  <sheetData>
    <row r="1" spans="1:38">
      <c r="A1" s="1393" t="s">
        <v>980</v>
      </c>
      <c r="B1" s="1393"/>
      <c r="C1" s="1393"/>
      <c r="D1" s="1393"/>
      <c r="E1" s="1393"/>
      <c r="F1" s="1393"/>
      <c r="G1" s="1393"/>
      <c r="H1" s="1393"/>
      <c r="I1" s="1393"/>
      <c r="J1" s="1393"/>
      <c r="K1" s="1393"/>
      <c r="L1" s="1393"/>
      <c r="M1" s="1393"/>
      <c r="N1" s="1393"/>
      <c r="O1" s="1393"/>
      <c r="P1" s="1393"/>
      <c r="Q1" s="1393"/>
      <c r="R1" s="1393"/>
      <c r="S1" s="1393"/>
      <c r="T1" s="1393"/>
      <c r="U1" s="1393"/>
      <c r="V1" s="1393"/>
      <c r="W1" s="1393"/>
      <c r="X1" s="1393"/>
      <c r="Y1" s="1393"/>
      <c r="Z1" s="1393"/>
      <c r="AA1" s="1393"/>
      <c r="AB1" s="1393"/>
      <c r="AC1" s="1393"/>
      <c r="AD1" s="1393"/>
      <c r="AE1" s="1393"/>
      <c r="AF1" s="1393"/>
      <c r="AG1" s="1393"/>
      <c r="AH1" s="1393"/>
      <c r="AI1" s="1393"/>
      <c r="AJ1" s="1393"/>
      <c r="AK1" s="1393"/>
      <c r="AL1" s="1393"/>
    </row>
    <row r="2" spans="1:38">
      <c r="A2" s="1393" t="s">
        <v>1330</v>
      </c>
      <c r="B2" s="1411"/>
      <c r="C2" s="1411"/>
      <c r="D2" s="1411"/>
      <c r="E2" s="1411"/>
      <c r="F2" s="1411"/>
      <c r="G2" s="1411"/>
      <c r="H2" s="1411"/>
      <c r="I2" s="1411"/>
      <c r="J2" s="1411"/>
      <c r="K2" s="1411"/>
      <c r="L2" s="1411"/>
      <c r="M2" s="1411"/>
      <c r="N2" s="1411"/>
      <c r="O2" s="1411"/>
      <c r="P2" s="1411"/>
      <c r="Q2" s="1411"/>
      <c r="R2" s="1411"/>
      <c r="S2" s="1411"/>
      <c r="T2" s="1411"/>
      <c r="U2" s="1411"/>
      <c r="V2" s="1411"/>
      <c r="W2" s="1411"/>
      <c r="X2" s="1411"/>
      <c r="Y2" s="1411"/>
      <c r="Z2" s="1411"/>
      <c r="AA2" s="1411"/>
      <c r="AB2" s="1411"/>
      <c r="AC2" s="1411"/>
      <c r="AD2" s="1411"/>
      <c r="AE2" s="1411"/>
      <c r="AF2" s="1411"/>
      <c r="AG2" s="1411"/>
      <c r="AH2" s="1411"/>
      <c r="AI2" s="1411"/>
      <c r="AJ2" s="1411"/>
      <c r="AK2" s="1411"/>
      <c r="AL2" s="1411"/>
    </row>
    <row r="3" spans="1:38">
      <c r="A3" s="1411" t="str">
        <f>+'47'!A3:V3</f>
        <v>2012 - 2015</v>
      </c>
      <c r="B3" s="1411"/>
      <c r="C3" s="1411"/>
      <c r="D3" s="1411"/>
      <c r="E3" s="1411"/>
      <c r="F3" s="1411"/>
      <c r="G3" s="1411"/>
      <c r="H3" s="1411"/>
      <c r="I3" s="1411"/>
      <c r="J3" s="1411"/>
      <c r="K3" s="1411"/>
      <c r="L3" s="1411"/>
      <c r="M3" s="1411"/>
      <c r="N3" s="1411"/>
      <c r="O3" s="1411"/>
      <c r="P3" s="1411"/>
      <c r="Q3" s="1411"/>
      <c r="R3" s="1411"/>
      <c r="S3" s="1411"/>
      <c r="T3" s="1411"/>
      <c r="U3" s="1411"/>
      <c r="V3" s="1411"/>
      <c r="W3" s="1411"/>
      <c r="X3" s="1411"/>
      <c r="Y3" s="1411"/>
      <c r="Z3" s="1411"/>
      <c r="AA3" s="1411"/>
      <c r="AB3" s="1411"/>
      <c r="AC3" s="1411"/>
      <c r="AD3" s="1411"/>
      <c r="AE3" s="1411"/>
      <c r="AF3" s="1411"/>
      <c r="AG3" s="1411"/>
      <c r="AH3" s="1411"/>
      <c r="AI3" s="1411"/>
      <c r="AJ3" s="1411"/>
      <c r="AK3" s="1411"/>
      <c r="AL3" s="1411"/>
    </row>
    <row r="6" spans="1:38" s="507" customFormat="1" ht="20.25" customHeight="1">
      <c r="A6" s="1184" t="s">
        <v>554</v>
      </c>
      <c r="B6" s="506" t="s">
        <v>866</v>
      </c>
      <c r="C6" s="1385" t="s">
        <v>975</v>
      </c>
      <c r="D6" s="1385"/>
      <c r="E6" s="1385"/>
      <c r="F6" s="1385"/>
      <c r="G6" s="1388" t="s">
        <v>976</v>
      </c>
      <c r="H6" s="1389"/>
      <c r="I6" s="1385"/>
      <c r="J6" s="1390"/>
      <c r="K6" s="1389" t="s">
        <v>981</v>
      </c>
      <c r="L6" s="1389"/>
      <c r="M6" s="1389"/>
      <c r="N6" s="1389"/>
      <c r="O6" s="1388" t="s">
        <v>977</v>
      </c>
      <c r="P6" s="1389"/>
      <c r="Q6" s="1389"/>
      <c r="R6" s="1390"/>
      <c r="S6" s="1389" t="s">
        <v>982</v>
      </c>
      <c r="T6" s="1389"/>
      <c r="U6" s="1389"/>
      <c r="V6" s="1390"/>
      <c r="W6" s="1389" t="s">
        <v>983</v>
      </c>
      <c r="X6" s="1389"/>
      <c r="Y6" s="1389"/>
      <c r="Z6" s="1389"/>
      <c r="AA6" s="1412" t="s">
        <v>984</v>
      </c>
      <c r="AB6" s="1413"/>
      <c r="AC6" s="1413"/>
      <c r="AD6" s="1414"/>
      <c r="AE6" s="1415" t="s">
        <v>1321</v>
      </c>
      <c r="AF6" s="1416"/>
      <c r="AG6" s="1416"/>
      <c r="AH6" s="1417"/>
      <c r="AI6" s="1388" t="s">
        <v>535</v>
      </c>
      <c r="AJ6" s="1389"/>
      <c r="AK6" s="1389"/>
      <c r="AL6" s="1390"/>
    </row>
    <row r="7" spans="1:38" s="507" customFormat="1" ht="20.25" customHeight="1">
      <c r="A7" s="487"/>
      <c r="B7" s="487"/>
      <c r="C7" s="1181">
        <f>+'47'!C7</f>
        <v>2012</v>
      </c>
      <c r="D7" s="1182">
        <f>+'47'!D7</f>
        <v>2013</v>
      </c>
      <c r="E7" s="1182">
        <f>+'47'!E7</f>
        <v>2014</v>
      </c>
      <c r="F7" s="1183">
        <f>+'47'!F7</f>
        <v>2015</v>
      </c>
      <c r="G7" s="1182">
        <f>+'47'!G7</f>
        <v>2012</v>
      </c>
      <c r="H7" s="1182">
        <f>+'47'!H7</f>
        <v>2013</v>
      </c>
      <c r="I7" s="1182">
        <f>+'47'!I7</f>
        <v>2014</v>
      </c>
      <c r="J7" s="1182">
        <f>+'47'!J7</f>
        <v>2015</v>
      </c>
      <c r="K7" s="1181">
        <f>+'47'!K7</f>
        <v>2012</v>
      </c>
      <c r="L7" s="1182">
        <f>+'47'!L7</f>
        <v>2013</v>
      </c>
      <c r="M7" s="1182">
        <f>+'47'!M7</f>
        <v>2014</v>
      </c>
      <c r="N7" s="1183">
        <f>+'47'!N7</f>
        <v>2015</v>
      </c>
      <c r="O7" s="1182">
        <f>+'47'!K7</f>
        <v>2012</v>
      </c>
      <c r="P7" s="1182">
        <f>+'47'!L7</f>
        <v>2013</v>
      </c>
      <c r="Q7" s="1182">
        <f>+'47'!M7</f>
        <v>2014</v>
      </c>
      <c r="R7" s="1182">
        <f>+'47'!N7</f>
        <v>2015</v>
      </c>
      <c r="S7" s="1181">
        <f>+'47'!O7</f>
        <v>2012</v>
      </c>
      <c r="T7" s="1182">
        <f>+'47'!P7</f>
        <v>2013</v>
      </c>
      <c r="U7" s="1182">
        <f>+'47'!Q7</f>
        <v>2014</v>
      </c>
      <c r="V7" s="1183">
        <f>+'47'!R7</f>
        <v>2015</v>
      </c>
      <c r="W7" s="1182">
        <f>+'47'!S7</f>
        <v>2012</v>
      </c>
      <c r="X7" s="1182">
        <f>+'47'!T7</f>
        <v>2013</v>
      </c>
      <c r="Y7" s="1182">
        <f>+'47'!U7</f>
        <v>2014</v>
      </c>
      <c r="Z7" s="1183">
        <f>+'47'!V7</f>
        <v>2015</v>
      </c>
      <c r="AA7" s="528">
        <f t="shared" ref="AA7:AH7" si="0">+W7</f>
        <v>2012</v>
      </c>
      <c r="AB7" s="1045">
        <f t="shared" si="0"/>
        <v>2013</v>
      </c>
      <c r="AC7" s="1045">
        <f t="shared" si="0"/>
        <v>2014</v>
      </c>
      <c r="AD7" s="529">
        <f t="shared" si="0"/>
        <v>2015</v>
      </c>
      <c r="AE7" s="528">
        <f t="shared" si="0"/>
        <v>2012</v>
      </c>
      <c r="AF7" s="1045">
        <f t="shared" si="0"/>
        <v>2013</v>
      </c>
      <c r="AG7" s="1045">
        <f t="shared" si="0"/>
        <v>2014</v>
      </c>
      <c r="AH7" s="529">
        <f t="shared" si="0"/>
        <v>2015</v>
      </c>
      <c r="AI7" s="1181">
        <f>+W7</f>
        <v>2012</v>
      </c>
      <c r="AJ7" s="1182">
        <f>+X7</f>
        <v>2013</v>
      </c>
      <c r="AK7" s="1182">
        <f>+Y7</f>
        <v>2014</v>
      </c>
      <c r="AL7" s="1183">
        <f>+Z7</f>
        <v>2015</v>
      </c>
    </row>
    <row r="8" spans="1:38" s="507" customFormat="1" ht="20.25" customHeight="1">
      <c r="A8" s="505" t="s">
        <v>962</v>
      </c>
      <c r="B8" s="506" t="s">
        <v>985</v>
      </c>
      <c r="C8" s="370">
        <v>3833</v>
      </c>
      <c r="D8" s="370">
        <v>2825</v>
      </c>
      <c r="E8" s="370">
        <f>+'[5]23'!$E$12</f>
        <v>3390</v>
      </c>
      <c r="F8" s="492">
        <f>+'[6]23'!$E$12</f>
        <v>3509</v>
      </c>
      <c r="G8" s="370">
        <v>2726</v>
      </c>
      <c r="H8" s="370">
        <v>2099</v>
      </c>
      <c r="I8" s="370">
        <f>+'[5]23'!$E$13</f>
        <v>2187</v>
      </c>
      <c r="J8" s="492">
        <f>+'[6]23'!$E$13</f>
        <v>2119</v>
      </c>
      <c r="K8" s="370"/>
      <c r="L8" s="370"/>
      <c r="M8" s="370"/>
      <c r="N8" s="492"/>
      <c r="O8" s="370">
        <v>10319</v>
      </c>
      <c r="P8" s="370">
        <v>8420</v>
      </c>
      <c r="Q8" s="370">
        <f>+'[5]23'!$E$14</f>
        <v>8982</v>
      </c>
      <c r="R8" s="492">
        <f>+'[6]23'!$E$14</f>
        <v>10323</v>
      </c>
      <c r="S8" s="370">
        <v>4933</v>
      </c>
      <c r="T8" s="370">
        <v>4695</v>
      </c>
      <c r="U8" s="370">
        <f>+'[5]23'!$E$15</f>
        <v>4912</v>
      </c>
      <c r="V8" s="492">
        <f>+'[6]23'!$E$15</f>
        <v>6122</v>
      </c>
      <c r="W8" s="370">
        <v>1165</v>
      </c>
      <c r="X8" s="370">
        <v>956</v>
      </c>
      <c r="Y8" s="370">
        <f>+'[5]23'!$E$20</f>
        <v>1017</v>
      </c>
      <c r="Z8" s="492">
        <f>+'[6]23'!$E$20</f>
        <v>1126</v>
      </c>
      <c r="AA8" s="370">
        <v>53</v>
      </c>
      <c r="AB8" s="370">
        <v>102</v>
      </c>
      <c r="AC8" s="370">
        <f>+'[5]23'!$E$21</f>
        <v>113</v>
      </c>
      <c r="AD8" s="492">
        <f>+'[6]23'!$E$21</f>
        <v>83</v>
      </c>
      <c r="AE8" s="370"/>
      <c r="AF8" s="370"/>
      <c r="AG8" s="370"/>
      <c r="AH8" s="370">
        <f>+'[6]23'!$E$22</f>
        <v>0</v>
      </c>
      <c r="AI8" s="369">
        <f t="shared" ref="AI8:AJ9" si="1">+C8+G8+K8+O8+S8+W8+AA8</f>
        <v>23029</v>
      </c>
      <c r="AJ8" s="370">
        <f t="shared" si="1"/>
        <v>19097</v>
      </c>
      <c r="AK8" s="370">
        <f t="shared" ref="AK8:AL10" si="2">+E8+I8+M8+Q8+U8+Y8+AC8+AG8</f>
        <v>20601</v>
      </c>
      <c r="AL8" s="492">
        <f t="shared" si="2"/>
        <v>23282</v>
      </c>
    </row>
    <row r="9" spans="1:38" s="507" customFormat="1" ht="20.25" customHeight="1">
      <c r="A9" s="491"/>
      <c r="B9" s="343" t="s">
        <v>986</v>
      </c>
      <c r="C9" s="370">
        <v>5979</v>
      </c>
      <c r="D9" s="370">
        <v>4009</v>
      </c>
      <c r="E9" s="370">
        <f>+'[5]23'!$F$12</f>
        <v>3244</v>
      </c>
      <c r="F9" s="492">
        <f>+'[6]23'!$F$12</f>
        <v>1953</v>
      </c>
      <c r="G9" s="370">
        <v>2836</v>
      </c>
      <c r="H9" s="370">
        <v>1821</v>
      </c>
      <c r="I9" s="370">
        <f>+'[5]23'!$F$13</f>
        <v>1235</v>
      </c>
      <c r="J9" s="492">
        <f>+'[6]23'!$F$13</f>
        <v>810</v>
      </c>
      <c r="K9" s="370"/>
      <c r="L9" s="370"/>
      <c r="M9" s="370"/>
      <c r="N9" s="492"/>
      <c r="O9" s="370">
        <v>13083</v>
      </c>
      <c r="P9" s="370">
        <v>9430</v>
      </c>
      <c r="Q9" s="370">
        <f>+'[5]23'!$F$14</f>
        <v>7677</v>
      </c>
      <c r="R9" s="492">
        <f>+'[6]23'!$F$14</f>
        <v>5829</v>
      </c>
      <c r="S9" s="370">
        <v>5367</v>
      </c>
      <c r="T9" s="370">
        <v>4311</v>
      </c>
      <c r="U9" s="370">
        <f>+'[5]23'!$F$15</f>
        <v>3912</v>
      </c>
      <c r="V9" s="492">
        <f>+'[6]23'!$F$15</f>
        <v>3174</v>
      </c>
      <c r="W9" s="370">
        <v>1417</v>
      </c>
      <c r="X9" s="370">
        <v>1696</v>
      </c>
      <c r="Y9" s="370">
        <f>+'[5]23'!$F$20</f>
        <v>1849</v>
      </c>
      <c r="Z9" s="492">
        <f>+'[6]23'!$F$20</f>
        <v>1700</v>
      </c>
      <c r="AA9" s="370">
        <v>30</v>
      </c>
      <c r="AB9" s="370">
        <v>3</v>
      </c>
      <c r="AC9" s="370">
        <f>+'[5]23'!$F$21</f>
        <v>0</v>
      </c>
      <c r="AD9" s="492">
        <f>+'[6]23'!$F$21</f>
        <v>16</v>
      </c>
      <c r="AE9" s="370"/>
      <c r="AF9" s="370"/>
      <c r="AG9" s="370"/>
      <c r="AH9" s="370">
        <f>+'[6]23'!$F$22</f>
        <v>0</v>
      </c>
      <c r="AI9" s="369">
        <f t="shared" si="1"/>
        <v>28712</v>
      </c>
      <c r="AJ9" s="370">
        <f t="shared" si="1"/>
        <v>21270</v>
      </c>
      <c r="AK9" s="370">
        <f t="shared" si="2"/>
        <v>17917</v>
      </c>
      <c r="AL9" s="492">
        <f t="shared" si="2"/>
        <v>13482</v>
      </c>
    </row>
    <row r="10" spans="1:38" s="507" customFormat="1" ht="20.25" customHeight="1">
      <c r="A10" s="491"/>
      <c r="B10" s="343" t="s">
        <v>644</v>
      </c>
      <c r="C10" s="370">
        <v>9812</v>
      </c>
      <c r="D10" s="370">
        <v>6834</v>
      </c>
      <c r="E10" s="370">
        <f>SUM(E8:E9)</f>
        <v>6634</v>
      </c>
      <c r="F10" s="492">
        <f>SUM(F8:F9)</f>
        <v>5462</v>
      </c>
      <c r="G10" s="370">
        <v>5562</v>
      </c>
      <c r="H10" s="370">
        <v>3920</v>
      </c>
      <c r="I10" s="370">
        <f t="shared" ref="I10:N10" si="3">SUM(I8:I9)</f>
        <v>3422</v>
      </c>
      <c r="J10" s="492">
        <f t="shared" si="3"/>
        <v>2929</v>
      </c>
      <c r="K10" s="370">
        <f t="shared" si="3"/>
        <v>0</v>
      </c>
      <c r="L10" s="370">
        <f t="shared" si="3"/>
        <v>0</v>
      </c>
      <c r="M10" s="370">
        <f t="shared" si="3"/>
        <v>0</v>
      </c>
      <c r="N10" s="492">
        <f t="shared" si="3"/>
        <v>0</v>
      </c>
      <c r="O10" s="370">
        <v>23402</v>
      </c>
      <c r="P10" s="370">
        <v>17850</v>
      </c>
      <c r="Q10" s="370">
        <f>SUM(Q8:Q9)</f>
        <v>16659</v>
      </c>
      <c r="R10" s="492">
        <f>SUM(R8:R9)</f>
        <v>16152</v>
      </c>
      <c r="S10" s="370">
        <v>10300</v>
      </c>
      <c r="T10" s="370">
        <v>9006</v>
      </c>
      <c r="U10" s="370">
        <f>SUM(U8:U9)</f>
        <v>8824</v>
      </c>
      <c r="V10" s="492">
        <f>SUM(V8:V9)</f>
        <v>9296</v>
      </c>
      <c r="W10" s="370">
        <v>2582</v>
      </c>
      <c r="X10" s="370">
        <v>2652</v>
      </c>
      <c r="Y10" s="370">
        <f>SUM(Y8:Y9)</f>
        <v>2866</v>
      </c>
      <c r="Z10" s="492">
        <f>SUM(Z8:Z9)</f>
        <v>2826</v>
      </c>
      <c r="AA10" s="370">
        <v>83</v>
      </c>
      <c r="AB10" s="370">
        <v>105</v>
      </c>
      <c r="AC10" s="370">
        <f>SUM(AC8:AC9)</f>
        <v>113</v>
      </c>
      <c r="AD10" s="492">
        <f>SUM(AD8:AD9)</f>
        <v>99</v>
      </c>
      <c r="AE10" s="370"/>
      <c r="AF10" s="370"/>
      <c r="AG10" s="370"/>
      <c r="AH10" s="370"/>
      <c r="AI10" s="369">
        <f>SUM(AI8:AI9)</f>
        <v>51741</v>
      </c>
      <c r="AJ10" s="370">
        <f>SUM(AJ8:AJ9)</f>
        <v>40367</v>
      </c>
      <c r="AK10" s="370">
        <f t="shared" si="2"/>
        <v>38518</v>
      </c>
      <c r="AL10" s="492">
        <f t="shared" si="2"/>
        <v>36764</v>
      </c>
    </row>
    <row r="11" spans="1:38" s="507" customFormat="1" ht="20.25" customHeight="1">
      <c r="A11" s="491" t="s">
        <v>540</v>
      </c>
      <c r="B11" s="343" t="s">
        <v>987</v>
      </c>
      <c r="C11" s="370">
        <v>3485</v>
      </c>
      <c r="D11" s="370">
        <v>3030</v>
      </c>
      <c r="E11" s="370">
        <f>+'[5]23'!$I$12</f>
        <v>3281</v>
      </c>
      <c r="F11" s="492">
        <f>+'[6]23'!$I$12</f>
        <v>2905</v>
      </c>
      <c r="G11" s="370">
        <v>2147</v>
      </c>
      <c r="H11" s="370">
        <v>1773</v>
      </c>
      <c r="I11" s="370">
        <f>+'[5]23'!$I$13</f>
        <v>2180</v>
      </c>
      <c r="J11" s="492">
        <f>+'[6]23'!$I$13</f>
        <v>1698</v>
      </c>
      <c r="K11" s="370"/>
      <c r="L11" s="370"/>
      <c r="M11" s="370"/>
      <c r="N11" s="492"/>
      <c r="O11" s="370">
        <v>8541</v>
      </c>
      <c r="P11" s="370">
        <v>6874</v>
      </c>
      <c r="Q11" s="370">
        <f>+'[5]23'!$I$14</f>
        <v>8281</v>
      </c>
      <c r="R11" s="492">
        <f>+'[6]23'!$I$14</f>
        <v>7760</v>
      </c>
      <c r="S11" s="370">
        <v>2733</v>
      </c>
      <c r="T11" s="370">
        <v>2342</v>
      </c>
      <c r="U11" s="370">
        <f>+'[5]23'!$I$15</f>
        <v>2769</v>
      </c>
      <c r="V11" s="492">
        <f>+'[6]23'!$I$15</f>
        <v>2728</v>
      </c>
      <c r="W11" s="370">
        <v>235</v>
      </c>
      <c r="X11" s="370">
        <v>275</v>
      </c>
      <c r="Y11" s="370">
        <f>+'[5]23'!$I$20</f>
        <v>589</v>
      </c>
      <c r="Z11" s="492">
        <f>+'[6]23'!$I$20</f>
        <v>357</v>
      </c>
      <c r="AA11" s="370">
        <v>153</v>
      </c>
      <c r="AB11" s="370"/>
      <c r="AC11" s="370">
        <f>+'[5]23'!$I$21</f>
        <v>40</v>
      </c>
      <c r="AD11" s="492">
        <f>+'[6]23'!$I$21</f>
        <v>9</v>
      </c>
      <c r="AE11" s="370"/>
      <c r="AF11" s="370"/>
      <c r="AG11" s="370">
        <v>92</v>
      </c>
      <c r="AH11" s="370">
        <f>+'[6]23'!$I$22</f>
        <v>31</v>
      </c>
      <c r="AI11" s="369">
        <f t="shared" ref="AI11:AJ12" si="4">+C11+G11+K11+O11+S11+W11+AA11</f>
        <v>17294</v>
      </c>
      <c r="AJ11" s="370">
        <f t="shared" si="4"/>
        <v>14294</v>
      </c>
      <c r="AK11" s="370">
        <f t="shared" ref="AK11:AL13" si="5">+E11+I11+M11+Q11+U11+Y11+AC11+AG11</f>
        <v>17232</v>
      </c>
      <c r="AL11" s="492">
        <f t="shared" si="5"/>
        <v>15488</v>
      </c>
    </row>
    <row r="12" spans="1:38" s="507" customFormat="1" ht="20.25" customHeight="1">
      <c r="A12" s="491" t="s">
        <v>963</v>
      </c>
      <c r="B12" s="343" t="s">
        <v>988</v>
      </c>
      <c r="C12" s="370">
        <v>2987</v>
      </c>
      <c r="D12" s="370">
        <v>2292</v>
      </c>
      <c r="E12" s="370">
        <f>+'[5]23'!$G$12</f>
        <v>2954</v>
      </c>
      <c r="F12" s="492">
        <f>+'[6]23'!$G$12</f>
        <v>2910</v>
      </c>
      <c r="G12" s="370">
        <v>1422</v>
      </c>
      <c r="H12" s="370">
        <v>1073</v>
      </c>
      <c r="I12" s="370">
        <f>+'[5]23'!$G$13</f>
        <v>1572</v>
      </c>
      <c r="J12" s="492">
        <f>+'[6]23'!$G$13</f>
        <v>1147</v>
      </c>
      <c r="K12" s="370"/>
      <c r="L12" s="370"/>
      <c r="M12" s="370"/>
      <c r="N12" s="492"/>
      <c r="O12" s="370">
        <v>6029</v>
      </c>
      <c r="P12" s="370">
        <v>5014</v>
      </c>
      <c r="Q12" s="370">
        <f>+'[5]23'!$G$14</f>
        <v>6909</v>
      </c>
      <c r="R12" s="492">
        <f>+'[6]23'!$G$14</f>
        <v>5936</v>
      </c>
      <c r="S12" s="370">
        <v>2118</v>
      </c>
      <c r="T12" s="370">
        <v>1757</v>
      </c>
      <c r="U12" s="370">
        <f>+'[5]23'!$G$15</f>
        <v>2482</v>
      </c>
      <c r="V12" s="492">
        <f>+'[6]23'!$G$15</f>
        <v>2292</v>
      </c>
      <c r="W12" s="370">
        <v>333</v>
      </c>
      <c r="X12" s="370">
        <v>137</v>
      </c>
      <c r="Y12" s="370">
        <f>+'[5]23'!$G$20</f>
        <v>165</v>
      </c>
      <c r="Z12" s="492">
        <f>+'[6]23'!$G$20</f>
        <v>145</v>
      </c>
      <c r="AA12" s="370"/>
      <c r="AB12" s="370"/>
      <c r="AC12" s="370"/>
      <c r="AD12" s="492">
        <f>+'[6]23'!$G$21</f>
        <v>125</v>
      </c>
      <c r="AE12" s="370"/>
      <c r="AF12" s="370"/>
      <c r="AG12" s="370"/>
      <c r="AH12" s="370">
        <f>+'[6]23'!$G$22</f>
        <v>1</v>
      </c>
      <c r="AI12" s="369">
        <f t="shared" si="4"/>
        <v>12889</v>
      </c>
      <c r="AJ12" s="370">
        <f t="shared" si="4"/>
        <v>10273</v>
      </c>
      <c r="AK12" s="370">
        <f t="shared" si="5"/>
        <v>14082</v>
      </c>
      <c r="AL12" s="492">
        <f t="shared" si="5"/>
        <v>12556</v>
      </c>
    </row>
    <row r="13" spans="1:38" s="507" customFormat="1" ht="20.25" customHeight="1">
      <c r="A13" s="491" t="s">
        <v>542</v>
      </c>
      <c r="B13" s="343" t="s">
        <v>989</v>
      </c>
      <c r="C13" s="370">
        <v>3614</v>
      </c>
      <c r="D13" s="370">
        <v>4050</v>
      </c>
      <c r="E13" s="370">
        <f>+'[5]23'!$H$12</f>
        <v>3022</v>
      </c>
      <c r="F13" s="492">
        <f>+'[6]23'!$H$12</f>
        <v>2902</v>
      </c>
      <c r="G13" s="370">
        <v>1749</v>
      </c>
      <c r="H13" s="370">
        <v>1879</v>
      </c>
      <c r="I13" s="370">
        <f>+'[5]23'!$H$13</f>
        <v>1528</v>
      </c>
      <c r="J13" s="492">
        <f>+'[6]23'!$H$13</f>
        <v>1548</v>
      </c>
      <c r="K13" s="370"/>
      <c r="L13" s="370"/>
      <c r="M13" s="370"/>
      <c r="N13" s="492"/>
      <c r="O13" s="370">
        <v>6493</v>
      </c>
      <c r="P13" s="370">
        <v>7414</v>
      </c>
      <c r="Q13" s="370">
        <f>+'[5]23'!$H$14</f>
        <v>6015</v>
      </c>
      <c r="R13" s="492">
        <f>+'[6]23'!$H$14</f>
        <v>6718</v>
      </c>
      <c r="S13" s="370">
        <v>1705</v>
      </c>
      <c r="T13" s="370">
        <v>2689</v>
      </c>
      <c r="U13" s="370">
        <f>+'[5]23'!$H$15</f>
        <v>1666</v>
      </c>
      <c r="V13" s="492">
        <f>+'[6]23'!$H$15</f>
        <v>1752</v>
      </c>
      <c r="W13" s="370">
        <v>600</v>
      </c>
      <c r="X13" s="370">
        <v>858</v>
      </c>
      <c r="Y13" s="370">
        <f>+'[5]23'!$H$20</f>
        <v>602</v>
      </c>
      <c r="Z13" s="492">
        <f>+'[6]23'!$H$20</f>
        <v>988</v>
      </c>
      <c r="AA13" s="370">
        <v>35</v>
      </c>
      <c r="AB13" s="370">
        <v>10</v>
      </c>
      <c r="AC13" s="370">
        <f>+'[5]23'!$H$21</f>
        <v>16</v>
      </c>
      <c r="AD13" s="492">
        <f>+'[6]23'!$H$21</f>
        <v>21</v>
      </c>
      <c r="AE13" s="370">
        <v>448</v>
      </c>
      <c r="AF13" s="370"/>
      <c r="AG13" s="370">
        <v>0</v>
      </c>
      <c r="AH13" s="370">
        <f>+'[6]23'!$H$22</f>
        <v>0</v>
      </c>
      <c r="AI13" s="369">
        <f>+C13+G13+K13+O13+S13+W13+AA13+AE13</f>
        <v>14644</v>
      </c>
      <c r="AJ13" s="370">
        <f>+D13+H13+L13+P13+T13+X13+AB13</f>
        <v>16900</v>
      </c>
      <c r="AK13" s="370">
        <f t="shared" si="5"/>
        <v>12849</v>
      </c>
      <c r="AL13" s="492">
        <f t="shared" si="5"/>
        <v>13929</v>
      </c>
    </row>
    <row r="14" spans="1:38" s="507" customFormat="1" ht="20.25" customHeight="1">
      <c r="A14" s="501" t="s">
        <v>964</v>
      </c>
      <c r="B14" s="510"/>
      <c r="C14" s="499">
        <v>19898</v>
      </c>
      <c r="D14" s="499">
        <v>16206</v>
      </c>
      <c r="E14" s="499">
        <f>SUM(E10:E13)</f>
        <v>15891</v>
      </c>
      <c r="F14" s="500">
        <f>SUM(F10:F13)</f>
        <v>14179</v>
      </c>
      <c r="G14" s="499">
        <v>10880</v>
      </c>
      <c r="H14" s="499">
        <v>8645</v>
      </c>
      <c r="I14" s="499">
        <f t="shared" ref="I14:N14" si="6">SUM(I10:I13)</f>
        <v>8702</v>
      </c>
      <c r="J14" s="500">
        <f t="shared" si="6"/>
        <v>7322</v>
      </c>
      <c r="K14" s="499">
        <f t="shared" si="6"/>
        <v>0</v>
      </c>
      <c r="L14" s="499">
        <f t="shared" si="6"/>
        <v>0</v>
      </c>
      <c r="M14" s="499">
        <f t="shared" si="6"/>
        <v>0</v>
      </c>
      <c r="N14" s="500">
        <f t="shared" si="6"/>
        <v>0</v>
      </c>
      <c r="O14" s="499">
        <v>44465</v>
      </c>
      <c r="P14" s="499">
        <v>37152</v>
      </c>
      <c r="Q14" s="499">
        <f>SUM(Q10:Q13)</f>
        <v>37864</v>
      </c>
      <c r="R14" s="500">
        <f>SUM(R10:R13)</f>
        <v>36566</v>
      </c>
      <c r="S14" s="499">
        <v>16856</v>
      </c>
      <c r="T14" s="499">
        <v>15794</v>
      </c>
      <c r="U14" s="499">
        <f>SUM(U10:U13)</f>
        <v>15741</v>
      </c>
      <c r="V14" s="500">
        <f>SUM(V10:V13)</f>
        <v>16068</v>
      </c>
      <c r="W14" s="499">
        <v>3750</v>
      </c>
      <c r="X14" s="499">
        <v>3922</v>
      </c>
      <c r="Y14" s="499">
        <f>SUM(Y10:Y13)</f>
        <v>4222</v>
      </c>
      <c r="Z14" s="500">
        <f>SUM(Z10:Z13)</f>
        <v>4316</v>
      </c>
      <c r="AA14" s="499">
        <v>271</v>
      </c>
      <c r="AB14" s="499">
        <v>115</v>
      </c>
      <c r="AC14" s="499">
        <f>SUM(AC10:AC13)</f>
        <v>169</v>
      </c>
      <c r="AD14" s="500">
        <f>SUM(AD10:AD13)</f>
        <v>254</v>
      </c>
      <c r="AE14" s="499">
        <v>448</v>
      </c>
      <c r="AF14" s="499"/>
      <c r="AG14" s="499">
        <f t="shared" ref="AG14:AL14" si="7">SUM(AG10:AG13)</f>
        <v>92</v>
      </c>
      <c r="AH14" s="499">
        <f t="shared" si="7"/>
        <v>32</v>
      </c>
      <c r="AI14" s="498">
        <f t="shared" si="7"/>
        <v>96568</v>
      </c>
      <c r="AJ14" s="499">
        <f t="shared" si="7"/>
        <v>81834</v>
      </c>
      <c r="AK14" s="499">
        <f t="shared" si="7"/>
        <v>82681</v>
      </c>
      <c r="AL14" s="500">
        <f t="shared" si="7"/>
        <v>78737</v>
      </c>
    </row>
    <row r="15" spans="1:38" s="507" customFormat="1" ht="20.25" customHeight="1">
      <c r="A15" s="491" t="s">
        <v>965</v>
      </c>
      <c r="B15" s="343" t="s">
        <v>990</v>
      </c>
      <c r="C15" s="370">
        <v>4799</v>
      </c>
      <c r="D15" s="370">
        <v>4894</v>
      </c>
      <c r="E15" s="370">
        <f>+'[5]23'!$L$12</f>
        <v>4765</v>
      </c>
      <c r="F15" s="492">
        <f>+'[6]23'!$L$12</f>
        <v>4608</v>
      </c>
      <c r="G15" s="370">
        <v>2361</v>
      </c>
      <c r="H15" s="370">
        <v>2518</v>
      </c>
      <c r="I15" s="370">
        <f>+'[5]23'!$L$13</f>
        <v>2082</v>
      </c>
      <c r="J15" s="492">
        <f>+'[6]23'!$L$13</f>
        <v>2080</v>
      </c>
      <c r="K15" s="370"/>
      <c r="L15" s="370"/>
      <c r="M15" s="370"/>
      <c r="N15" s="492"/>
      <c r="O15" s="370">
        <v>11694</v>
      </c>
      <c r="P15" s="370">
        <v>11614</v>
      </c>
      <c r="Q15" s="370">
        <f>+'[5]23'!$L$14</f>
        <v>10045</v>
      </c>
      <c r="R15" s="492">
        <f>+'[6]23'!$L$14</f>
        <v>9860</v>
      </c>
      <c r="S15" s="370">
        <v>5280</v>
      </c>
      <c r="T15" s="370">
        <v>5128</v>
      </c>
      <c r="U15" s="370">
        <f>+'[5]23'!$L$15</f>
        <v>4367</v>
      </c>
      <c r="V15" s="492">
        <f>+'[6]23'!$L$15</f>
        <v>4350</v>
      </c>
      <c r="W15" s="370">
        <v>1324</v>
      </c>
      <c r="X15" s="370">
        <v>1197</v>
      </c>
      <c r="Y15" s="370">
        <f>+'[5]23'!$L$20</f>
        <v>1569</v>
      </c>
      <c r="Z15" s="492">
        <f>+'[6]23'!$L$20</f>
        <v>1498</v>
      </c>
      <c r="AA15" s="370">
        <v>1176</v>
      </c>
      <c r="AB15" s="370">
        <v>686</v>
      </c>
      <c r="AC15" s="370">
        <f>+'[5]23'!$L$21</f>
        <v>880</v>
      </c>
      <c r="AD15" s="492">
        <f>+'[6]23'!$L$21</f>
        <v>55</v>
      </c>
      <c r="AE15" s="370"/>
      <c r="AF15" s="370"/>
      <c r="AG15" s="370">
        <v>47</v>
      </c>
      <c r="AH15" s="370">
        <f>+'[6]23'!$L$22</f>
        <v>0</v>
      </c>
      <c r="AI15" s="369">
        <f t="shared" ref="AI15:AJ17" si="8">+C15+G15+K15+O15+S15+W15+AA15</f>
        <v>26634</v>
      </c>
      <c r="AJ15" s="370">
        <f t="shared" si="8"/>
        <v>26037</v>
      </c>
      <c r="AK15" s="370">
        <f t="shared" ref="AK15:AL19" si="9">+E15+I15+M15+Q15+U15+Y15+AC15+AG15</f>
        <v>23755</v>
      </c>
      <c r="AL15" s="492">
        <f t="shared" si="9"/>
        <v>22451</v>
      </c>
    </row>
    <row r="16" spans="1:38" s="507" customFormat="1" ht="20.25" customHeight="1">
      <c r="A16" s="491"/>
      <c r="B16" s="343" t="s">
        <v>991</v>
      </c>
      <c r="C16" s="370">
        <v>9063</v>
      </c>
      <c r="D16" s="370">
        <v>8458</v>
      </c>
      <c r="E16" s="370">
        <f>+'[5]23'!$M$12</f>
        <v>8376</v>
      </c>
      <c r="F16" s="492">
        <f>+'[6]23'!$M$12</f>
        <v>8206</v>
      </c>
      <c r="G16" s="370">
        <v>3938</v>
      </c>
      <c r="H16" s="370">
        <v>3633</v>
      </c>
      <c r="I16" s="370">
        <f>+'[5]23'!$M$13</f>
        <v>3733</v>
      </c>
      <c r="J16" s="492">
        <f>+'[6]23'!$M$13</f>
        <v>3562</v>
      </c>
      <c r="K16" s="370"/>
      <c r="L16" s="370"/>
      <c r="M16" s="370"/>
      <c r="N16" s="492"/>
      <c r="O16" s="370">
        <v>16203</v>
      </c>
      <c r="P16" s="370">
        <v>16445</v>
      </c>
      <c r="Q16" s="370">
        <f>+'[5]23'!$M$14</f>
        <v>18434</v>
      </c>
      <c r="R16" s="492">
        <f>+'[6]23'!$M$14</f>
        <v>17097</v>
      </c>
      <c r="S16" s="370">
        <v>7064</v>
      </c>
      <c r="T16" s="370">
        <v>8279</v>
      </c>
      <c r="U16" s="370">
        <f>+'[5]23'!$M$15</f>
        <v>8558</v>
      </c>
      <c r="V16" s="492">
        <f>+'[6]23'!$M$15</f>
        <v>6450</v>
      </c>
      <c r="W16" s="370">
        <v>1998</v>
      </c>
      <c r="X16" s="370">
        <v>3049</v>
      </c>
      <c r="Y16" s="370">
        <f>+'[5]23'!$M$20</f>
        <v>2475</v>
      </c>
      <c r="Z16" s="492">
        <f>+'[6]23'!$M$20</f>
        <v>1806</v>
      </c>
      <c r="AA16" s="370"/>
      <c r="AB16" s="370"/>
      <c r="AC16" s="370"/>
      <c r="AD16" s="492">
        <f>+'[6]23'!$M$21</f>
        <v>0</v>
      </c>
      <c r="AE16" s="370"/>
      <c r="AF16" s="370">
        <v>26</v>
      </c>
      <c r="AG16" s="370"/>
      <c r="AH16" s="370">
        <f>+'[6]23'!$M$22</f>
        <v>0</v>
      </c>
      <c r="AI16" s="369">
        <f t="shared" si="8"/>
        <v>38266</v>
      </c>
      <c r="AJ16" s="370">
        <f>+D16+H16+L16+P16+T16+X16+AB16+AF16</f>
        <v>39890</v>
      </c>
      <c r="AK16" s="370">
        <f t="shared" si="9"/>
        <v>41576</v>
      </c>
      <c r="AL16" s="492">
        <f t="shared" si="9"/>
        <v>37121</v>
      </c>
    </row>
    <row r="17" spans="1:43" s="507" customFormat="1" ht="20.25" customHeight="1">
      <c r="A17" s="491"/>
      <c r="B17" s="343" t="s">
        <v>837</v>
      </c>
      <c r="C17" s="370">
        <v>1258</v>
      </c>
      <c r="D17" s="370">
        <v>1242</v>
      </c>
      <c r="E17" s="370">
        <f>+'[5]23'!$K$12</f>
        <v>1511</v>
      </c>
      <c r="F17" s="492">
        <f>+'[6]23'!$K$12</f>
        <v>1361</v>
      </c>
      <c r="G17" s="370">
        <v>740</v>
      </c>
      <c r="H17" s="370">
        <v>916</v>
      </c>
      <c r="I17" s="370">
        <f>+'[5]23'!$K$13</f>
        <v>1026</v>
      </c>
      <c r="J17" s="492">
        <f>+'[6]23'!$K$13</f>
        <v>793</v>
      </c>
      <c r="K17" s="370"/>
      <c r="L17" s="370"/>
      <c r="M17" s="370"/>
      <c r="N17" s="492"/>
      <c r="O17" s="370">
        <v>3267</v>
      </c>
      <c r="P17" s="370">
        <v>3923</v>
      </c>
      <c r="Q17" s="370">
        <f>+'[5]23'!$K$14</f>
        <v>4173</v>
      </c>
      <c r="R17" s="492">
        <f>+'[6]23'!$K$14</f>
        <v>3242</v>
      </c>
      <c r="S17" s="370">
        <v>1211</v>
      </c>
      <c r="T17" s="370">
        <v>1412</v>
      </c>
      <c r="U17" s="370">
        <f>+'[5]23'!$K$15</f>
        <v>1444</v>
      </c>
      <c r="V17" s="492">
        <f>+'[6]23'!$K$15</f>
        <v>1218</v>
      </c>
      <c r="W17" s="370">
        <v>308</v>
      </c>
      <c r="X17" s="370">
        <v>190</v>
      </c>
      <c r="Y17" s="370">
        <f>+'[5]23'!$K$20</f>
        <v>122</v>
      </c>
      <c r="Z17" s="492">
        <f>+'[6]23'!$K$20</f>
        <v>401</v>
      </c>
      <c r="AA17" s="370"/>
      <c r="AB17" s="370"/>
      <c r="AC17" s="370"/>
      <c r="AD17" s="492">
        <f>+'[6]23'!$K$21</f>
        <v>6</v>
      </c>
      <c r="AE17" s="370"/>
      <c r="AF17" s="370">
        <v>12</v>
      </c>
      <c r="AG17" s="370">
        <v>94</v>
      </c>
      <c r="AH17" s="370">
        <f>+'[6]23'!$K$22</f>
        <v>6</v>
      </c>
      <c r="AI17" s="369">
        <f t="shared" si="8"/>
        <v>6784</v>
      </c>
      <c r="AJ17" s="370">
        <f>+D17+H17+L17+P17+T17+X17+AB17+AF17</f>
        <v>7695</v>
      </c>
      <c r="AK17" s="370">
        <f t="shared" si="9"/>
        <v>8370</v>
      </c>
      <c r="AL17" s="492">
        <f t="shared" si="9"/>
        <v>7027</v>
      </c>
      <c r="AM17" s="1187"/>
      <c r="AQ17" s="517"/>
    </row>
    <row r="18" spans="1:43" s="507" customFormat="1" ht="20.25" customHeight="1">
      <c r="A18" s="491"/>
      <c r="B18" s="343" t="s">
        <v>644</v>
      </c>
      <c r="C18" s="370">
        <v>15120</v>
      </c>
      <c r="D18" s="370">
        <v>14594</v>
      </c>
      <c r="E18" s="370">
        <f>SUM(E15:E17)</f>
        <v>14652</v>
      </c>
      <c r="F18" s="492">
        <f>SUM(F15:F17)</f>
        <v>14175</v>
      </c>
      <c r="G18" s="370">
        <v>7039</v>
      </c>
      <c r="H18" s="370">
        <v>7067</v>
      </c>
      <c r="I18" s="370">
        <f t="shared" ref="I18:N18" si="10">SUM(I15:I17)</f>
        <v>6841</v>
      </c>
      <c r="J18" s="492">
        <f t="shared" si="10"/>
        <v>6435</v>
      </c>
      <c r="K18" s="370">
        <f t="shared" si="10"/>
        <v>0</v>
      </c>
      <c r="L18" s="370">
        <f t="shared" si="10"/>
        <v>0</v>
      </c>
      <c r="M18" s="370">
        <f t="shared" si="10"/>
        <v>0</v>
      </c>
      <c r="N18" s="492">
        <f t="shared" si="10"/>
        <v>0</v>
      </c>
      <c r="O18" s="370">
        <v>31164</v>
      </c>
      <c r="P18" s="370">
        <v>31982</v>
      </c>
      <c r="Q18" s="370">
        <f>SUM(Q15:Q17)</f>
        <v>32652</v>
      </c>
      <c r="R18" s="492">
        <f>SUM(R15:R17)</f>
        <v>30199</v>
      </c>
      <c r="S18" s="370">
        <v>13555</v>
      </c>
      <c r="T18" s="370">
        <v>14819</v>
      </c>
      <c r="U18" s="370">
        <f>SUM(U15:U17)</f>
        <v>14369</v>
      </c>
      <c r="V18" s="492">
        <f>SUM(V15:V17)</f>
        <v>12018</v>
      </c>
      <c r="W18" s="370">
        <v>3630</v>
      </c>
      <c r="X18" s="370">
        <v>4436</v>
      </c>
      <c r="Y18" s="370">
        <f>SUM(Y15:Y17)</f>
        <v>4166</v>
      </c>
      <c r="Z18" s="492">
        <f>SUM(Z15:Z17)</f>
        <v>3705</v>
      </c>
      <c r="AA18" s="370">
        <v>1176</v>
      </c>
      <c r="AB18" s="370">
        <v>686</v>
      </c>
      <c r="AC18" s="370">
        <f>SUM(AC15:AC17)</f>
        <v>880</v>
      </c>
      <c r="AD18" s="492">
        <f>SUM(AD15:AD17)</f>
        <v>61</v>
      </c>
      <c r="AE18" s="370"/>
      <c r="AF18" s="370">
        <v>38</v>
      </c>
      <c r="AG18" s="370">
        <f>SUM(AG15:AG17)</f>
        <v>141</v>
      </c>
      <c r="AH18" s="370">
        <f>SUM(AH15:AH17)</f>
        <v>6</v>
      </c>
      <c r="AI18" s="369">
        <f>SUM(AI15:AI17)</f>
        <v>71684</v>
      </c>
      <c r="AJ18" s="370">
        <f>SUM(AJ15:AJ17)</f>
        <v>73622</v>
      </c>
      <c r="AK18" s="370">
        <f t="shared" si="9"/>
        <v>73701</v>
      </c>
      <c r="AL18" s="492">
        <f t="shared" si="9"/>
        <v>66599</v>
      </c>
      <c r="AM18" s="1187"/>
      <c r="AQ18" s="517"/>
    </row>
    <row r="19" spans="1:43" s="507" customFormat="1" ht="20.25" customHeight="1">
      <c r="A19" s="491"/>
      <c r="B19" s="343" t="s">
        <v>992</v>
      </c>
      <c r="C19" s="370">
        <v>3919</v>
      </c>
      <c r="D19" s="370">
        <v>3057</v>
      </c>
      <c r="E19" s="370">
        <f>+'[5]23'!$S$12</f>
        <v>3052</v>
      </c>
      <c r="F19" s="492">
        <f>+'[6]23'!$S$12</f>
        <v>2477</v>
      </c>
      <c r="G19" s="370">
        <v>2963</v>
      </c>
      <c r="H19" s="370">
        <v>2253</v>
      </c>
      <c r="I19" s="370">
        <f>+'[5]23'!$S$13</f>
        <v>2043</v>
      </c>
      <c r="J19" s="492">
        <f>+'[6]23'!$S$13</f>
        <v>1714</v>
      </c>
      <c r="K19" s="370"/>
      <c r="L19" s="370"/>
      <c r="M19" s="370"/>
      <c r="N19" s="492"/>
      <c r="O19" s="370">
        <v>11447</v>
      </c>
      <c r="P19" s="370">
        <v>8792</v>
      </c>
      <c r="Q19" s="370">
        <f>+'[5]23'!$S$14</f>
        <v>9452</v>
      </c>
      <c r="R19" s="492">
        <f>+'[6]23'!$S$14</f>
        <v>7931</v>
      </c>
      <c r="S19" s="370">
        <v>4542</v>
      </c>
      <c r="T19" s="370">
        <v>4053</v>
      </c>
      <c r="U19" s="370">
        <f>+'[5]23'!$S$15</f>
        <v>4235</v>
      </c>
      <c r="V19" s="492">
        <f>+'[6]23'!$S$15</f>
        <v>3564</v>
      </c>
      <c r="W19" s="370">
        <v>2083</v>
      </c>
      <c r="X19" s="370">
        <v>1796</v>
      </c>
      <c r="Y19" s="370">
        <f>+'[5]23'!$S$20</f>
        <v>2091</v>
      </c>
      <c r="Z19" s="492">
        <f>+'[6]23'!$S$20</f>
        <v>1911</v>
      </c>
      <c r="AA19" s="370"/>
      <c r="AB19" s="370">
        <v>16</v>
      </c>
      <c r="AC19" s="370">
        <f>+'[5]23'!$S$21</f>
        <v>12</v>
      </c>
      <c r="AD19" s="492">
        <f>+'[6]23'!$S$21</f>
        <v>8</v>
      </c>
      <c r="AE19" s="370"/>
      <c r="AF19" s="370"/>
      <c r="AG19" s="370"/>
      <c r="AH19" s="370">
        <f>+'[6]23'!$S$22</f>
        <v>52</v>
      </c>
      <c r="AI19" s="369">
        <f t="shared" ref="AI19:AJ20" si="11">+C19+G19+K19+O19+S19+W19+AA19</f>
        <v>24954</v>
      </c>
      <c r="AJ19" s="370">
        <f t="shared" si="11"/>
        <v>19967</v>
      </c>
      <c r="AK19" s="370">
        <f t="shared" si="9"/>
        <v>20885</v>
      </c>
      <c r="AL19" s="492">
        <f t="shared" si="9"/>
        <v>17657</v>
      </c>
      <c r="AM19" s="1187"/>
    </row>
    <row r="20" spans="1:43" s="507" customFormat="1" ht="20.25" customHeight="1">
      <c r="A20" s="491"/>
      <c r="B20" s="343" t="s">
        <v>966</v>
      </c>
      <c r="C20" s="370"/>
      <c r="D20" s="370">
        <v>4</v>
      </c>
      <c r="E20" s="370">
        <f>+'[5]23'!$R$12</f>
        <v>2</v>
      </c>
      <c r="F20" s="492">
        <f>+'[6]23'!$R$12</f>
        <v>0</v>
      </c>
      <c r="G20" s="370">
        <v>1</v>
      </c>
      <c r="H20" s="370">
        <v>7</v>
      </c>
      <c r="I20" s="370">
        <f>+'[5]23'!$R$13</f>
        <v>3</v>
      </c>
      <c r="J20" s="492">
        <f>+'[6]23'!$R$13</f>
        <v>1</v>
      </c>
      <c r="K20" s="370"/>
      <c r="L20" s="370"/>
      <c r="M20" s="370"/>
      <c r="N20" s="492"/>
      <c r="O20" s="370">
        <v>283</v>
      </c>
      <c r="P20" s="370">
        <v>379</v>
      </c>
      <c r="Q20" s="370">
        <f>+'[5]23'!$R$14</f>
        <v>345</v>
      </c>
      <c r="R20" s="492">
        <f>+'[6]23'!$R$14</f>
        <v>267</v>
      </c>
      <c r="S20" s="370">
        <v>1</v>
      </c>
      <c r="T20" s="370">
        <v>6</v>
      </c>
      <c r="U20" s="370">
        <f>+'[5]23'!$R$15</f>
        <v>1</v>
      </c>
      <c r="V20" s="492">
        <f>+'[6]23'!$R$15</f>
        <v>5</v>
      </c>
      <c r="W20" s="370"/>
      <c r="X20" s="370"/>
      <c r="Y20" s="370"/>
      <c r="Z20" s="492">
        <f>+'[6]23'!$R$20</f>
        <v>0</v>
      </c>
      <c r="AA20" s="370"/>
      <c r="AB20" s="370"/>
      <c r="AC20" s="370"/>
      <c r="AD20" s="492">
        <f>+'[6]23'!$R$21</f>
        <v>0</v>
      </c>
      <c r="AE20" s="370"/>
      <c r="AF20" s="370"/>
      <c r="AG20" s="370"/>
      <c r="AH20" s="370">
        <f>+'[6]23'!$R$22</f>
        <v>0</v>
      </c>
      <c r="AI20" s="369">
        <f t="shared" si="11"/>
        <v>285</v>
      </c>
      <c r="AJ20" s="370">
        <f t="shared" si="11"/>
        <v>396</v>
      </c>
      <c r="AK20" s="370">
        <f t="shared" ref="AK20:AL26" si="12">+E20+I20+M20+Q20+U20+Y20+AC20+AG20</f>
        <v>351</v>
      </c>
      <c r="AL20" s="492">
        <f t="shared" si="12"/>
        <v>273</v>
      </c>
      <c r="AM20" s="1187"/>
    </row>
    <row r="21" spans="1:43" s="507" customFormat="1" ht="20.25" customHeight="1">
      <c r="A21" s="491"/>
      <c r="B21" s="343" t="s">
        <v>644</v>
      </c>
      <c r="C21" s="370">
        <v>3919</v>
      </c>
      <c r="D21" s="370">
        <v>3061</v>
      </c>
      <c r="E21" s="370">
        <f>SUM(E19:E20)</f>
        <v>3054</v>
      </c>
      <c r="F21" s="492">
        <f>SUM(F19:F20)</f>
        <v>2477</v>
      </c>
      <c r="G21" s="370">
        <v>2964</v>
      </c>
      <c r="H21" s="370">
        <v>2260</v>
      </c>
      <c r="I21" s="370">
        <f t="shared" ref="I21:N21" si="13">SUM(I19:I20)</f>
        <v>2046</v>
      </c>
      <c r="J21" s="492">
        <f t="shared" si="13"/>
        <v>1715</v>
      </c>
      <c r="K21" s="370">
        <f t="shared" si="13"/>
        <v>0</v>
      </c>
      <c r="L21" s="370">
        <f t="shared" si="13"/>
        <v>0</v>
      </c>
      <c r="M21" s="370">
        <f t="shared" si="13"/>
        <v>0</v>
      </c>
      <c r="N21" s="492">
        <f t="shared" si="13"/>
        <v>0</v>
      </c>
      <c r="O21" s="370">
        <v>11730</v>
      </c>
      <c r="P21" s="370">
        <v>9171</v>
      </c>
      <c r="Q21" s="370">
        <f>SUM(Q19:Q20)</f>
        <v>9797</v>
      </c>
      <c r="R21" s="492">
        <f>SUM(R19:R20)</f>
        <v>8198</v>
      </c>
      <c r="S21" s="370">
        <v>4543</v>
      </c>
      <c r="T21" s="370">
        <v>4059</v>
      </c>
      <c r="U21" s="370">
        <f>SUM(U19:U20)</f>
        <v>4236</v>
      </c>
      <c r="V21" s="492">
        <f>SUM(V19:V20)</f>
        <v>3569</v>
      </c>
      <c r="W21" s="370">
        <v>2083</v>
      </c>
      <c r="X21" s="370">
        <v>1796</v>
      </c>
      <c r="Y21" s="370">
        <f>SUM(Y19:Y20)</f>
        <v>2091</v>
      </c>
      <c r="Z21" s="492">
        <f>SUM(Z19:Z20)</f>
        <v>1911</v>
      </c>
      <c r="AA21" s="370">
        <v>0</v>
      </c>
      <c r="AB21" s="370">
        <v>16</v>
      </c>
      <c r="AC21" s="370">
        <f>SUM(AC19:AC20)</f>
        <v>12</v>
      </c>
      <c r="AD21" s="492">
        <f>SUM(AD19:AD20)</f>
        <v>8</v>
      </c>
      <c r="AE21" s="370"/>
      <c r="AF21" s="370"/>
      <c r="AG21" s="370"/>
      <c r="AH21" s="492">
        <f>SUM(AH19:AH20)</f>
        <v>52</v>
      </c>
      <c r="AI21" s="369">
        <f>SUM(AI19:AI20)</f>
        <v>25239</v>
      </c>
      <c r="AJ21" s="370">
        <f>SUM(AJ19:AJ20)</f>
        <v>20363</v>
      </c>
      <c r="AK21" s="370">
        <f t="shared" si="12"/>
        <v>21236</v>
      </c>
      <c r="AL21" s="492">
        <f t="shared" si="12"/>
        <v>17930</v>
      </c>
      <c r="AM21" s="1187"/>
    </row>
    <row r="22" spans="1:43" s="507" customFormat="1" ht="20.25" customHeight="1">
      <c r="A22" s="491" t="s">
        <v>546</v>
      </c>
      <c r="B22" s="343" t="s">
        <v>993</v>
      </c>
      <c r="C22" s="370">
        <v>3223</v>
      </c>
      <c r="D22" s="370">
        <v>2808</v>
      </c>
      <c r="E22" s="370">
        <f>+'[5]23'!$T$12</f>
        <v>3348</v>
      </c>
      <c r="F22" s="492">
        <f>+'[6]23'!$T$12</f>
        <v>4160</v>
      </c>
      <c r="G22" s="370">
        <v>2135</v>
      </c>
      <c r="H22" s="370">
        <v>1915</v>
      </c>
      <c r="I22" s="370">
        <f>+'[5]23'!$T$13</f>
        <v>2101</v>
      </c>
      <c r="J22" s="492">
        <f>+'[6]23'!$T$13</f>
        <v>2489</v>
      </c>
      <c r="K22" s="370"/>
      <c r="L22" s="370"/>
      <c r="M22" s="370"/>
      <c r="N22" s="492"/>
      <c r="O22" s="370">
        <v>7198</v>
      </c>
      <c r="P22" s="370">
        <v>6649</v>
      </c>
      <c r="Q22" s="370">
        <f>+'[5]23'!$T$14</f>
        <v>8381</v>
      </c>
      <c r="R22" s="492">
        <f>+'[6]23'!$T$14</f>
        <v>10161</v>
      </c>
      <c r="S22" s="370">
        <v>2193</v>
      </c>
      <c r="T22" s="370">
        <v>1923</v>
      </c>
      <c r="U22" s="370">
        <f>+'[5]23'!$T$15</f>
        <v>2777</v>
      </c>
      <c r="V22" s="492">
        <f>+'[6]23'!$T$15</f>
        <v>3255</v>
      </c>
      <c r="W22" s="370">
        <v>630</v>
      </c>
      <c r="X22" s="370">
        <v>568</v>
      </c>
      <c r="Y22" s="370">
        <f>+'[5]23'!$T$20</f>
        <v>305</v>
      </c>
      <c r="Z22" s="492">
        <f>+'[6]23'!$T$20</f>
        <v>363</v>
      </c>
      <c r="AA22" s="370"/>
      <c r="AB22" s="370"/>
      <c r="AC22" s="370"/>
      <c r="AD22" s="492">
        <f>+'[6]23'!$T$21</f>
        <v>0</v>
      </c>
      <c r="AE22" s="370"/>
      <c r="AF22" s="370"/>
      <c r="AG22" s="370"/>
      <c r="AH22" s="370">
        <f>+'[6]23'!$T$22</f>
        <v>0</v>
      </c>
      <c r="AI22" s="369">
        <f t="shared" ref="AI22:AJ26" si="14">+C22+G22+K22+O22+S22+W22+AA22</f>
        <v>15379</v>
      </c>
      <c r="AJ22" s="370">
        <f t="shared" si="14"/>
        <v>13863</v>
      </c>
      <c r="AK22" s="370">
        <f t="shared" si="12"/>
        <v>16912</v>
      </c>
      <c r="AL22" s="492">
        <f t="shared" si="12"/>
        <v>20428</v>
      </c>
    </row>
    <row r="23" spans="1:43" s="507" customFormat="1" ht="20.25" customHeight="1">
      <c r="A23" s="491" t="s">
        <v>547</v>
      </c>
      <c r="B23" s="343" t="s">
        <v>994</v>
      </c>
      <c r="C23" s="370">
        <v>2492</v>
      </c>
      <c r="D23" s="370">
        <v>2333</v>
      </c>
      <c r="E23" s="370">
        <f>+'[5]23'!$Q$12</f>
        <v>2494</v>
      </c>
      <c r="F23" s="492">
        <f>+'[6]23'!$Q$12</f>
        <v>1619</v>
      </c>
      <c r="G23" s="370">
        <v>1496</v>
      </c>
      <c r="H23" s="370">
        <v>1378</v>
      </c>
      <c r="I23" s="370">
        <f>+'[5]23'!$Q$13</f>
        <v>1539</v>
      </c>
      <c r="J23" s="492">
        <f>+'[6]23'!$Q$13</f>
        <v>1060</v>
      </c>
      <c r="K23" s="370"/>
      <c r="L23" s="370"/>
      <c r="M23" s="370"/>
      <c r="N23" s="492"/>
      <c r="O23" s="370">
        <v>5496</v>
      </c>
      <c r="P23" s="370">
        <v>5548</v>
      </c>
      <c r="Q23" s="370">
        <f>+'[5]23'!$Q$14</f>
        <v>6370</v>
      </c>
      <c r="R23" s="492">
        <f>+'[6]23'!$Q$14</f>
        <v>4737</v>
      </c>
      <c r="S23" s="370">
        <v>1377</v>
      </c>
      <c r="T23" s="370">
        <v>1708</v>
      </c>
      <c r="U23" s="370">
        <f>+'[5]23'!$Q$15</f>
        <v>1982</v>
      </c>
      <c r="V23" s="492">
        <f>+'[6]23'!$Q$15</f>
        <v>1504</v>
      </c>
      <c r="W23" s="370">
        <v>329</v>
      </c>
      <c r="X23" s="370">
        <v>395</v>
      </c>
      <c r="Y23" s="370">
        <f>+'[5]23'!$Q$20</f>
        <v>545</v>
      </c>
      <c r="Z23" s="492">
        <f>+'[6]23'!$Q$20</f>
        <v>307</v>
      </c>
      <c r="AA23" s="370"/>
      <c r="AB23" s="370"/>
      <c r="AC23" s="370">
        <f>+'[5]23'!$Q$21</f>
        <v>276</v>
      </c>
      <c r="AD23" s="492">
        <f>+'[6]23'!$Q$21</f>
        <v>948</v>
      </c>
      <c r="AE23" s="370">
        <v>43</v>
      </c>
      <c r="AF23" s="370"/>
      <c r="AG23" s="370"/>
      <c r="AH23" s="370">
        <f>+'[6]23'!$Q$22</f>
        <v>0</v>
      </c>
      <c r="AI23" s="369">
        <f>+C23+G23+K23+O23+S23+W23+AA23+AE23</f>
        <v>11233</v>
      </c>
      <c r="AJ23" s="370">
        <f>+D23+H23+L23+P23+T23+X23+AB23</f>
        <v>11362</v>
      </c>
      <c r="AK23" s="370">
        <f t="shared" si="12"/>
        <v>13206</v>
      </c>
      <c r="AL23" s="492">
        <f t="shared" si="12"/>
        <v>10175</v>
      </c>
    </row>
    <row r="24" spans="1:43" s="507" customFormat="1" ht="20.25" customHeight="1">
      <c r="A24" s="491" t="s">
        <v>967</v>
      </c>
      <c r="B24" s="343" t="s">
        <v>842</v>
      </c>
      <c r="C24" s="370">
        <v>5213</v>
      </c>
      <c r="D24" s="370">
        <v>4867</v>
      </c>
      <c r="E24" s="370">
        <f>+'[5]23'!$P$12</f>
        <v>5620</v>
      </c>
      <c r="F24" s="492">
        <f>+'[6]23'!$P$12</f>
        <v>5166</v>
      </c>
      <c r="G24" s="370">
        <v>2863</v>
      </c>
      <c r="H24" s="370">
        <v>2436</v>
      </c>
      <c r="I24" s="370">
        <f>+'[5]23'!$P$13</f>
        <v>2459</v>
      </c>
      <c r="J24" s="492">
        <f>+'[6]23'!$P$13</f>
        <v>2134</v>
      </c>
      <c r="K24" s="370"/>
      <c r="L24" s="370"/>
      <c r="M24" s="370"/>
      <c r="N24" s="492"/>
      <c r="O24" s="370">
        <v>12439</v>
      </c>
      <c r="P24" s="370">
        <v>12059</v>
      </c>
      <c r="Q24" s="370">
        <f>+'[5]23'!$P$14</f>
        <v>11172</v>
      </c>
      <c r="R24" s="492">
        <f>+'[6]23'!$P$14</f>
        <v>10252</v>
      </c>
      <c r="S24" s="370">
        <v>4330</v>
      </c>
      <c r="T24" s="370">
        <v>4466</v>
      </c>
      <c r="U24" s="370">
        <f>+'[5]23'!$P$15</f>
        <v>4058</v>
      </c>
      <c r="V24" s="492">
        <f>+'[6]23'!$P$15</f>
        <v>4277</v>
      </c>
      <c r="W24" s="370">
        <v>1532</v>
      </c>
      <c r="X24" s="370">
        <v>1040</v>
      </c>
      <c r="Y24" s="370">
        <f>+'[5]23'!$P$20</f>
        <v>1251</v>
      </c>
      <c r="Z24" s="492">
        <f>+'[6]23'!$P$20</f>
        <v>1369</v>
      </c>
      <c r="AA24" s="370">
        <v>71</v>
      </c>
      <c r="AB24" s="370">
        <v>48</v>
      </c>
      <c r="AC24" s="370">
        <f>+'[5]23'!$P$21</f>
        <v>57</v>
      </c>
      <c r="AD24" s="492">
        <f>+'[6]23'!$P$21</f>
        <v>66</v>
      </c>
      <c r="AE24" s="370"/>
      <c r="AF24" s="370"/>
      <c r="AG24" s="370"/>
      <c r="AH24" s="370">
        <f>+'[6]23'!$P$22</f>
        <v>0</v>
      </c>
      <c r="AI24" s="369">
        <f t="shared" si="14"/>
        <v>26448</v>
      </c>
      <c r="AJ24" s="370">
        <f t="shared" si="14"/>
        <v>24916</v>
      </c>
      <c r="AK24" s="370">
        <f t="shared" si="12"/>
        <v>24617</v>
      </c>
      <c r="AL24" s="492">
        <f t="shared" si="12"/>
        <v>23264</v>
      </c>
    </row>
    <row r="25" spans="1:43" s="507" customFormat="1" ht="20.25" customHeight="1">
      <c r="A25" s="491"/>
      <c r="B25" s="299" t="s">
        <v>1001</v>
      </c>
      <c r="C25" s="370"/>
      <c r="D25" s="370">
        <v>1</v>
      </c>
      <c r="E25" s="370">
        <f>+'[5]23'!$O$12</f>
        <v>0</v>
      </c>
      <c r="F25" s="492"/>
      <c r="G25" s="370">
        <v>2</v>
      </c>
      <c r="H25" s="370"/>
      <c r="I25" s="370">
        <f>+'[5]23'!$O$13</f>
        <v>1</v>
      </c>
      <c r="J25" s="492"/>
      <c r="K25" s="370"/>
      <c r="L25" s="370"/>
      <c r="M25" s="370"/>
      <c r="N25" s="492"/>
      <c r="O25" s="370">
        <v>281</v>
      </c>
      <c r="P25" s="370">
        <v>355</v>
      </c>
      <c r="Q25" s="370">
        <f>+'[5]23'!$O$14</f>
        <v>291</v>
      </c>
      <c r="R25" s="492">
        <f>+'[6]23'!$O$14</f>
        <v>260</v>
      </c>
      <c r="S25" s="370">
        <v>207</v>
      </c>
      <c r="T25" s="370">
        <v>176</v>
      </c>
      <c r="U25" s="370">
        <f>+'[5]23'!$O$15</f>
        <v>104</v>
      </c>
      <c r="V25" s="492">
        <f>+'[6]23'!$O$15</f>
        <v>135</v>
      </c>
      <c r="W25" s="370"/>
      <c r="X25" s="370"/>
      <c r="Y25" s="370"/>
      <c r="Z25" s="492"/>
      <c r="AA25" s="370"/>
      <c r="AB25" s="370"/>
      <c r="AC25" s="370"/>
      <c r="AD25" s="492"/>
      <c r="AE25" s="370"/>
      <c r="AF25" s="370"/>
      <c r="AG25" s="370"/>
      <c r="AH25" s="492"/>
      <c r="AI25" s="370">
        <f t="shared" si="14"/>
        <v>490</v>
      </c>
      <c r="AJ25" s="370">
        <f t="shared" si="14"/>
        <v>532</v>
      </c>
      <c r="AK25" s="370">
        <f t="shared" si="12"/>
        <v>396</v>
      </c>
      <c r="AL25" s="492">
        <f t="shared" si="12"/>
        <v>395</v>
      </c>
    </row>
    <row r="26" spans="1:43" s="507" customFormat="1" ht="20.25" customHeight="1">
      <c r="A26" s="491" t="s">
        <v>549</v>
      </c>
      <c r="B26" s="343" t="s">
        <v>995</v>
      </c>
      <c r="C26" s="370">
        <v>4252</v>
      </c>
      <c r="D26" s="370">
        <v>3306</v>
      </c>
      <c r="E26" s="370">
        <f>+'[5]23'!$N$12</f>
        <v>3033</v>
      </c>
      <c r="F26" s="492">
        <f>+'[6]23'!$N$12</f>
        <v>3382</v>
      </c>
      <c r="G26" s="370">
        <v>2694</v>
      </c>
      <c r="H26" s="370">
        <v>2115</v>
      </c>
      <c r="I26" s="370">
        <f>+'[5]23'!$N$13</f>
        <v>1843</v>
      </c>
      <c r="J26" s="492">
        <f>+'[6]23'!$N$13</f>
        <v>1925</v>
      </c>
      <c r="K26" s="370"/>
      <c r="L26" s="370"/>
      <c r="M26" s="370"/>
      <c r="N26" s="492"/>
      <c r="O26" s="370">
        <v>10496</v>
      </c>
      <c r="P26" s="370">
        <v>9337</v>
      </c>
      <c r="Q26" s="370">
        <f>+'[5]23'!$N$14</f>
        <v>7771</v>
      </c>
      <c r="R26" s="492">
        <f>+'[6]23'!$N$14</f>
        <v>8448</v>
      </c>
      <c r="S26" s="370">
        <v>2714</v>
      </c>
      <c r="T26" s="370">
        <v>2470</v>
      </c>
      <c r="U26" s="370">
        <f>+'[5]23'!$N$15</f>
        <v>2525</v>
      </c>
      <c r="V26" s="492">
        <f>+'[6]23'!$N$15</f>
        <v>3076</v>
      </c>
      <c r="W26" s="370">
        <v>571</v>
      </c>
      <c r="X26" s="370">
        <v>560</v>
      </c>
      <c r="Y26" s="370">
        <f>+'[5]23'!$N$20</f>
        <v>581</v>
      </c>
      <c r="Z26" s="492">
        <f>+'[6]23'!$N$20</f>
        <v>563</v>
      </c>
      <c r="AA26" s="370">
        <v>4</v>
      </c>
      <c r="AB26" s="370">
        <v>2</v>
      </c>
      <c r="AC26" s="370">
        <f>+'[5]23'!$N$21</f>
        <v>8</v>
      </c>
      <c r="AD26" s="492">
        <f>+'[6]23'!$N$21</f>
        <v>5</v>
      </c>
      <c r="AE26" s="370"/>
      <c r="AF26" s="370"/>
      <c r="AG26" s="370"/>
      <c r="AH26" s="370">
        <f>+'[6]23'!$N$22</f>
        <v>0</v>
      </c>
      <c r="AI26" s="369">
        <f t="shared" si="14"/>
        <v>20731</v>
      </c>
      <c r="AJ26" s="370">
        <f t="shared" si="14"/>
        <v>17790</v>
      </c>
      <c r="AK26" s="370">
        <f t="shared" si="12"/>
        <v>15761</v>
      </c>
      <c r="AL26" s="492">
        <f t="shared" si="12"/>
        <v>17399</v>
      </c>
    </row>
    <row r="27" spans="1:43" s="507" customFormat="1" ht="20.25" customHeight="1">
      <c r="A27" s="501" t="s">
        <v>968</v>
      </c>
      <c r="B27" s="508"/>
      <c r="C27" s="498">
        <v>33991</v>
      </c>
      <c r="D27" s="499">
        <v>34219</v>
      </c>
      <c r="E27" s="499">
        <v>30970</v>
      </c>
      <c r="F27" s="500">
        <f t="shared" ref="F27:AK27" si="15">SUM(F21:F26)+F18</f>
        <v>30979</v>
      </c>
      <c r="G27" s="499">
        <v>18807</v>
      </c>
      <c r="H27" s="499">
        <v>19193</v>
      </c>
      <c r="I27" s="499">
        <v>17171</v>
      </c>
      <c r="J27" s="499">
        <f t="shared" si="15"/>
        <v>15758</v>
      </c>
      <c r="K27" s="498">
        <f t="shared" si="15"/>
        <v>0</v>
      </c>
      <c r="L27" s="499">
        <f t="shared" si="15"/>
        <v>0</v>
      </c>
      <c r="M27" s="499">
        <f t="shared" si="15"/>
        <v>0</v>
      </c>
      <c r="N27" s="500">
        <f t="shared" si="15"/>
        <v>0</v>
      </c>
      <c r="O27" s="499">
        <v>73975</v>
      </c>
      <c r="P27" s="499">
        <v>78804</v>
      </c>
      <c r="Q27" s="499">
        <v>75101</v>
      </c>
      <c r="R27" s="500">
        <f t="shared" si="15"/>
        <v>72255</v>
      </c>
      <c r="S27" s="499">
        <v>26960</v>
      </c>
      <c r="T27" s="499">
        <v>28919</v>
      </c>
      <c r="U27" s="499">
        <v>29621</v>
      </c>
      <c r="V27" s="500">
        <f t="shared" si="15"/>
        <v>27834</v>
      </c>
      <c r="W27" s="499">
        <v>8663</v>
      </c>
      <c r="X27" s="499">
        <v>8775</v>
      </c>
      <c r="Y27" s="499">
        <v>8795</v>
      </c>
      <c r="Z27" s="500">
        <f t="shared" si="15"/>
        <v>8218</v>
      </c>
      <c r="AA27" s="498">
        <v>1436</v>
      </c>
      <c r="AB27" s="499">
        <v>1251</v>
      </c>
      <c r="AC27" s="499">
        <v>752</v>
      </c>
      <c r="AD27" s="500">
        <f t="shared" si="15"/>
        <v>1088</v>
      </c>
      <c r="AE27" s="499">
        <v>43</v>
      </c>
      <c r="AF27" s="499">
        <f>SUM(AF21:AF26)+AF18</f>
        <v>38</v>
      </c>
      <c r="AG27" s="499">
        <f>SUM(AG21:AG26)+AG18</f>
        <v>141</v>
      </c>
      <c r="AH27" s="499">
        <f>SUM(AH21:AH26)+AH18</f>
        <v>58</v>
      </c>
      <c r="AI27" s="498">
        <f t="shared" si="15"/>
        <v>171204</v>
      </c>
      <c r="AJ27" s="499">
        <f t="shared" si="15"/>
        <v>162448</v>
      </c>
      <c r="AK27" s="499">
        <f t="shared" si="15"/>
        <v>165829</v>
      </c>
      <c r="AL27" s="500">
        <f t="shared" ref="AL27" si="16">SUM(AL21:AL26)+AL18</f>
        <v>156190</v>
      </c>
    </row>
    <row r="28" spans="1:43" s="507" customFormat="1" ht="20.25" customHeight="1">
      <c r="A28" s="1407" t="s">
        <v>656</v>
      </c>
      <c r="B28" s="1408"/>
      <c r="C28" s="502">
        <f t="shared" ref="C28:AK28" si="17">+C14+C27</f>
        <v>53889</v>
      </c>
      <c r="D28" s="503">
        <f t="shared" si="17"/>
        <v>50425</v>
      </c>
      <c r="E28" s="503">
        <f t="shared" si="17"/>
        <v>46861</v>
      </c>
      <c r="F28" s="504">
        <f t="shared" si="17"/>
        <v>45158</v>
      </c>
      <c r="G28" s="503">
        <f t="shared" si="17"/>
        <v>29687</v>
      </c>
      <c r="H28" s="503">
        <f t="shared" si="17"/>
        <v>27838</v>
      </c>
      <c r="I28" s="503">
        <f t="shared" si="17"/>
        <v>25873</v>
      </c>
      <c r="J28" s="503">
        <f t="shared" si="17"/>
        <v>23080</v>
      </c>
      <c r="K28" s="502">
        <f t="shared" si="17"/>
        <v>0</v>
      </c>
      <c r="L28" s="503">
        <f t="shared" si="17"/>
        <v>0</v>
      </c>
      <c r="M28" s="503">
        <f t="shared" si="17"/>
        <v>0</v>
      </c>
      <c r="N28" s="504">
        <f t="shared" si="17"/>
        <v>0</v>
      </c>
      <c r="O28" s="503">
        <f t="shared" si="17"/>
        <v>118440</v>
      </c>
      <c r="P28" s="503">
        <f t="shared" si="17"/>
        <v>115956</v>
      </c>
      <c r="Q28" s="503">
        <f t="shared" si="17"/>
        <v>112965</v>
      </c>
      <c r="R28" s="504">
        <f t="shared" si="17"/>
        <v>108821</v>
      </c>
      <c r="S28" s="503">
        <f t="shared" si="17"/>
        <v>43816</v>
      </c>
      <c r="T28" s="503">
        <f t="shared" si="17"/>
        <v>44713</v>
      </c>
      <c r="U28" s="503">
        <f t="shared" si="17"/>
        <v>45362</v>
      </c>
      <c r="V28" s="504">
        <f t="shared" si="17"/>
        <v>43902</v>
      </c>
      <c r="W28" s="503">
        <f t="shared" si="17"/>
        <v>12413</v>
      </c>
      <c r="X28" s="503">
        <f t="shared" si="17"/>
        <v>12697</v>
      </c>
      <c r="Y28" s="503">
        <f t="shared" si="17"/>
        <v>13017</v>
      </c>
      <c r="Z28" s="504">
        <f t="shared" si="17"/>
        <v>12534</v>
      </c>
      <c r="AA28" s="502">
        <f t="shared" si="17"/>
        <v>1707</v>
      </c>
      <c r="AB28" s="503">
        <f t="shared" si="17"/>
        <v>1366</v>
      </c>
      <c r="AC28" s="503">
        <f t="shared" si="17"/>
        <v>921</v>
      </c>
      <c r="AD28" s="504">
        <f t="shared" si="17"/>
        <v>1342</v>
      </c>
      <c r="AE28" s="503">
        <v>491</v>
      </c>
      <c r="AF28" s="503">
        <f>+AF14+AF27</f>
        <v>38</v>
      </c>
      <c r="AG28" s="503">
        <f>+AG14+AG27</f>
        <v>233</v>
      </c>
      <c r="AH28" s="503">
        <f>+AH14+AH27</f>
        <v>90</v>
      </c>
      <c r="AI28" s="502">
        <f t="shared" si="17"/>
        <v>267772</v>
      </c>
      <c r="AJ28" s="503">
        <f t="shared" si="17"/>
        <v>244282</v>
      </c>
      <c r="AK28" s="503">
        <f t="shared" si="17"/>
        <v>248510</v>
      </c>
      <c r="AL28" s="504">
        <f t="shared" ref="AL28" si="18">+AL14+AL27</f>
        <v>234927</v>
      </c>
      <c r="AN28" s="517"/>
    </row>
    <row r="30" spans="1:43">
      <c r="I30" s="521"/>
      <c r="J30" s="521"/>
      <c r="AJ30" s="521"/>
    </row>
    <row r="31" spans="1:43">
      <c r="J31" s="521"/>
      <c r="R31" s="521"/>
      <c r="V31" s="521"/>
      <c r="AL31" s="521"/>
    </row>
  </sheetData>
  <mergeCells count="13">
    <mergeCell ref="A28:B28"/>
    <mergeCell ref="A1:AL1"/>
    <mergeCell ref="AI6:AL6"/>
    <mergeCell ref="W6:Z6"/>
    <mergeCell ref="S6:V6"/>
    <mergeCell ref="O6:R6"/>
    <mergeCell ref="K6:N6"/>
    <mergeCell ref="G6:J6"/>
    <mergeCell ref="C6:F6"/>
    <mergeCell ref="A2:AL2"/>
    <mergeCell ref="A3:AL3"/>
    <mergeCell ref="AA6:AD6"/>
    <mergeCell ref="AE6:AH6"/>
  </mergeCells>
  <phoneticPr fontId="19" type="noConversion"/>
  <pageMargins left="0.39370078740157483" right="0" top="1.1811023622047245" bottom="0.78740157480314965" header="0" footer="0"/>
  <pageSetup paperSize="5" scale="68" orientation="landscape"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93"/>
  <sheetViews>
    <sheetView topLeftCell="A31" zoomScale="75" workbookViewId="0">
      <selection activeCell="K27" sqref="K27"/>
    </sheetView>
  </sheetViews>
  <sheetFormatPr baseColWidth="10" defaultColWidth="11.42578125" defaultRowHeight="12"/>
  <cols>
    <col min="1" max="1" width="27" style="398" customWidth="1"/>
    <col min="2" max="40" width="7.140625" style="398" customWidth="1"/>
    <col min="41" max="16384" width="11.42578125" style="398"/>
  </cols>
  <sheetData>
    <row r="1" spans="1:34">
      <c r="A1" s="1393" t="s">
        <v>996</v>
      </c>
      <c r="B1" s="1393"/>
      <c r="C1" s="1393"/>
      <c r="D1" s="1393"/>
      <c r="E1" s="1393"/>
      <c r="F1" s="1393"/>
      <c r="G1" s="1393"/>
      <c r="H1" s="1393"/>
      <c r="I1" s="1393"/>
      <c r="J1" s="1393"/>
      <c r="K1" s="1393"/>
      <c r="L1" s="1393"/>
      <c r="M1" s="1393"/>
      <c r="N1" s="1393"/>
      <c r="O1" s="1393"/>
      <c r="P1" s="1393"/>
      <c r="Q1" s="1393"/>
      <c r="R1" s="1393"/>
      <c r="S1" s="1393"/>
      <c r="T1" s="1393"/>
      <c r="U1" s="1393"/>
      <c r="V1" s="1393"/>
      <c r="W1" s="1393"/>
      <c r="X1" s="1393"/>
      <c r="Y1" s="1393"/>
      <c r="Z1" s="1393"/>
      <c r="AA1" s="1393"/>
      <c r="AB1" s="1393"/>
      <c r="AC1" s="1393"/>
      <c r="AD1" s="1393"/>
      <c r="AE1" s="1393"/>
      <c r="AF1" s="1393"/>
      <c r="AG1" s="1393"/>
    </row>
    <row r="2" spans="1:34">
      <c r="A2" s="1393" t="s">
        <v>997</v>
      </c>
      <c r="B2" s="1393"/>
      <c r="C2" s="1393"/>
      <c r="D2" s="1393"/>
      <c r="E2" s="1393"/>
      <c r="F2" s="1393"/>
      <c r="G2" s="1393"/>
      <c r="H2" s="1393"/>
      <c r="I2" s="1393"/>
      <c r="J2" s="1393"/>
      <c r="K2" s="1393"/>
      <c r="L2" s="1393"/>
      <c r="M2" s="1393"/>
      <c r="N2" s="1393"/>
      <c r="O2" s="1393"/>
      <c r="P2" s="1393"/>
      <c r="Q2" s="1393"/>
      <c r="R2" s="1393"/>
      <c r="S2" s="1393"/>
      <c r="T2" s="1393"/>
      <c r="U2" s="1393"/>
      <c r="V2" s="1393"/>
      <c r="W2" s="1393"/>
      <c r="X2" s="1393"/>
      <c r="Y2" s="1393"/>
      <c r="Z2" s="1393"/>
      <c r="AA2" s="1393"/>
      <c r="AB2" s="1393"/>
      <c r="AC2" s="1393"/>
      <c r="AD2" s="1393"/>
      <c r="AE2" s="1393"/>
      <c r="AF2" s="1393"/>
      <c r="AG2" s="1393"/>
    </row>
    <row r="3" spans="1:34">
      <c r="A3" s="1393" t="s">
        <v>910</v>
      </c>
      <c r="B3" s="1393"/>
      <c r="C3" s="1393"/>
      <c r="D3" s="1393"/>
      <c r="E3" s="1393"/>
      <c r="F3" s="1393"/>
      <c r="G3" s="1393"/>
      <c r="H3" s="1393"/>
      <c r="I3" s="1393"/>
      <c r="J3" s="1393"/>
      <c r="K3" s="1393"/>
      <c r="L3" s="1393"/>
      <c r="M3" s="1393"/>
      <c r="N3" s="1393"/>
      <c r="O3" s="1393"/>
      <c r="P3" s="1393"/>
      <c r="Q3" s="1393"/>
      <c r="R3" s="1393"/>
      <c r="S3" s="1393"/>
      <c r="T3" s="1393"/>
      <c r="U3" s="1393"/>
      <c r="V3" s="1393"/>
      <c r="W3" s="1393"/>
      <c r="X3" s="1393"/>
      <c r="Y3" s="1393"/>
      <c r="Z3" s="1393"/>
      <c r="AA3" s="1393"/>
      <c r="AB3" s="1393"/>
      <c r="AC3" s="1393"/>
      <c r="AD3" s="1393"/>
      <c r="AE3" s="1393"/>
      <c r="AF3" s="1393"/>
      <c r="AG3" s="1393"/>
    </row>
    <row r="6" spans="1:34">
      <c r="A6" s="399" t="s">
        <v>998</v>
      </c>
    </row>
    <row r="7" spans="1:34" s="507" customFormat="1" ht="18" customHeight="1">
      <c r="A7" s="530" t="s">
        <v>999</v>
      </c>
      <c r="B7" s="1419" t="s">
        <v>1000</v>
      </c>
      <c r="C7" s="1420"/>
      <c r="D7" s="1420"/>
      <c r="E7" s="1420"/>
      <c r="F7" s="1384" t="s">
        <v>916</v>
      </c>
      <c r="G7" s="1385"/>
      <c r="H7" s="1385"/>
      <c r="I7" s="1386"/>
      <c r="J7" s="1385" t="s">
        <v>1001</v>
      </c>
      <c r="K7" s="1385"/>
      <c r="L7" s="1385"/>
      <c r="M7" s="1385"/>
      <c r="N7" s="1388" t="s">
        <v>966</v>
      </c>
      <c r="O7" s="1389"/>
      <c r="P7" s="1389"/>
      <c r="Q7" s="1390"/>
      <c r="R7" s="1419" t="s">
        <v>1288</v>
      </c>
      <c r="S7" s="1420"/>
      <c r="T7" s="1420"/>
      <c r="U7" s="1421"/>
      <c r="V7" s="1388" t="s">
        <v>1040</v>
      </c>
      <c r="W7" s="1389"/>
      <c r="X7" s="1389"/>
      <c r="Y7" s="1390"/>
      <c r="Z7" s="1418" t="s">
        <v>1289</v>
      </c>
      <c r="AA7" s="1389"/>
      <c r="AB7" s="1389"/>
      <c r="AC7" s="1390"/>
      <c r="AD7" s="1388" t="s">
        <v>656</v>
      </c>
      <c r="AE7" s="1389"/>
      <c r="AF7" s="1389"/>
      <c r="AG7" s="1390"/>
    </row>
    <row r="8" spans="1:34" s="507" customFormat="1" ht="18" customHeight="1">
      <c r="A8" s="381"/>
      <c r="B8" s="1204">
        <f>+'48'!AI7</f>
        <v>2012</v>
      </c>
      <c r="C8" s="1205">
        <f>+'48'!AJ7</f>
        <v>2013</v>
      </c>
      <c r="D8" s="1205">
        <f>+'48'!AK7</f>
        <v>2014</v>
      </c>
      <c r="E8" s="1205">
        <f>+'48'!AL7</f>
        <v>2015</v>
      </c>
      <c r="F8" s="1204">
        <f t="shared" ref="F8:R8" si="0">+B8</f>
        <v>2012</v>
      </c>
      <c r="G8" s="1205">
        <f t="shared" si="0"/>
        <v>2013</v>
      </c>
      <c r="H8" s="1205">
        <f t="shared" si="0"/>
        <v>2014</v>
      </c>
      <c r="I8" s="1205">
        <f t="shared" si="0"/>
        <v>2015</v>
      </c>
      <c r="J8" s="1204">
        <f t="shared" si="0"/>
        <v>2012</v>
      </c>
      <c r="K8" s="1205">
        <f t="shared" si="0"/>
        <v>2013</v>
      </c>
      <c r="L8" s="1205">
        <f t="shared" si="0"/>
        <v>2014</v>
      </c>
      <c r="M8" s="1206">
        <f t="shared" si="0"/>
        <v>2015</v>
      </c>
      <c r="N8" s="1204">
        <f t="shared" si="0"/>
        <v>2012</v>
      </c>
      <c r="O8" s="1205">
        <f t="shared" si="0"/>
        <v>2013</v>
      </c>
      <c r="P8" s="1205">
        <f t="shared" si="0"/>
        <v>2014</v>
      </c>
      <c r="Q8" s="1206">
        <f>+M8</f>
        <v>2015</v>
      </c>
      <c r="R8" s="1204">
        <f t="shared" si="0"/>
        <v>2012</v>
      </c>
      <c r="S8" s="1205">
        <f>+O8</f>
        <v>2013</v>
      </c>
      <c r="T8" s="1205">
        <f>+P8</f>
        <v>2014</v>
      </c>
      <c r="U8" s="1206">
        <f>+Q8</f>
        <v>2015</v>
      </c>
      <c r="V8" s="1205">
        <f>+N8</f>
        <v>2012</v>
      </c>
      <c r="W8" s="1205">
        <f>+O8</f>
        <v>2013</v>
      </c>
      <c r="X8" s="1205">
        <f>+P8</f>
        <v>2014</v>
      </c>
      <c r="Y8" s="1205">
        <f>+Q8</f>
        <v>2015</v>
      </c>
      <c r="Z8" s="1204">
        <f>+V8</f>
        <v>2012</v>
      </c>
      <c r="AA8" s="1205">
        <f>+W8</f>
        <v>2013</v>
      </c>
      <c r="AB8" s="1205">
        <f>+X8</f>
        <v>2014</v>
      </c>
      <c r="AC8" s="1206">
        <f>+Q8</f>
        <v>2015</v>
      </c>
      <c r="AD8" s="1205">
        <f>+N8</f>
        <v>2012</v>
      </c>
      <c r="AE8" s="1205">
        <f>+O8</f>
        <v>2013</v>
      </c>
      <c r="AF8" s="1205">
        <f>+P8</f>
        <v>2014</v>
      </c>
      <c r="AG8" s="1206">
        <f>+Q8</f>
        <v>2015</v>
      </c>
      <c r="AH8" s="526"/>
    </row>
    <row r="9" spans="1:34" s="507" customFormat="1" ht="18" customHeight="1">
      <c r="A9" s="530" t="s">
        <v>1002</v>
      </c>
      <c r="B9" s="370">
        <v>3698</v>
      </c>
      <c r="C9" s="370">
        <v>3793</v>
      </c>
      <c r="D9" s="370">
        <v>3516</v>
      </c>
      <c r="E9" s="492">
        <v>3354</v>
      </c>
      <c r="F9" s="370">
        <v>2133</v>
      </c>
      <c r="G9" s="370">
        <v>2075</v>
      </c>
      <c r="H9" s="370">
        <v>2107</v>
      </c>
      <c r="I9" s="492">
        <v>1836</v>
      </c>
      <c r="J9" s="370"/>
      <c r="K9" s="370"/>
      <c r="L9" s="370"/>
      <c r="M9" s="370"/>
      <c r="N9" s="369"/>
      <c r="O9" s="370"/>
      <c r="P9" s="370"/>
      <c r="Q9" s="492"/>
      <c r="R9" s="370"/>
      <c r="S9" s="370"/>
      <c r="T9" s="370"/>
      <c r="U9" s="492"/>
      <c r="V9" s="370"/>
      <c r="W9" s="370"/>
      <c r="X9" s="370"/>
      <c r="Y9" s="370"/>
      <c r="Z9" s="369"/>
      <c r="AA9" s="370"/>
      <c r="AB9" s="370"/>
      <c r="AC9" s="492"/>
      <c r="AD9" s="369">
        <f t="shared" ref="AD9:AG10" si="1">+N9+J9+F9+B9</f>
        <v>5831</v>
      </c>
      <c r="AE9" s="370">
        <f t="shared" si="1"/>
        <v>5868</v>
      </c>
      <c r="AF9" s="370">
        <f t="shared" si="1"/>
        <v>5623</v>
      </c>
      <c r="AG9" s="492">
        <f t="shared" si="1"/>
        <v>5190</v>
      </c>
      <c r="AH9" s="524"/>
    </row>
    <row r="10" spans="1:34" s="507" customFormat="1" ht="18" customHeight="1">
      <c r="A10" s="532" t="s">
        <v>1003</v>
      </c>
      <c r="B10" s="370"/>
      <c r="C10" s="370"/>
      <c r="D10" s="370"/>
      <c r="E10" s="492"/>
      <c r="F10" s="370"/>
      <c r="G10" s="370"/>
      <c r="H10" s="370"/>
      <c r="I10" s="492"/>
      <c r="J10" s="370"/>
      <c r="K10" s="370"/>
      <c r="L10" s="370"/>
      <c r="M10" s="370"/>
      <c r="N10" s="369"/>
      <c r="O10" s="370"/>
      <c r="P10" s="370"/>
      <c r="Q10" s="492"/>
      <c r="R10" s="370"/>
      <c r="S10" s="370"/>
      <c r="T10" s="370"/>
      <c r="U10" s="492"/>
      <c r="V10" s="370"/>
      <c r="W10" s="370"/>
      <c r="X10" s="370"/>
      <c r="Y10" s="370"/>
      <c r="Z10" s="369"/>
      <c r="AA10" s="370"/>
      <c r="AB10" s="370"/>
      <c r="AC10" s="492"/>
      <c r="AD10" s="369">
        <f t="shared" si="1"/>
        <v>0</v>
      </c>
      <c r="AE10" s="370">
        <f t="shared" si="1"/>
        <v>0</v>
      </c>
      <c r="AF10" s="370">
        <f t="shared" si="1"/>
        <v>0</v>
      </c>
      <c r="AG10" s="492">
        <f t="shared" si="1"/>
        <v>0</v>
      </c>
      <c r="AH10" s="524"/>
    </row>
    <row r="11" spans="1:34" s="507" customFormat="1" ht="18" customHeight="1">
      <c r="A11" s="532" t="s">
        <v>1004</v>
      </c>
      <c r="B11" s="370">
        <v>899</v>
      </c>
      <c r="C11" s="370">
        <v>1046</v>
      </c>
      <c r="D11" s="370">
        <v>1115</v>
      </c>
      <c r="E11" s="492">
        <v>1138</v>
      </c>
      <c r="F11" s="370"/>
      <c r="G11" s="370"/>
      <c r="H11" s="370"/>
      <c r="I11" s="492"/>
      <c r="J11" s="370"/>
      <c r="K11" s="370"/>
      <c r="L11" s="370"/>
      <c r="M11" s="370"/>
      <c r="N11" s="369"/>
      <c r="O11" s="370"/>
      <c r="P11" s="370"/>
      <c r="Q11" s="492"/>
      <c r="R11" s="370"/>
      <c r="S11" s="370"/>
      <c r="T11" s="370"/>
      <c r="U11" s="492"/>
      <c r="V11" s="370"/>
      <c r="W11" s="370"/>
      <c r="X11" s="370"/>
      <c r="Y11" s="370"/>
      <c r="Z11" s="369"/>
      <c r="AA11" s="370"/>
      <c r="AB11" s="370"/>
      <c r="AC11" s="492"/>
      <c r="AD11" s="369">
        <f t="shared" ref="AD11:AD35" si="2">+N11+J11+F11+B11</f>
        <v>899</v>
      </c>
      <c r="AE11" s="370">
        <f t="shared" ref="AE11:AE35" si="3">+O11+K11+G11+C11</f>
        <v>1046</v>
      </c>
      <c r="AF11" s="370">
        <f t="shared" ref="AF11:AF28" si="4">+P11+L11+H11+D11</f>
        <v>1115</v>
      </c>
      <c r="AG11" s="492">
        <f t="shared" ref="AG11:AG28" si="5">+Q11+M11+I11+E11</f>
        <v>1138</v>
      </c>
      <c r="AH11" s="524"/>
    </row>
    <row r="12" spans="1:34" s="507" customFormat="1" ht="18" customHeight="1">
      <c r="A12" s="94" t="s">
        <v>1005</v>
      </c>
      <c r="B12" s="370"/>
      <c r="C12" s="370"/>
      <c r="D12" s="370"/>
      <c r="E12" s="492"/>
      <c r="F12" s="370"/>
      <c r="G12" s="370"/>
      <c r="H12" s="370"/>
      <c r="I12" s="492"/>
      <c r="J12" s="370"/>
      <c r="K12" s="370"/>
      <c r="L12" s="370"/>
      <c r="M12" s="370"/>
      <c r="N12" s="369"/>
      <c r="O12" s="370"/>
      <c r="P12" s="370"/>
      <c r="Q12" s="492"/>
      <c r="R12" s="370"/>
      <c r="S12" s="370"/>
      <c r="T12" s="370"/>
      <c r="U12" s="492"/>
      <c r="V12" s="370"/>
      <c r="W12" s="370"/>
      <c r="X12" s="370"/>
      <c r="Y12" s="370"/>
      <c r="Z12" s="369"/>
      <c r="AA12" s="370"/>
      <c r="AB12" s="370"/>
      <c r="AC12" s="492"/>
      <c r="AD12" s="369">
        <f>+N12+J12+F12+B12</f>
        <v>0</v>
      </c>
      <c r="AE12" s="370">
        <f>+O12+K12+G12+C12</f>
        <v>0</v>
      </c>
      <c r="AF12" s="370">
        <f>+P12+L12+H12+D12</f>
        <v>0</v>
      </c>
      <c r="AG12" s="492">
        <f>+Q12+M12+I12+E12</f>
        <v>0</v>
      </c>
      <c r="AH12" s="524"/>
    </row>
    <row r="13" spans="1:34" s="507" customFormat="1" ht="18" customHeight="1">
      <c r="A13" s="532" t="s">
        <v>1006</v>
      </c>
      <c r="B13" s="370">
        <v>476</v>
      </c>
      <c r="C13" s="370">
        <v>514</v>
      </c>
      <c r="D13" s="370">
        <v>526</v>
      </c>
      <c r="E13" s="492">
        <v>446</v>
      </c>
      <c r="F13" s="370"/>
      <c r="G13" s="370"/>
      <c r="H13" s="370"/>
      <c r="I13" s="492"/>
      <c r="J13" s="370"/>
      <c r="K13" s="370"/>
      <c r="L13" s="370"/>
      <c r="M13" s="370"/>
      <c r="N13" s="369"/>
      <c r="O13" s="370"/>
      <c r="P13" s="370"/>
      <c r="Q13" s="492"/>
      <c r="R13" s="370"/>
      <c r="S13" s="370"/>
      <c r="T13" s="370"/>
      <c r="U13" s="492"/>
      <c r="V13" s="370"/>
      <c r="W13" s="370"/>
      <c r="X13" s="370"/>
      <c r="Y13" s="370"/>
      <c r="Z13" s="369"/>
      <c r="AA13" s="370"/>
      <c r="AB13" s="370"/>
      <c r="AC13" s="492"/>
      <c r="AD13" s="369">
        <f t="shared" si="2"/>
        <v>476</v>
      </c>
      <c r="AE13" s="370">
        <f t="shared" si="3"/>
        <v>514</v>
      </c>
      <c r="AF13" s="370">
        <f t="shared" si="4"/>
        <v>526</v>
      </c>
      <c r="AG13" s="492">
        <f t="shared" si="5"/>
        <v>446</v>
      </c>
      <c r="AH13" s="524"/>
    </row>
    <row r="14" spans="1:34" s="507" customFormat="1" ht="18" customHeight="1">
      <c r="A14" s="532" t="s">
        <v>1007</v>
      </c>
      <c r="B14" s="370"/>
      <c r="C14" s="370"/>
      <c r="D14" s="370"/>
      <c r="E14" s="492"/>
      <c r="F14" s="370">
        <v>6</v>
      </c>
      <c r="G14" s="370"/>
      <c r="H14" s="370"/>
      <c r="I14" s="492"/>
      <c r="J14" s="370"/>
      <c r="K14" s="370"/>
      <c r="L14" s="370"/>
      <c r="M14" s="370"/>
      <c r="N14" s="369"/>
      <c r="O14" s="370"/>
      <c r="P14" s="370"/>
      <c r="Q14" s="492"/>
      <c r="R14" s="370"/>
      <c r="S14" s="370"/>
      <c r="T14" s="370"/>
      <c r="U14" s="492"/>
      <c r="V14" s="370"/>
      <c r="W14" s="370"/>
      <c r="X14" s="370"/>
      <c r="Y14" s="370"/>
      <c r="Z14" s="369"/>
      <c r="AA14" s="370"/>
      <c r="AB14" s="370"/>
      <c r="AC14" s="492"/>
      <c r="AD14" s="369">
        <f>+N14+J14+F14+B14</f>
        <v>6</v>
      </c>
      <c r="AE14" s="370">
        <f>+O14+K14+G14+C14</f>
        <v>0</v>
      </c>
      <c r="AF14" s="370">
        <f t="shared" si="4"/>
        <v>0</v>
      </c>
      <c r="AG14" s="492">
        <f t="shared" si="5"/>
        <v>0</v>
      </c>
      <c r="AH14" s="524"/>
    </row>
    <row r="15" spans="1:34" s="507" customFormat="1" ht="18" customHeight="1">
      <c r="A15" s="532" t="s">
        <v>1008</v>
      </c>
      <c r="B15" s="370"/>
      <c r="C15" s="370"/>
      <c r="D15" s="370"/>
      <c r="E15" s="492"/>
      <c r="F15" s="370"/>
      <c r="G15" s="370"/>
      <c r="H15" s="370"/>
      <c r="I15" s="492"/>
      <c r="J15" s="370"/>
      <c r="K15" s="370"/>
      <c r="L15" s="370"/>
      <c r="M15" s="370"/>
      <c r="N15" s="369"/>
      <c r="O15" s="370"/>
      <c r="P15" s="370"/>
      <c r="Q15" s="492"/>
      <c r="R15" s="370"/>
      <c r="S15" s="370"/>
      <c r="T15" s="370"/>
      <c r="U15" s="492"/>
      <c r="V15" s="370"/>
      <c r="W15" s="370"/>
      <c r="X15" s="370"/>
      <c r="Y15" s="370"/>
      <c r="Z15" s="369"/>
      <c r="AA15" s="370"/>
      <c r="AB15" s="370"/>
      <c r="AC15" s="492"/>
      <c r="AD15" s="369">
        <f>+N15+J15+F15+B15</f>
        <v>0</v>
      </c>
      <c r="AE15" s="370">
        <f>+O15+K15+G15+C15</f>
        <v>0</v>
      </c>
      <c r="AF15" s="370">
        <f>+P15+L15+H15+D15</f>
        <v>0</v>
      </c>
      <c r="AG15" s="492">
        <f>+Q15+M15+I15+E15</f>
        <v>0</v>
      </c>
      <c r="AH15" s="524"/>
    </row>
    <row r="16" spans="1:34" s="507" customFormat="1" ht="18" customHeight="1">
      <c r="A16" s="532" t="s">
        <v>1009</v>
      </c>
      <c r="B16" s="370"/>
      <c r="C16" s="370"/>
      <c r="D16" s="370"/>
      <c r="E16" s="492"/>
      <c r="F16" s="370"/>
      <c r="G16" s="370"/>
      <c r="H16" s="370"/>
      <c r="I16" s="492"/>
      <c r="J16" s="370"/>
      <c r="K16" s="370"/>
      <c r="L16" s="370"/>
      <c r="M16" s="370"/>
      <c r="N16" s="369"/>
      <c r="O16" s="370"/>
      <c r="P16" s="370"/>
      <c r="Q16" s="492"/>
      <c r="R16" s="370"/>
      <c r="S16" s="370"/>
      <c r="T16" s="370"/>
      <c r="U16" s="492"/>
      <c r="V16" s="370"/>
      <c r="W16" s="370"/>
      <c r="X16" s="370"/>
      <c r="Y16" s="370"/>
      <c r="Z16" s="369"/>
      <c r="AA16" s="370"/>
      <c r="AB16" s="370"/>
      <c r="AC16" s="492"/>
      <c r="AD16" s="369">
        <f t="shared" si="2"/>
        <v>0</v>
      </c>
      <c r="AE16" s="370">
        <f t="shared" si="3"/>
        <v>0</v>
      </c>
      <c r="AF16" s="370">
        <f t="shared" si="4"/>
        <v>0</v>
      </c>
      <c r="AG16" s="492">
        <f t="shared" si="5"/>
        <v>0</v>
      </c>
      <c r="AH16" s="524"/>
    </row>
    <row r="17" spans="1:34" s="507" customFormat="1" ht="18" customHeight="1">
      <c r="A17" s="532" t="s">
        <v>1010</v>
      </c>
      <c r="B17" s="370"/>
      <c r="C17" s="370"/>
      <c r="D17" s="370"/>
      <c r="E17" s="492"/>
      <c r="F17" s="370"/>
      <c r="G17" s="370"/>
      <c r="H17" s="370"/>
      <c r="I17" s="492"/>
      <c r="J17" s="370"/>
      <c r="K17" s="370"/>
      <c r="L17" s="370"/>
      <c r="M17" s="370"/>
      <c r="N17" s="369"/>
      <c r="O17" s="370"/>
      <c r="P17" s="370"/>
      <c r="Q17" s="492"/>
      <c r="R17" s="370"/>
      <c r="S17" s="370"/>
      <c r="T17" s="370"/>
      <c r="U17" s="492"/>
      <c r="V17" s="370"/>
      <c r="W17" s="370"/>
      <c r="X17" s="370"/>
      <c r="Y17" s="370"/>
      <c r="Z17" s="369"/>
      <c r="AA17" s="370"/>
      <c r="AB17" s="370"/>
      <c r="AC17" s="492"/>
      <c r="AD17" s="369">
        <f>+N17+J17+F17+B17</f>
        <v>0</v>
      </c>
      <c r="AE17" s="370">
        <f>+O17+K17+G17+C17</f>
        <v>0</v>
      </c>
      <c r="AF17" s="370">
        <f t="shared" si="4"/>
        <v>0</v>
      </c>
      <c r="AG17" s="492">
        <f t="shared" si="5"/>
        <v>0</v>
      </c>
      <c r="AH17" s="524"/>
    </row>
    <row r="18" spans="1:34" s="507" customFormat="1" ht="18" customHeight="1">
      <c r="A18" s="532" t="s">
        <v>1011</v>
      </c>
      <c r="B18" s="370"/>
      <c r="C18" s="370"/>
      <c r="D18" s="370"/>
      <c r="E18" s="492"/>
      <c r="F18" s="370"/>
      <c r="G18" s="370"/>
      <c r="H18" s="370"/>
      <c r="I18" s="492"/>
      <c r="J18" s="370"/>
      <c r="K18" s="370"/>
      <c r="L18" s="370"/>
      <c r="M18" s="370"/>
      <c r="N18" s="369"/>
      <c r="O18" s="370"/>
      <c r="P18" s="370"/>
      <c r="Q18" s="492"/>
      <c r="R18" s="370"/>
      <c r="S18" s="370"/>
      <c r="T18" s="370"/>
      <c r="U18" s="492"/>
      <c r="V18" s="370"/>
      <c r="W18" s="370"/>
      <c r="X18" s="370"/>
      <c r="Y18" s="370"/>
      <c r="Z18" s="369"/>
      <c r="AA18" s="370"/>
      <c r="AB18" s="370"/>
      <c r="AC18" s="492"/>
      <c r="AD18" s="369">
        <f>+N18+J18+F18+B18</f>
        <v>0</v>
      </c>
      <c r="AE18" s="370">
        <f>+O18+K18+G18+C18</f>
        <v>0</v>
      </c>
      <c r="AF18" s="370">
        <f>+P18+L18+H18+D18</f>
        <v>0</v>
      </c>
      <c r="AG18" s="492">
        <f>+Q18+M18+I18+E18</f>
        <v>0</v>
      </c>
      <c r="AH18" s="524"/>
    </row>
    <row r="19" spans="1:34" s="507" customFormat="1" ht="18" customHeight="1">
      <c r="A19" s="532" t="s">
        <v>1012</v>
      </c>
      <c r="B19" s="370"/>
      <c r="C19" s="370"/>
      <c r="D19" s="370"/>
      <c r="E19" s="492"/>
      <c r="F19" s="370">
        <v>567</v>
      </c>
      <c r="G19" s="370">
        <v>604</v>
      </c>
      <c r="H19" s="370">
        <v>585</v>
      </c>
      <c r="I19" s="492">
        <v>570</v>
      </c>
      <c r="J19" s="370"/>
      <c r="K19" s="370"/>
      <c r="L19" s="370"/>
      <c r="M19" s="370"/>
      <c r="N19" s="369"/>
      <c r="O19" s="370"/>
      <c r="P19" s="370"/>
      <c r="Q19" s="492"/>
      <c r="R19" s="370"/>
      <c r="S19" s="370"/>
      <c r="T19" s="370"/>
      <c r="U19" s="492"/>
      <c r="V19" s="370"/>
      <c r="W19" s="370"/>
      <c r="X19" s="370"/>
      <c r="Y19" s="370"/>
      <c r="Z19" s="369"/>
      <c r="AA19" s="370"/>
      <c r="AB19" s="370"/>
      <c r="AC19" s="492"/>
      <c r="AD19" s="369">
        <f t="shared" si="2"/>
        <v>567</v>
      </c>
      <c r="AE19" s="370">
        <f t="shared" si="3"/>
        <v>604</v>
      </c>
      <c r="AF19" s="370">
        <f t="shared" si="4"/>
        <v>585</v>
      </c>
      <c r="AG19" s="492">
        <f t="shared" si="5"/>
        <v>570</v>
      </c>
      <c r="AH19" s="524"/>
    </row>
    <row r="20" spans="1:34" s="507" customFormat="1" ht="18" customHeight="1">
      <c r="A20" s="532" t="s">
        <v>1013</v>
      </c>
      <c r="B20" s="370"/>
      <c r="C20" s="370"/>
      <c r="D20" s="370"/>
      <c r="E20" s="492"/>
      <c r="F20" s="370">
        <v>28</v>
      </c>
      <c r="G20" s="370">
        <v>23</v>
      </c>
      <c r="H20" s="370">
        <v>27</v>
      </c>
      <c r="I20" s="492">
        <v>35</v>
      </c>
      <c r="J20" s="370"/>
      <c r="K20" s="370"/>
      <c r="L20" s="370"/>
      <c r="M20" s="370"/>
      <c r="N20" s="369"/>
      <c r="O20" s="370"/>
      <c r="P20" s="370"/>
      <c r="Q20" s="492"/>
      <c r="R20" s="370"/>
      <c r="S20" s="370"/>
      <c r="T20" s="370"/>
      <c r="U20" s="492"/>
      <c r="V20" s="370"/>
      <c r="W20" s="370"/>
      <c r="X20" s="370"/>
      <c r="Y20" s="370"/>
      <c r="Z20" s="369"/>
      <c r="AA20" s="370"/>
      <c r="AB20" s="370"/>
      <c r="AC20" s="492"/>
      <c r="AD20" s="369">
        <f>+N20+J20+F20+B20</f>
        <v>28</v>
      </c>
      <c r="AE20" s="370">
        <f>+O20+K20+G20+C20</f>
        <v>23</v>
      </c>
      <c r="AF20" s="370">
        <f t="shared" si="4"/>
        <v>27</v>
      </c>
      <c r="AG20" s="492">
        <f t="shared" si="5"/>
        <v>35</v>
      </c>
      <c r="AH20" s="524"/>
    </row>
    <row r="21" spans="1:34" s="507" customFormat="1" ht="18" customHeight="1">
      <c r="A21" s="1053" t="s">
        <v>807</v>
      </c>
      <c r="B21" s="370"/>
      <c r="C21" s="370"/>
      <c r="D21" s="370"/>
      <c r="E21" s="492"/>
      <c r="F21" s="370"/>
      <c r="G21" s="370"/>
      <c r="H21" s="370">
        <v>3</v>
      </c>
      <c r="I21" s="492">
        <v>7</v>
      </c>
      <c r="J21" s="370"/>
      <c r="K21" s="370"/>
      <c r="L21" s="370"/>
      <c r="M21" s="492"/>
      <c r="N21" s="369"/>
      <c r="O21" s="370"/>
      <c r="P21" s="370"/>
      <c r="Q21" s="492"/>
      <c r="R21" s="370"/>
      <c r="S21" s="370"/>
      <c r="T21" s="370"/>
      <c r="U21" s="492"/>
      <c r="V21" s="370"/>
      <c r="W21" s="370"/>
      <c r="X21" s="370"/>
      <c r="Y21" s="370"/>
      <c r="Z21" s="369"/>
      <c r="AA21" s="370"/>
      <c r="AB21" s="370"/>
      <c r="AC21" s="492"/>
      <c r="AD21" s="369">
        <f>+N21+J21+F21+B21</f>
        <v>0</v>
      </c>
      <c r="AE21" s="370">
        <f>+O21+K21+G21+C21</f>
        <v>0</v>
      </c>
      <c r="AF21" s="370">
        <f>+P21+L21+H21+D21</f>
        <v>3</v>
      </c>
      <c r="AG21" s="492">
        <f>+Q21+M21+I21+E21</f>
        <v>7</v>
      </c>
      <c r="AH21" s="524"/>
    </row>
    <row r="22" spans="1:34" s="507" customFormat="1" ht="18" customHeight="1">
      <c r="A22" s="532" t="s">
        <v>1014</v>
      </c>
      <c r="B22" s="370">
        <v>2367</v>
      </c>
      <c r="C22" s="370">
        <v>2575</v>
      </c>
      <c r="D22" s="370">
        <v>2238</v>
      </c>
      <c r="E22" s="492">
        <v>2342</v>
      </c>
      <c r="F22" s="370"/>
      <c r="G22" s="370"/>
      <c r="H22" s="370"/>
      <c r="I22" s="492"/>
      <c r="J22" s="370"/>
      <c r="K22" s="370"/>
      <c r="L22" s="370"/>
      <c r="M22" s="492"/>
      <c r="N22" s="369"/>
      <c r="O22" s="370"/>
      <c r="P22" s="370"/>
      <c r="Q22" s="492"/>
      <c r="R22" s="370"/>
      <c r="S22" s="370"/>
      <c r="T22" s="370"/>
      <c r="U22" s="492"/>
      <c r="V22" s="370"/>
      <c r="W22" s="370"/>
      <c r="X22" s="370"/>
      <c r="Y22" s="370"/>
      <c r="Z22" s="369"/>
      <c r="AA22" s="370"/>
      <c r="AB22" s="370"/>
      <c r="AC22" s="492"/>
      <c r="AD22" s="369">
        <f t="shared" si="2"/>
        <v>2367</v>
      </c>
      <c r="AE22" s="370">
        <f t="shared" si="3"/>
        <v>2575</v>
      </c>
      <c r="AF22" s="370">
        <f t="shared" si="4"/>
        <v>2238</v>
      </c>
      <c r="AG22" s="492">
        <f t="shared" si="5"/>
        <v>2342</v>
      </c>
      <c r="AH22" s="524"/>
    </row>
    <row r="23" spans="1:34" s="507" customFormat="1" ht="18" customHeight="1">
      <c r="A23" s="532" t="s">
        <v>1015</v>
      </c>
      <c r="B23" s="370"/>
      <c r="C23" s="370"/>
      <c r="D23" s="370"/>
      <c r="E23" s="492"/>
      <c r="F23" s="370"/>
      <c r="G23" s="370"/>
      <c r="H23" s="370"/>
      <c r="I23" s="492"/>
      <c r="J23" s="370"/>
      <c r="K23" s="370"/>
      <c r="L23" s="370"/>
      <c r="M23" s="492"/>
      <c r="N23" s="369">
        <v>487</v>
      </c>
      <c r="O23" s="370">
        <v>244</v>
      </c>
      <c r="P23" s="370">
        <v>252</v>
      </c>
      <c r="Q23" s="492">
        <v>225</v>
      </c>
      <c r="R23" s="370">
        <v>2</v>
      </c>
      <c r="S23" s="370"/>
      <c r="T23" s="370"/>
      <c r="U23" s="492"/>
      <c r="V23" s="370"/>
      <c r="W23" s="370"/>
      <c r="X23" s="370"/>
      <c r="Y23" s="370"/>
      <c r="Z23" s="369"/>
      <c r="AA23" s="370"/>
      <c r="AB23" s="370"/>
      <c r="AC23" s="492"/>
      <c r="AD23" s="369">
        <f>+N23+J23+F23+B23+R23</f>
        <v>489</v>
      </c>
      <c r="AE23" s="370">
        <f>+O23+K23+G23+C23+S23</f>
        <v>244</v>
      </c>
      <c r="AF23" s="370">
        <f>+P23+L23+H23+D23+T23</f>
        <v>252</v>
      </c>
      <c r="AG23" s="533">
        <f>+Q23+M23+I23+E23+U23+Y23+AC23</f>
        <v>225</v>
      </c>
      <c r="AH23" s="524"/>
    </row>
    <row r="24" spans="1:34" s="507" customFormat="1" ht="18" customHeight="1">
      <c r="A24" s="532" t="s">
        <v>1016</v>
      </c>
      <c r="B24" s="370">
        <v>1852</v>
      </c>
      <c r="C24" s="370">
        <v>1476</v>
      </c>
      <c r="D24" s="370">
        <v>1137</v>
      </c>
      <c r="E24" s="492">
        <v>1405</v>
      </c>
      <c r="F24" s="370">
        <v>824</v>
      </c>
      <c r="G24" s="370">
        <v>580</v>
      </c>
      <c r="H24" s="370">
        <v>96</v>
      </c>
      <c r="I24" s="492"/>
      <c r="J24" s="370"/>
      <c r="K24" s="370"/>
      <c r="L24" s="370"/>
      <c r="M24" s="492"/>
      <c r="N24" s="369"/>
      <c r="O24" s="370"/>
      <c r="P24" s="370"/>
      <c r="Q24" s="492"/>
      <c r="R24" s="370"/>
      <c r="S24" s="370"/>
      <c r="T24" s="370"/>
      <c r="U24" s="492"/>
      <c r="V24" s="370"/>
      <c r="W24" s="370"/>
      <c r="X24" s="370"/>
      <c r="Y24" s="370"/>
      <c r="Z24" s="369"/>
      <c r="AA24" s="370"/>
      <c r="AB24" s="370"/>
      <c r="AC24" s="492"/>
      <c r="AD24" s="369">
        <f t="shared" si="2"/>
        <v>2676</v>
      </c>
      <c r="AE24" s="370">
        <f t="shared" si="3"/>
        <v>2056</v>
      </c>
      <c r="AF24" s="370">
        <f t="shared" si="4"/>
        <v>1233</v>
      </c>
      <c r="AG24" s="492">
        <f t="shared" si="5"/>
        <v>1405</v>
      </c>
      <c r="AH24" s="524"/>
    </row>
    <row r="25" spans="1:34" s="507" customFormat="1" ht="18" customHeight="1">
      <c r="A25" s="94" t="s">
        <v>1017</v>
      </c>
      <c r="B25" s="370"/>
      <c r="C25" s="370"/>
      <c r="D25" s="370"/>
      <c r="E25" s="492"/>
      <c r="F25" s="370"/>
      <c r="G25" s="370"/>
      <c r="H25" s="370"/>
      <c r="I25" s="492"/>
      <c r="J25" s="370"/>
      <c r="K25" s="370"/>
      <c r="L25" s="370"/>
      <c r="M25" s="492"/>
      <c r="N25" s="369"/>
      <c r="O25" s="370"/>
      <c r="P25" s="370"/>
      <c r="Q25" s="492"/>
      <c r="R25" s="370"/>
      <c r="S25" s="370"/>
      <c r="T25" s="370"/>
      <c r="U25" s="492"/>
      <c r="V25" s="370"/>
      <c r="W25" s="370"/>
      <c r="X25" s="370"/>
      <c r="Y25" s="370"/>
      <c r="Z25" s="369"/>
      <c r="AA25" s="370"/>
      <c r="AB25" s="370"/>
      <c r="AC25" s="492"/>
      <c r="AD25" s="369">
        <f t="shared" ref="AD25:AG27" si="6">+N25+J25+F25+B25</f>
        <v>0</v>
      </c>
      <c r="AE25" s="370">
        <f t="shared" si="6"/>
        <v>0</v>
      </c>
      <c r="AF25" s="370">
        <f t="shared" si="6"/>
        <v>0</v>
      </c>
      <c r="AG25" s="492">
        <f t="shared" si="6"/>
        <v>0</v>
      </c>
      <c r="AH25" s="524"/>
    </row>
    <row r="26" spans="1:34" s="507" customFormat="1" ht="18" customHeight="1">
      <c r="A26" s="1053" t="s">
        <v>1136</v>
      </c>
      <c r="B26" s="370"/>
      <c r="C26" s="370"/>
      <c r="D26" s="370"/>
      <c r="E26" s="492"/>
      <c r="F26" s="370"/>
      <c r="G26" s="370"/>
      <c r="H26" s="370"/>
      <c r="I26" s="492"/>
      <c r="J26" s="370"/>
      <c r="K26" s="370"/>
      <c r="L26" s="370"/>
      <c r="M26" s="492"/>
      <c r="N26" s="369"/>
      <c r="O26" s="370"/>
      <c r="P26" s="370"/>
      <c r="Q26" s="492"/>
      <c r="R26" s="370"/>
      <c r="S26" s="370"/>
      <c r="T26" s="370"/>
      <c r="U26" s="492"/>
      <c r="V26" s="370"/>
      <c r="W26" s="370"/>
      <c r="X26" s="370"/>
      <c r="Y26" s="370"/>
      <c r="Z26" s="369"/>
      <c r="AA26" s="370"/>
      <c r="AB26" s="370"/>
      <c r="AC26" s="492"/>
      <c r="AD26" s="369">
        <f t="shared" si="6"/>
        <v>0</v>
      </c>
      <c r="AE26" s="370">
        <f t="shared" si="6"/>
        <v>0</v>
      </c>
      <c r="AF26" s="370">
        <f t="shared" si="6"/>
        <v>0</v>
      </c>
      <c r="AG26" s="492">
        <f t="shared" si="6"/>
        <v>0</v>
      </c>
      <c r="AH26" s="524"/>
    </row>
    <row r="27" spans="1:34" s="507" customFormat="1" ht="18" customHeight="1">
      <c r="A27" s="94" t="s">
        <v>1018</v>
      </c>
      <c r="B27" s="370"/>
      <c r="C27" s="370"/>
      <c r="D27" s="370"/>
      <c r="E27" s="492"/>
      <c r="F27" s="370">
        <v>9</v>
      </c>
      <c r="G27" s="370">
        <v>9</v>
      </c>
      <c r="H27" s="370">
        <v>37</v>
      </c>
      <c r="I27" s="492">
        <v>33</v>
      </c>
      <c r="J27" s="370"/>
      <c r="K27" s="370"/>
      <c r="L27" s="370"/>
      <c r="M27" s="492"/>
      <c r="N27" s="369"/>
      <c r="O27" s="370"/>
      <c r="P27" s="370"/>
      <c r="Q27" s="492"/>
      <c r="R27" s="370"/>
      <c r="S27" s="370"/>
      <c r="T27" s="370"/>
      <c r="U27" s="492"/>
      <c r="V27" s="370"/>
      <c r="W27" s="370"/>
      <c r="X27" s="370"/>
      <c r="Y27" s="370"/>
      <c r="Z27" s="369"/>
      <c r="AA27" s="370"/>
      <c r="AB27" s="370"/>
      <c r="AC27" s="492"/>
      <c r="AD27" s="369">
        <f t="shared" si="6"/>
        <v>9</v>
      </c>
      <c r="AE27" s="370">
        <f t="shared" si="6"/>
        <v>9</v>
      </c>
      <c r="AF27" s="370">
        <f t="shared" si="6"/>
        <v>37</v>
      </c>
      <c r="AG27" s="492">
        <f t="shared" si="6"/>
        <v>33</v>
      </c>
      <c r="AH27" s="524"/>
    </row>
    <row r="28" spans="1:34" s="507" customFormat="1" ht="18" customHeight="1">
      <c r="A28" s="532" t="s">
        <v>1019</v>
      </c>
      <c r="B28" s="370">
        <v>60</v>
      </c>
      <c r="C28" s="370">
        <v>65</v>
      </c>
      <c r="D28" s="370">
        <v>67</v>
      </c>
      <c r="E28" s="492">
        <v>69</v>
      </c>
      <c r="F28" s="370"/>
      <c r="G28" s="370"/>
      <c r="H28" s="370"/>
      <c r="I28" s="492"/>
      <c r="J28" s="370"/>
      <c r="K28" s="370"/>
      <c r="L28" s="370"/>
      <c r="M28" s="492"/>
      <c r="N28" s="369"/>
      <c r="O28" s="370"/>
      <c r="P28" s="370"/>
      <c r="Q28" s="492"/>
      <c r="R28" s="370"/>
      <c r="S28" s="370"/>
      <c r="T28" s="370"/>
      <c r="U28" s="492"/>
      <c r="V28" s="370"/>
      <c r="W28" s="370"/>
      <c r="X28" s="370"/>
      <c r="Y28" s="370"/>
      <c r="Z28" s="369"/>
      <c r="AA28" s="370"/>
      <c r="AB28" s="370"/>
      <c r="AC28" s="492"/>
      <c r="AD28" s="369">
        <f t="shared" si="2"/>
        <v>60</v>
      </c>
      <c r="AE28" s="370">
        <f t="shared" si="3"/>
        <v>65</v>
      </c>
      <c r="AF28" s="370">
        <f t="shared" si="4"/>
        <v>67</v>
      </c>
      <c r="AG28" s="492">
        <f t="shared" si="5"/>
        <v>69</v>
      </c>
      <c r="AH28" s="524"/>
    </row>
    <row r="29" spans="1:34" s="507" customFormat="1" ht="18" customHeight="1">
      <c r="A29" s="532" t="s">
        <v>1020</v>
      </c>
      <c r="B29" s="370"/>
      <c r="C29" s="370"/>
      <c r="D29" s="370"/>
      <c r="E29" s="492"/>
      <c r="F29" s="370"/>
      <c r="G29" s="370"/>
      <c r="H29" s="370"/>
      <c r="I29" s="492"/>
      <c r="J29" s="370"/>
      <c r="K29" s="370"/>
      <c r="L29" s="370"/>
      <c r="M29" s="492"/>
      <c r="N29" s="369"/>
      <c r="O29" s="370"/>
      <c r="P29" s="370"/>
      <c r="Q29" s="492"/>
      <c r="R29" s="370"/>
      <c r="S29" s="370"/>
      <c r="T29" s="370"/>
      <c r="U29" s="492"/>
      <c r="V29" s="370"/>
      <c r="W29" s="370"/>
      <c r="X29" s="370"/>
      <c r="Y29" s="370"/>
      <c r="Z29" s="369"/>
      <c r="AA29" s="370"/>
      <c r="AB29" s="370"/>
      <c r="AC29" s="492"/>
      <c r="AD29" s="369">
        <f t="shared" si="2"/>
        <v>0</v>
      </c>
      <c r="AE29" s="370">
        <f>+O29+K29+G29+C29+W29</f>
        <v>0</v>
      </c>
      <c r="AF29" s="370">
        <f>+P29+L29+H29+D29+X29</f>
        <v>0</v>
      </c>
      <c r="AG29" s="533">
        <f>+AC29+Y29+Q29+M29+I29+E29</f>
        <v>0</v>
      </c>
      <c r="AH29" s="524"/>
    </row>
    <row r="30" spans="1:34" s="507" customFormat="1" ht="18" customHeight="1">
      <c r="A30" s="532" t="s">
        <v>1021</v>
      </c>
      <c r="B30" s="370"/>
      <c r="C30" s="370">
        <v>7</v>
      </c>
      <c r="D30" s="370"/>
      <c r="E30" s="492"/>
      <c r="F30" s="370"/>
      <c r="G30" s="370"/>
      <c r="H30" s="370"/>
      <c r="I30" s="492"/>
      <c r="J30" s="370"/>
      <c r="K30" s="370"/>
      <c r="L30" s="370"/>
      <c r="M30" s="492"/>
      <c r="N30" s="369"/>
      <c r="O30" s="370"/>
      <c r="P30" s="370"/>
      <c r="Q30" s="492"/>
      <c r="R30" s="370"/>
      <c r="S30" s="370"/>
      <c r="T30" s="370"/>
      <c r="U30" s="492"/>
      <c r="V30" s="370"/>
      <c r="W30" s="370"/>
      <c r="X30" s="370"/>
      <c r="Y30" s="370"/>
      <c r="Z30" s="369"/>
      <c r="AA30" s="370"/>
      <c r="AB30" s="370"/>
      <c r="AC30" s="492"/>
      <c r="AD30" s="369">
        <f>+N30+J30+F30+B30+V30</f>
        <v>0</v>
      </c>
      <c r="AE30" s="370">
        <f>+O30+K30+G30+C30+W30</f>
        <v>7</v>
      </c>
      <c r="AF30" s="370">
        <f>+P30+L30+H30+D30+X30</f>
        <v>0</v>
      </c>
      <c r="AG30" s="533">
        <f>+AC30+Y30+Q30+M30+I30+E30</f>
        <v>0</v>
      </c>
      <c r="AH30" s="524"/>
    </row>
    <row r="31" spans="1:34" s="507" customFormat="1" ht="18" customHeight="1">
      <c r="A31" s="532" t="s">
        <v>1022</v>
      </c>
      <c r="B31" s="370">
        <v>508</v>
      </c>
      <c r="C31" s="370">
        <v>504</v>
      </c>
      <c r="D31" s="370">
        <v>422</v>
      </c>
      <c r="E31" s="492">
        <v>449</v>
      </c>
      <c r="F31" s="370"/>
      <c r="G31" s="370"/>
      <c r="H31" s="370"/>
      <c r="I31" s="492"/>
      <c r="J31" s="370"/>
      <c r="K31" s="370"/>
      <c r="L31" s="370"/>
      <c r="M31" s="492"/>
      <c r="N31" s="369"/>
      <c r="O31" s="370"/>
      <c r="P31" s="370"/>
      <c r="Q31" s="492"/>
      <c r="R31" s="370"/>
      <c r="S31" s="370"/>
      <c r="T31" s="370"/>
      <c r="U31" s="492"/>
      <c r="V31" s="370"/>
      <c r="W31" s="370"/>
      <c r="X31" s="370"/>
      <c r="Y31" s="370"/>
      <c r="Z31" s="369">
        <v>28</v>
      </c>
      <c r="AA31" s="370"/>
      <c r="AB31" s="370"/>
      <c r="AC31" s="492">
        <v>12</v>
      </c>
      <c r="AD31" s="369">
        <f t="shared" si="2"/>
        <v>508</v>
      </c>
      <c r="AE31" s="370">
        <f>+O31+K31+G31+C31+AA31</f>
        <v>504</v>
      </c>
      <c r="AF31" s="370">
        <f>+P31+L31+H31+D31+AB31</f>
        <v>422</v>
      </c>
      <c r="AG31" s="533">
        <f>+AC31+Y31+Q31+M31+I31+E31</f>
        <v>461</v>
      </c>
      <c r="AH31" s="524"/>
    </row>
    <row r="32" spans="1:34" s="507" customFormat="1" ht="18" customHeight="1">
      <c r="A32" s="532" t="s">
        <v>1023</v>
      </c>
      <c r="B32" s="370">
        <v>595</v>
      </c>
      <c r="C32" s="370">
        <v>529</v>
      </c>
      <c r="D32" s="370">
        <v>614</v>
      </c>
      <c r="E32" s="492">
        <v>1643</v>
      </c>
      <c r="F32" s="370"/>
      <c r="G32" s="370"/>
      <c r="H32" s="370"/>
      <c r="I32" s="492"/>
      <c r="J32" s="370"/>
      <c r="K32" s="370"/>
      <c r="L32" s="370"/>
      <c r="M32" s="492"/>
      <c r="N32" s="369"/>
      <c r="O32" s="370"/>
      <c r="P32" s="370"/>
      <c r="Q32" s="492"/>
      <c r="R32" s="370"/>
      <c r="S32" s="370"/>
      <c r="T32" s="370"/>
      <c r="U32" s="492"/>
      <c r="V32" s="370"/>
      <c r="W32" s="370"/>
      <c r="X32" s="370"/>
      <c r="Y32" s="370"/>
      <c r="Z32" s="369"/>
      <c r="AA32" s="370"/>
      <c r="AB32" s="370"/>
      <c r="AC32" s="492"/>
      <c r="AD32" s="369">
        <f t="shared" si="2"/>
        <v>595</v>
      </c>
      <c r="AE32" s="370">
        <f t="shared" si="3"/>
        <v>529</v>
      </c>
      <c r="AF32" s="370">
        <f>+P32+L32+H32+D32</f>
        <v>614</v>
      </c>
      <c r="AG32" s="533">
        <f>+AC32+Y32+Q32+M32+I32+E32</f>
        <v>1643</v>
      </c>
      <c r="AH32" s="524"/>
    </row>
    <row r="33" spans="1:34" s="507" customFormat="1" ht="18" customHeight="1">
      <c r="A33" s="532" t="s">
        <v>1024</v>
      </c>
      <c r="B33" s="370"/>
      <c r="C33" s="370"/>
      <c r="D33" s="370"/>
      <c r="E33" s="492"/>
      <c r="F33" s="370">
        <v>1336</v>
      </c>
      <c r="G33" s="370">
        <v>1234</v>
      </c>
      <c r="H33" s="370">
        <v>1329</v>
      </c>
      <c r="I33" s="492">
        <v>1333</v>
      </c>
      <c r="J33" s="370"/>
      <c r="K33" s="370"/>
      <c r="L33" s="370"/>
      <c r="M33" s="492"/>
      <c r="N33" s="369"/>
      <c r="O33" s="370"/>
      <c r="P33" s="370"/>
      <c r="Q33" s="492"/>
      <c r="R33" s="370"/>
      <c r="S33" s="370"/>
      <c r="T33" s="370"/>
      <c r="U33" s="492"/>
      <c r="V33" s="370"/>
      <c r="W33" s="370"/>
      <c r="X33" s="370"/>
      <c r="Y33" s="370"/>
      <c r="Z33" s="369"/>
      <c r="AA33" s="370"/>
      <c r="AB33" s="370"/>
      <c r="AC33" s="492"/>
      <c r="AD33" s="369">
        <f>+N33+J33+F33+B33</f>
        <v>1336</v>
      </c>
      <c r="AE33" s="370">
        <f>+O33+K33+G33+C33</f>
        <v>1234</v>
      </c>
      <c r="AF33" s="370">
        <f>+P33+L33+H33+D33</f>
        <v>1329</v>
      </c>
      <c r="AG33" s="533">
        <f>+AC33+Y33+Q33+M33+I33+E33</f>
        <v>1333</v>
      </c>
      <c r="AH33" s="524"/>
    </row>
    <row r="34" spans="1:34" s="507" customFormat="1" ht="18" customHeight="1">
      <c r="A34" s="532" t="s">
        <v>1025</v>
      </c>
      <c r="B34" s="370"/>
      <c r="C34" s="370"/>
      <c r="D34" s="370"/>
      <c r="E34" s="492"/>
      <c r="F34" s="370">
        <v>7</v>
      </c>
      <c r="G34" s="370">
        <v>9</v>
      </c>
      <c r="H34" s="370">
        <v>3</v>
      </c>
      <c r="I34" s="492">
        <v>8</v>
      </c>
      <c r="J34" s="370"/>
      <c r="K34" s="370"/>
      <c r="L34" s="370"/>
      <c r="M34" s="492"/>
      <c r="N34" s="369"/>
      <c r="O34" s="370"/>
      <c r="P34" s="370"/>
      <c r="Q34" s="492"/>
      <c r="R34" s="370"/>
      <c r="S34" s="370"/>
      <c r="T34" s="370"/>
      <c r="U34" s="492"/>
      <c r="V34" s="370"/>
      <c r="W34" s="370"/>
      <c r="X34" s="370"/>
      <c r="Y34" s="370"/>
      <c r="Z34" s="369"/>
      <c r="AA34" s="370"/>
      <c r="AB34" s="370"/>
      <c r="AC34" s="492"/>
      <c r="AD34" s="369">
        <f t="shared" si="2"/>
        <v>7</v>
      </c>
      <c r="AE34" s="370">
        <f t="shared" si="3"/>
        <v>9</v>
      </c>
      <c r="AF34" s="370">
        <f>+P34+L34+H34+D34</f>
        <v>3</v>
      </c>
      <c r="AG34" s="492">
        <f>+Q34+M34+I34+E34</f>
        <v>8</v>
      </c>
      <c r="AH34" s="524"/>
    </row>
    <row r="35" spans="1:34" s="507" customFormat="1" ht="18" customHeight="1">
      <c r="A35" s="532" t="s">
        <v>1026</v>
      </c>
      <c r="B35" s="370">
        <v>276</v>
      </c>
      <c r="C35" s="370">
        <v>256</v>
      </c>
      <c r="D35" s="370">
        <v>179</v>
      </c>
      <c r="E35" s="492">
        <v>215</v>
      </c>
      <c r="F35" s="370"/>
      <c r="G35" s="370"/>
      <c r="H35" s="370"/>
      <c r="I35" s="492"/>
      <c r="J35" s="370"/>
      <c r="K35" s="370"/>
      <c r="L35" s="370"/>
      <c r="M35" s="492"/>
      <c r="N35" s="369"/>
      <c r="O35" s="370"/>
      <c r="P35" s="370"/>
      <c r="Q35" s="492"/>
      <c r="R35" s="370"/>
      <c r="S35" s="370"/>
      <c r="T35" s="370"/>
      <c r="U35" s="492"/>
      <c r="V35" s="370"/>
      <c r="W35" s="370"/>
      <c r="X35" s="370"/>
      <c r="Y35" s="370"/>
      <c r="Z35" s="369"/>
      <c r="AA35" s="370"/>
      <c r="AB35" s="370"/>
      <c r="AC35" s="492"/>
      <c r="AD35" s="369">
        <f t="shared" si="2"/>
        <v>276</v>
      </c>
      <c r="AE35" s="370">
        <f t="shared" si="3"/>
        <v>256</v>
      </c>
      <c r="AF35" s="370">
        <f>+P35+L35+H35+D35</f>
        <v>179</v>
      </c>
      <c r="AG35" s="492">
        <f>+Q35+M35+I35+E35</f>
        <v>215</v>
      </c>
      <c r="AH35" s="524"/>
    </row>
    <row r="36" spans="1:34" s="507" customFormat="1" ht="18" customHeight="1">
      <c r="A36" s="534" t="s">
        <v>863</v>
      </c>
      <c r="B36" s="373">
        <v>10731</v>
      </c>
      <c r="C36" s="374">
        <v>10765</v>
      </c>
      <c r="D36" s="374">
        <f>SUM(D9:D35)</f>
        <v>9814</v>
      </c>
      <c r="E36" s="535">
        <f>SUM(E9:E35)</f>
        <v>11061</v>
      </c>
      <c r="F36" s="374">
        <v>4910</v>
      </c>
      <c r="G36" s="374">
        <v>4534</v>
      </c>
      <c r="H36" s="374">
        <f>SUM(H9:H35)</f>
        <v>4187</v>
      </c>
      <c r="I36" s="535">
        <f>SUM(I9:I35)</f>
        <v>3822</v>
      </c>
      <c r="J36" s="374">
        <v>0</v>
      </c>
      <c r="K36" s="374">
        <v>0</v>
      </c>
      <c r="L36" s="374">
        <v>0</v>
      </c>
      <c r="M36" s="535">
        <f>SUM(M9:M35)</f>
        <v>0</v>
      </c>
      <c r="N36" s="373">
        <f>SUM(N9:N35)</f>
        <v>487</v>
      </c>
      <c r="O36" s="374">
        <f>SUM(O9:O35)</f>
        <v>244</v>
      </c>
      <c r="P36" s="374">
        <f t="shared" ref="P36:S36" si="7">SUM(P9:P35)</f>
        <v>252</v>
      </c>
      <c r="Q36" s="535">
        <f t="shared" si="7"/>
        <v>225</v>
      </c>
      <c r="R36" s="373">
        <f t="shared" si="7"/>
        <v>2</v>
      </c>
      <c r="S36" s="374">
        <f t="shared" si="7"/>
        <v>0</v>
      </c>
      <c r="T36" s="374">
        <f t="shared" ref="T36" si="8">SUM(T9:T35)</f>
        <v>0</v>
      </c>
      <c r="U36" s="535">
        <f t="shared" ref="U36:W36" si="9">SUM(U9:U35)</f>
        <v>0</v>
      </c>
      <c r="V36" s="373">
        <f t="shared" si="9"/>
        <v>0</v>
      </c>
      <c r="W36" s="374">
        <f t="shared" si="9"/>
        <v>0</v>
      </c>
      <c r="X36" s="374">
        <f t="shared" ref="X36" si="10">SUM(X9:X35)</f>
        <v>0</v>
      </c>
      <c r="Y36" s="535">
        <f t="shared" ref="Y36:AA36" si="11">SUM(Y9:Y35)</f>
        <v>0</v>
      </c>
      <c r="Z36" s="373">
        <f t="shared" si="11"/>
        <v>28</v>
      </c>
      <c r="AA36" s="374">
        <f t="shared" si="11"/>
        <v>0</v>
      </c>
      <c r="AB36" s="374">
        <f t="shared" ref="AB36" si="12">SUM(AB9:AB35)</f>
        <v>0</v>
      </c>
      <c r="AC36" s="535">
        <f t="shared" ref="AC36" si="13">SUM(AC9:AC35)</f>
        <v>12</v>
      </c>
      <c r="AD36" s="373">
        <f>SUM(AD9:AD35)</f>
        <v>16130</v>
      </c>
      <c r="AE36" s="374">
        <f>SUM(AE9:AE35)</f>
        <v>15543</v>
      </c>
      <c r="AF36" s="374">
        <f>SUM(AF9:AF35)</f>
        <v>14253</v>
      </c>
      <c r="AG36" s="535">
        <f>SUM(AG9:AG35)</f>
        <v>15120</v>
      </c>
      <c r="AH36" s="524"/>
    </row>
    <row r="37" spans="1:34" s="507" customFormat="1" ht="18" customHeight="1">
      <c r="B37" s="524"/>
      <c r="C37" s="524"/>
      <c r="D37" s="370"/>
      <c r="E37" s="524"/>
      <c r="F37" s="524"/>
      <c r="G37" s="524"/>
      <c r="H37" s="524"/>
      <c r="I37" s="524"/>
      <c r="J37" s="524"/>
      <c r="K37" s="524"/>
      <c r="L37" s="524"/>
      <c r="M37" s="524"/>
      <c r="N37" s="524"/>
      <c r="O37" s="524"/>
      <c r="P37" s="524"/>
      <c r="Q37" s="524"/>
      <c r="R37" s="524"/>
      <c r="S37" s="524"/>
      <c r="T37" s="524"/>
      <c r="U37" s="524"/>
      <c r="V37" s="524"/>
      <c r="W37" s="524"/>
      <c r="X37" s="524"/>
      <c r="Y37" s="524"/>
      <c r="Z37" s="524"/>
      <c r="AA37" s="524"/>
      <c r="AB37" s="524"/>
      <c r="AC37" s="524"/>
      <c r="AD37" s="524"/>
      <c r="AE37" s="524"/>
      <c r="AF37" s="524"/>
      <c r="AG37" s="524"/>
      <c r="AH37" s="524"/>
    </row>
    <row r="38" spans="1:34" s="507" customFormat="1" ht="18" customHeight="1">
      <c r="A38" s="511" t="s">
        <v>1027</v>
      </c>
      <c r="B38" s="524"/>
      <c r="C38" s="524"/>
      <c r="D38" s="370"/>
      <c r="E38" s="524"/>
      <c r="F38" s="524"/>
      <c r="G38" s="524"/>
      <c r="H38" s="524"/>
      <c r="I38" s="524"/>
      <c r="J38" s="524"/>
      <c r="K38" s="524"/>
      <c r="L38" s="524"/>
      <c r="M38" s="524"/>
      <c r="N38" s="524"/>
      <c r="O38" s="524"/>
      <c r="P38" s="524"/>
      <c r="Q38" s="524"/>
      <c r="R38" s="524"/>
      <c r="S38" s="524"/>
      <c r="T38" s="524"/>
      <c r="U38" s="524"/>
      <c r="V38" s="524"/>
      <c r="W38" s="524"/>
      <c r="X38" s="524"/>
      <c r="Y38" s="524"/>
      <c r="Z38" s="524"/>
      <c r="AA38" s="524"/>
      <c r="AB38" s="524"/>
      <c r="AC38" s="524"/>
      <c r="AD38" s="524"/>
      <c r="AE38" s="524"/>
      <c r="AF38" s="524"/>
      <c r="AG38" s="524"/>
      <c r="AH38" s="524"/>
    </row>
    <row r="39" spans="1:34" s="507" customFormat="1" ht="18" customHeight="1">
      <c r="A39" s="530" t="s">
        <v>1028</v>
      </c>
      <c r="B39" s="494">
        <v>245</v>
      </c>
      <c r="C39" s="495">
        <v>243</v>
      </c>
      <c r="D39" s="495">
        <v>81</v>
      </c>
      <c r="E39" s="493">
        <v>25</v>
      </c>
      <c r="F39" s="495">
        <v>400</v>
      </c>
      <c r="G39" s="495">
        <v>337</v>
      </c>
      <c r="H39" s="495">
        <v>332</v>
      </c>
      <c r="I39" s="495">
        <v>309</v>
      </c>
      <c r="J39" s="494"/>
      <c r="K39" s="495"/>
      <c r="L39" s="495"/>
      <c r="M39" s="493"/>
      <c r="N39" s="495"/>
      <c r="O39" s="495"/>
      <c r="P39" s="495"/>
      <c r="Q39" s="493"/>
      <c r="R39" s="495"/>
      <c r="S39" s="495"/>
      <c r="T39" s="495"/>
      <c r="U39" s="493"/>
      <c r="V39" s="494"/>
      <c r="W39" s="495"/>
      <c r="X39" s="495"/>
      <c r="Y39" s="493"/>
      <c r="Z39" s="495"/>
      <c r="AA39" s="495"/>
      <c r="AB39" s="495"/>
      <c r="AC39" s="495"/>
      <c r="AD39" s="494">
        <f t="shared" ref="AD39:AG40" si="14">+N39+J39+F39+B39</f>
        <v>645</v>
      </c>
      <c r="AE39" s="495">
        <f t="shared" si="14"/>
        <v>580</v>
      </c>
      <c r="AF39" s="495">
        <f t="shared" si="14"/>
        <v>413</v>
      </c>
      <c r="AG39" s="493">
        <f t="shared" si="14"/>
        <v>334</v>
      </c>
      <c r="AH39" s="524"/>
    </row>
    <row r="40" spans="1:34" s="507" customFormat="1" ht="18" customHeight="1">
      <c r="A40" s="532" t="s">
        <v>1029</v>
      </c>
      <c r="B40" s="369">
        <v>1</v>
      </c>
      <c r="C40" s="370">
        <v>0</v>
      </c>
      <c r="D40" s="370"/>
      <c r="E40" s="492"/>
      <c r="F40" s="370">
        <v>0</v>
      </c>
      <c r="G40" s="370">
        <v>0</v>
      </c>
      <c r="H40" s="370"/>
      <c r="I40" s="370">
        <v>0</v>
      </c>
      <c r="J40" s="369"/>
      <c r="K40" s="370"/>
      <c r="L40" s="370"/>
      <c r="M40" s="492"/>
      <c r="N40" s="370"/>
      <c r="O40" s="370"/>
      <c r="P40" s="370"/>
      <c r="Q40" s="492"/>
      <c r="R40" s="370"/>
      <c r="S40" s="370"/>
      <c r="T40" s="370"/>
      <c r="U40" s="492"/>
      <c r="V40" s="369"/>
      <c r="W40" s="370"/>
      <c r="X40" s="370"/>
      <c r="Y40" s="492"/>
      <c r="Z40" s="370"/>
      <c r="AA40" s="370"/>
      <c r="AB40" s="370"/>
      <c r="AC40" s="370"/>
      <c r="AD40" s="369">
        <f t="shared" si="14"/>
        <v>1</v>
      </c>
      <c r="AE40" s="370">
        <f t="shared" si="14"/>
        <v>0</v>
      </c>
      <c r="AF40" s="370">
        <f t="shared" si="14"/>
        <v>0</v>
      </c>
      <c r="AG40" s="492">
        <f t="shared" si="14"/>
        <v>0</v>
      </c>
      <c r="AH40" s="524"/>
    </row>
    <row r="41" spans="1:34" s="507" customFormat="1" ht="18" customHeight="1">
      <c r="A41" s="532" t="s">
        <v>1030</v>
      </c>
      <c r="B41" s="369">
        <v>73</v>
      </c>
      <c r="C41" s="370">
        <v>142</v>
      </c>
      <c r="D41" s="370">
        <v>163</v>
      </c>
      <c r="E41" s="492">
        <v>149</v>
      </c>
      <c r="F41" s="370">
        <v>56</v>
      </c>
      <c r="G41" s="370">
        <v>47</v>
      </c>
      <c r="H41" s="370">
        <v>47</v>
      </c>
      <c r="I41" s="370">
        <v>25</v>
      </c>
      <c r="J41" s="369"/>
      <c r="K41" s="370"/>
      <c r="L41" s="370"/>
      <c r="M41" s="492"/>
      <c r="N41" s="370"/>
      <c r="O41" s="370"/>
      <c r="P41" s="370"/>
      <c r="Q41" s="492"/>
      <c r="R41" s="370"/>
      <c r="S41" s="370"/>
      <c r="T41" s="370"/>
      <c r="U41" s="492"/>
      <c r="V41" s="369"/>
      <c r="W41" s="370"/>
      <c r="X41" s="370"/>
      <c r="Y41" s="492"/>
      <c r="Z41" s="370"/>
      <c r="AA41" s="370"/>
      <c r="AB41" s="370"/>
      <c r="AC41" s="370"/>
      <c r="AD41" s="369">
        <f t="shared" ref="AD41:AG43" si="15">+N41+J41+F41+B41</f>
        <v>129</v>
      </c>
      <c r="AE41" s="370">
        <f t="shared" si="15"/>
        <v>189</v>
      </c>
      <c r="AF41" s="370">
        <f t="shared" si="15"/>
        <v>210</v>
      </c>
      <c r="AG41" s="492">
        <f t="shared" si="15"/>
        <v>174</v>
      </c>
      <c r="AH41" s="524"/>
    </row>
    <row r="42" spans="1:34" s="507" customFormat="1" ht="18" customHeight="1">
      <c r="A42" s="532" t="s">
        <v>1031</v>
      </c>
      <c r="B42" s="369">
        <v>167</v>
      </c>
      <c r="C42" s="370">
        <v>40</v>
      </c>
      <c r="D42" s="370">
        <v>72</v>
      </c>
      <c r="E42" s="492">
        <v>81</v>
      </c>
      <c r="F42" s="370">
        <v>83</v>
      </c>
      <c r="G42" s="370">
        <v>84</v>
      </c>
      <c r="H42" s="370">
        <v>41</v>
      </c>
      <c r="I42" s="370">
        <v>43</v>
      </c>
      <c r="J42" s="369"/>
      <c r="K42" s="370"/>
      <c r="L42" s="370"/>
      <c r="M42" s="492"/>
      <c r="N42" s="370"/>
      <c r="O42" s="370"/>
      <c r="P42" s="370"/>
      <c r="Q42" s="492"/>
      <c r="R42" s="370"/>
      <c r="S42" s="370"/>
      <c r="T42" s="370"/>
      <c r="U42" s="492"/>
      <c r="V42" s="369"/>
      <c r="W42" s="370"/>
      <c r="X42" s="370"/>
      <c r="Y42" s="492"/>
      <c r="Z42" s="370"/>
      <c r="AA42" s="370"/>
      <c r="AB42" s="370"/>
      <c r="AC42" s="370"/>
      <c r="AD42" s="369">
        <f t="shared" si="15"/>
        <v>250</v>
      </c>
      <c r="AE42" s="370">
        <f t="shared" si="15"/>
        <v>124</v>
      </c>
      <c r="AF42" s="370">
        <f t="shared" si="15"/>
        <v>113</v>
      </c>
      <c r="AG42" s="492">
        <f t="shared" si="15"/>
        <v>124</v>
      </c>
      <c r="AH42" s="524"/>
    </row>
    <row r="43" spans="1:34" s="507" customFormat="1" ht="18" customHeight="1">
      <c r="A43" s="532" t="s">
        <v>1032</v>
      </c>
      <c r="B43" s="369">
        <v>1113</v>
      </c>
      <c r="C43" s="370">
        <v>1229</v>
      </c>
      <c r="D43" s="370">
        <v>1406</v>
      </c>
      <c r="E43" s="492">
        <v>1615</v>
      </c>
      <c r="F43" s="370">
        <v>0</v>
      </c>
      <c r="G43" s="370">
        <v>0</v>
      </c>
      <c r="H43" s="370"/>
      <c r="I43" s="370"/>
      <c r="J43" s="369"/>
      <c r="K43" s="370"/>
      <c r="L43" s="370"/>
      <c r="M43" s="492"/>
      <c r="N43" s="370"/>
      <c r="O43" s="370"/>
      <c r="P43" s="370"/>
      <c r="Q43" s="492"/>
      <c r="R43" s="370"/>
      <c r="S43" s="370"/>
      <c r="T43" s="370"/>
      <c r="U43" s="492"/>
      <c r="V43" s="369"/>
      <c r="W43" s="370"/>
      <c r="X43" s="370"/>
      <c r="Y43" s="492"/>
      <c r="Z43" s="370"/>
      <c r="AA43" s="370"/>
      <c r="AB43" s="370"/>
      <c r="AC43" s="370"/>
      <c r="AD43" s="369">
        <f t="shared" si="15"/>
        <v>1113</v>
      </c>
      <c r="AE43" s="370">
        <f t="shared" si="15"/>
        <v>1229</v>
      </c>
      <c r="AF43" s="370">
        <f t="shared" si="15"/>
        <v>1406</v>
      </c>
      <c r="AG43" s="492">
        <f t="shared" si="15"/>
        <v>1615</v>
      </c>
      <c r="AH43" s="524"/>
    </row>
    <row r="44" spans="1:34" s="507" customFormat="1" ht="18" customHeight="1">
      <c r="A44" s="532" t="s">
        <v>1033</v>
      </c>
      <c r="B44" s="369">
        <v>1495</v>
      </c>
      <c r="C44" s="370">
        <v>1887</v>
      </c>
      <c r="D44" s="370">
        <v>1476</v>
      </c>
      <c r="E44" s="492">
        <v>1746</v>
      </c>
      <c r="F44" s="370">
        <v>390</v>
      </c>
      <c r="G44" s="370">
        <v>261</v>
      </c>
      <c r="H44" s="370">
        <v>150</v>
      </c>
      <c r="I44" s="370">
        <v>84</v>
      </c>
      <c r="J44" s="369"/>
      <c r="K44" s="370"/>
      <c r="L44" s="370"/>
      <c r="M44" s="492"/>
      <c r="N44" s="370"/>
      <c r="O44" s="370"/>
      <c r="P44" s="370"/>
      <c r="Q44" s="492"/>
      <c r="R44" s="370"/>
      <c r="S44" s="370"/>
      <c r="T44" s="370"/>
      <c r="U44" s="492"/>
      <c r="V44" s="369"/>
      <c r="W44" s="370"/>
      <c r="X44" s="370"/>
      <c r="Y44" s="492"/>
      <c r="Z44" s="370"/>
      <c r="AA44" s="370"/>
      <c r="AB44" s="370"/>
      <c r="AC44" s="370"/>
      <c r="AD44" s="369">
        <f t="shared" ref="AD44:AE47" si="16">+N44+J44+F44+B44</f>
        <v>1885</v>
      </c>
      <c r="AE44" s="370">
        <f t="shared" si="16"/>
        <v>2148</v>
      </c>
      <c r="AF44" s="370">
        <f t="shared" ref="AF44:AG47" si="17">+P44+L44+H44+D44</f>
        <v>1626</v>
      </c>
      <c r="AG44" s="492">
        <f t="shared" si="17"/>
        <v>1830</v>
      </c>
      <c r="AH44" s="524"/>
    </row>
    <row r="45" spans="1:34" s="507" customFormat="1" ht="18" customHeight="1">
      <c r="A45" s="532" t="s">
        <v>1034</v>
      </c>
      <c r="B45" s="369">
        <v>523</v>
      </c>
      <c r="C45" s="370">
        <v>71</v>
      </c>
      <c r="D45" s="370">
        <v>11</v>
      </c>
      <c r="E45" s="492">
        <v>300</v>
      </c>
      <c r="F45" s="370">
        <v>0</v>
      </c>
      <c r="G45" s="370">
        <v>0</v>
      </c>
      <c r="H45" s="370"/>
      <c r="I45" s="370"/>
      <c r="J45" s="369"/>
      <c r="K45" s="370"/>
      <c r="L45" s="370"/>
      <c r="M45" s="492"/>
      <c r="N45" s="370"/>
      <c r="O45" s="370"/>
      <c r="P45" s="370"/>
      <c r="Q45" s="492"/>
      <c r="R45" s="370"/>
      <c r="S45" s="370"/>
      <c r="T45" s="370"/>
      <c r="U45" s="492"/>
      <c r="V45" s="369"/>
      <c r="W45" s="370"/>
      <c r="X45" s="370"/>
      <c r="Y45" s="492"/>
      <c r="Z45" s="370"/>
      <c r="AA45" s="370"/>
      <c r="AB45" s="370"/>
      <c r="AC45" s="370"/>
      <c r="AD45" s="369">
        <f t="shared" si="16"/>
        <v>523</v>
      </c>
      <c r="AE45" s="370">
        <f t="shared" si="16"/>
        <v>71</v>
      </c>
      <c r="AF45" s="370">
        <f t="shared" si="17"/>
        <v>11</v>
      </c>
      <c r="AG45" s="492">
        <f t="shared" si="17"/>
        <v>300</v>
      </c>
      <c r="AH45" s="524"/>
    </row>
    <row r="46" spans="1:34" s="507" customFormat="1" ht="18" customHeight="1">
      <c r="A46" s="532" t="s">
        <v>1035</v>
      </c>
      <c r="B46" s="369">
        <v>589</v>
      </c>
      <c r="C46" s="370">
        <v>654</v>
      </c>
      <c r="D46" s="370">
        <v>343</v>
      </c>
      <c r="E46" s="492">
        <v>340</v>
      </c>
      <c r="F46" s="370">
        <v>0</v>
      </c>
      <c r="G46" s="370">
        <v>0</v>
      </c>
      <c r="H46" s="370"/>
      <c r="I46" s="370"/>
      <c r="J46" s="369"/>
      <c r="K46" s="370"/>
      <c r="L46" s="370"/>
      <c r="M46" s="492"/>
      <c r="N46" s="370"/>
      <c r="O46" s="370"/>
      <c r="P46" s="370"/>
      <c r="Q46" s="492"/>
      <c r="R46" s="370"/>
      <c r="S46" s="370"/>
      <c r="T46" s="370"/>
      <c r="U46" s="492"/>
      <c r="V46" s="369"/>
      <c r="W46" s="370"/>
      <c r="X46" s="370"/>
      <c r="Y46" s="492"/>
      <c r="Z46" s="370"/>
      <c r="AA46" s="370"/>
      <c r="AB46" s="370"/>
      <c r="AC46" s="370"/>
      <c r="AD46" s="369">
        <f t="shared" si="16"/>
        <v>589</v>
      </c>
      <c r="AE46" s="370">
        <f t="shared" si="16"/>
        <v>654</v>
      </c>
      <c r="AF46" s="370">
        <f t="shared" si="17"/>
        <v>343</v>
      </c>
      <c r="AG46" s="492">
        <f t="shared" si="17"/>
        <v>340</v>
      </c>
      <c r="AH46" s="524"/>
    </row>
    <row r="47" spans="1:34" s="507" customFormat="1" ht="18" customHeight="1">
      <c r="A47" s="534" t="s">
        <v>1036</v>
      </c>
      <c r="B47" s="373">
        <v>1153</v>
      </c>
      <c r="C47" s="374">
        <v>1116</v>
      </c>
      <c r="D47" s="374">
        <v>1135</v>
      </c>
      <c r="E47" s="535">
        <v>1190</v>
      </c>
      <c r="F47" s="374">
        <v>151</v>
      </c>
      <c r="G47" s="374">
        <v>209</v>
      </c>
      <c r="H47" s="374">
        <v>211</v>
      </c>
      <c r="I47" s="374">
        <v>160</v>
      </c>
      <c r="J47" s="373"/>
      <c r="K47" s="374"/>
      <c r="L47" s="374"/>
      <c r="M47" s="535"/>
      <c r="N47" s="374">
        <v>4</v>
      </c>
      <c r="O47" s="374">
        <v>4</v>
      </c>
      <c r="P47" s="374"/>
      <c r="Q47" s="535"/>
      <c r="R47" s="374"/>
      <c r="S47" s="374"/>
      <c r="T47" s="374"/>
      <c r="U47" s="535"/>
      <c r="V47" s="373"/>
      <c r="W47" s="374"/>
      <c r="X47" s="374"/>
      <c r="Y47" s="535"/>
      <c r="Z47" s="374"/>
      <c r="AA47" s="374"/>
      <c r="AB47" s="374"/>
      <c r="AC47" s="374"/>
      <c r="AD47" s="373">
        <f t="shared" si="16"/>
        <v>1308</v>
      </c>
      <c r="AE47" s="374">
        <f t="shared" si="16"/>
        <v>1329</v>
      </c>
      <c r="AF47" s="374">
        <f t="shared" si="17"/>
        <v>1346</v>
      </c>
      <c r="AG47" s="535">
        <f>+Q47+M47+I47+E47</f>
        <v>1350</v>
      </c>
      <c r="AH47" s="524"/>
    </row>
    <row r="48" spans="1:34">
      <c r="B48" s="512"/>
      <c r="C48" s="512"/>
      <c r="D48" s="512"/>
      <c r="E48" s="512"/>
      <c r="F48" s="512"/>
      <c r="G48" s="512"/>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row>
    <row r="49" spans="2:34">
      <c r="B49" s="512"/>
      <c r="C49" s="512"/>
      <c r="D49" s="512"/>
      <c r="E49" s="512"/>
      <c r="F49" s="512"/>
      <c r="G49" s="512"/>
      <c r="H49" s="512"/>
      <c r="I49" s="512"/>
      <c r="J49" s="512"/>
      <c r="K49" s="512"/>
      <c r="L49" s="512"/>
      <c r="M49" s="512"/>
      <c r="N49" s="512"/>
      <c r="O49" s="512"/>
      <c r="P49" s="512"/>
      <c r="Q49" s="512"/>
      <c r="R49" s="512"/>
      <c r="S49" s="512"/>
      <c r="T49" s="512"/>
      <c r="U49" s="512"/>
      <c r="V49" s="512"/>
      <c r="W49" s="512"/>
      <c r="X49" s="512"/>
      <c r="Y49" s="512"/>
      <c r="Z49" s="512"/>
      <c r="AA49" s="512"/>
      <c r="AB49" s="512"/>
      <c r="AC49" s="512"/>
      <c r="AD49" s="512"/>
      <c r="AE49" s="512"/>
      <c r="AF49" s="512"/>
      <c r="AG49" s="512"/>
      <c r="AH49" s="512"/>
    </row>
    <row r="50" spans="2:34">
      <c r="B50" s="512"/>
      <c r="C50" s="512"/>
      <c r="D50" s="512"/>
      <c r="E50" s="512"/>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2"/>
      <c r="AF50" s="512"/>
      <c r="AG50" s="512"/>
      <c r="AH50" s="512"/>
    </row>
    <row r="51" spans="2:34">
      <c r="B51" s="512"/>
      <c r="C51" s="512"/>
      <c r="D51" s="512"/>
      <c r="E51" s="512"/>
      <c r="F51" s="512"/>
      <c r="G51" s="512"/>
      <c r="H51" s="512"/>
      <c r="I51" s="512"/>
      <c r="J51" s="512"/>
      <c r="K51" s="512"/>
      <c r="L51" s="512"/>
      <c r="M51" s="512"/>
      <c r="N51" s="512"/>
      <c r="O51" s="512"/>
      <c r="P51" s="512"/>
      <c r="Q51" s="512"/>
      <c r="R51" s="512"/>
      <c r="S51" s="512"/>
      <c r="T51" s="512"/>
      <c r="U51" s="512"/>
      <c r="V51" s="512"/>
      <c r="W51" s="512"/>
      <c r="X51" s="512"/>
      <c r="Y51" s="512"/>
      <c r="Z51" s="512"/>
      <c r="AA51" s="512"/>
      <c r="AB51" s="512"/>
      <c r="AC51" s="512"/>
      <c r="AD51" s="512"/>
      <c r="AE51" s="512"/>
      <c r="AF51" s="512"/>
      <c r="AG51" s="512"/>
      <c r="AH51" s="512"/>
    </row>
    <row r="52" spans="2:34">
      <c r="B52" s="512"/>
      <c r="C52" s="512"/>
      <c r="D52" s="512"/>
      <c r="E52" s="512"/>
      <c r="F52" s="512"/>
      <c r="G52" s="512"/>
      <c r="H52" s="512"/>
      <c r="I52" s="512"/>
      <c r="J52" s="512"/>
      <c r="K52" s="512"/>
      <c r="L52" s="512"/>
      <c r="M52" s="512"/>
      <c r="N52" s="512"/>
      <c r="O52" s="512"/>
      <c r="P52" s="512"/>
      <c r="Q52" s="512"/>
      <c r="R52" s="512"/>
      <c r="S52" s="512"/>
      <c r="T52" s="512"/>
      <c r="U52" s="512"/>
      <c r="V52" s="512"/>
      <c r="W52" s="512"/>
      <c r="X52" s="512"/>
      <c r="Y52" s="512"/>
      <c r="Z52" s="512"/>
      <c r="AA52" s="512"/>
      <c r="AB52" s="512"/>
      <c r="AC52" s="512"/>
      <c r="AD52" s="512"/>
      <c r="AE52" s="512"/>
      <c r="AF52" s="512"/>
      <c r="AG52" s="512"/>
      <c r="AH52" s="512"/>
    </row>
    <row r="53" spans="2:34">
      <c r="B53" s="512"/>
      <c r="C53" s="512"/>
      <c r="D53" s="512"/>
      <c r="E53" s="512"/>
      <c r="F53" s="512"/>
      <c r="G53" s="512"/>
      <c r="H53" s="512"/>
      <c r="I53" s="512"/>
      <c r="J53" s="512"/>
      <c r="K53" s="512"/>
      <c r="L53" s="512"/>
      <c r="M53" s="512"/>
      <c r="N53" s="512"/>
      <c r="O53" s="512"/>
      <c r="P53" s="512"/>
      <c r="Q53" s="512"/>
      <c r="R53" s="512"/>
      <c r="S53" s="512"/>
      <c r="T53" s="512"/>
      <c r="U53" s="512"/>
      <c r="V53" s="512"/>
      <c r="W53" s="512"/>
      <c r="X53" s="512"/>
      <c r="Y53" s="512"/>
      <c r="Z53" s="512"/>
      <c r="AA53" s="512"/>
      <c r="AB53" s="512"/>
      <c r="AC53" s="512"/>
      <c r="AD53" s="512"/>
      <c r="AE53" s="512"/>
      <c r="AF53" s="512"/>
      <c r="AG53" s="512"/>
      <c r="AH53" s="512"/>
    </row>
    <row r="54" spans="2:34">
      <c r="B54" s="509"/>
      <c r="C54" s="509"/>
      <c r="D54" s="509"/>
      <c r="E54" s="509"/>
      <c r="F54" s="509"/>
      <c r="G54" s="509"/>
      <c r="H54" s="509"/>
      <c r="I54" s="509"/>
      <c r="J54" s="509"/>
      <c r="K54" s="509"/>
      <c r="L54" s="509"/>
      <c r="M54" s="509"/>
      <c r="N54" s="509"/>
      <c r="O54" s="509"/>
      <c r="P54" s="509"/>
      <c r="Q54" s="509"/>
      <c r="R54" s="509"/>
      <c r="S54" s="509"/>
      <c r="T54" s="509"/>
      <c r="U54" s="509"/>
      <c r="V54" s="509"/>
      <c r="W54" s="509"/>
      <c r="X54" s="509"/>
      <c r="Y54" s="509"/>
      <c r="Z54" s="509"/>
      <c r="AA54" s="509"/>
      <c r="AB54" s="509"/>
      <c r="AC54" s="509"/>
      <c r="AD54" s="509"/>
      <c r="AE54" s="509"/>
      <c r="AF54" s="509"/>
      <c r="AG54" s="509"/>
      <c r="AH54" s="509"/>
    </row>
    <row r="55" spans="2:34">
      <c r="B55" s="509"/>
      <c r="C55" s="509"/>
      <c r="D55" s="509"/>
      <c r="E55" s="509"/>
      <c r="F55" s="509"/>
      <c r="G55" s="509"/>
      <c r="H55" s="509"/>
      <c r="I55" s="509"/>
      <c r="J55" s="509"/>
      <c r="K55" s="509"/>
      <c r="L55" s="509"/>
      <c r="M55" s="509"/>
      <c r="N55" s="509"/>
      <c r="O55" s="509"/>
      <c r="P55" s="509"/>
      <c r="Q55" s="509"/>
      <c r="R55" s="509"/>
      <c r="S55" s="509"/>
      <c r="T55" s="509"/>
      <c r="U55" s="509"/>
      <c r="V55" s="509"/>
      <c r="W55" s="509"/>
      <c r="X55" s="509"/>
      <c r="Y55" s="509"/>
      <c r="Z55" s="509"/>
      <c r="AA55" s="509"/>
      <c r="AB55" s="509"/>
      <c r="AC55" s="509"/>
      <c r="AD55" s="509"/>
      <c r="AE55" s="509"/>
      <c r="AF55" s="509"/>
      <c r="AG55" s="509"/>
      <c r="AH55" s="509"/>
    </row>
    <row r="56" spans="2:34">
      <c r="B56" s="509"/>
      <c r="C56" s="509"/>
      <c r="D56" s="509"/>
      <c r="E56" s="509"/>
      <c r="F56" s="509"/>
      <c r="G56" s="509"/>
      <c r="H56" s="509"/>
      <c r="I56" s="509"/>
      <c r="J56" s="509"/>
      <c r="K56" s="509"/>
      <c r="L56" s="509"/>
      <c r="M56" s="509"/>
      <c r="N56" s="509"/>
      <c r="O56" s="509"/>
      <c r="P56" s="509"/>
      <c r="Q56" s="509"/>
      <c r="R56" s="509"/>
      <c r="S56" s="509"/>
      <c r="T56" s="509"/>
      <c r="U56" s="509"/>
      <c r="V56" s="509"/>
      <c r="W56" s="509"/>
      <c r="X56" s="509"/>
      <c r="Y56" s="509"/>
      <c r="Z56" s="509"/>
      <c r="AA56" s="509"/>
      <c r="AB56" s="509"/>
      <c r="AC56" s="509"/>
      <c r="AD56" s="509"/>
      <c r="AE56" s="509"/>
      <c r="AF56" s="509"/>
      <c r="AG56" s="509"/>
      <c r="AH56" s="509"/>
    </row>
    <row r="57" spans="2:34">
      <c r="B57" s="509"/>
      <c r="C57" s="509"/>
      <c r="D57" s="509"/>
      <c r="E57" s="509"/>
      <c r="F57" s="509"/>
      <c r="G57" s="509"/>
      <c r="H57" s="509"/>
      <c r="I57" s="509"/>
      <c r="J57" s="509"/>
      <c r="K57" s="509"/>
      <c r="L57" s="509"/>
      <c r="M57" s="509"/>
      <c r="N57" s="509"/>
      <c r="O57" s="509"/>
      <c r="P57" s="509"/>
      <c r="Q57" s="509"/>
      <c r="R57" s="509"/>
      <c r="S57" s="509"/>
      <c r="T57" s="509"/>
      <c r="U57" s="509"/>
      <c r="V57" s="509"/>
      <c r="W57" s="509"/>
      <c r="X57" s="509"/>
      <c r="Y57" s="509"/>
      <c r="Z57" s="509"/>
      <c r="AA57" s="509"/>
      <c r="AB57" s="509"/>
      <c r="AC57" s="509"/>
      <c r="AD57" s="509"/>
      <c r="AE57" s="509"/>
      <c r="AF57" s="509"/>
      <c r="AG57" s="509"/>
      <c r="AH57" s="509"/>
    </row>
    <row r="58" spans="2:34">
      <c r="B58" s="509"/>
      <c r="C58" s="509"/>
      <c r="D58" s="509"/>
      <c r="E58" s="509"/>
      <c r="F58" s="509"/>
      <c r="G58" s="509"/>
      <c r="H58" s="509"/>
      <c r="I58" s="509"/>
      <c r="J58" s="509"/>
      <c r="K58" s="509"/>
      <c r="L58" s="509"/>
      <c r="M58" s="509"/>
      <c r="N58" s="509"/>
      <c r="O58" s="509"/>
      <c r="P58" s="509"/>
      <c r="Q58" s="509"/>
      <c r="R58" s="509"/>
      <c r="S58" s="509"/>
      <c r="T58" s="509"/>
      <c r="U58" s="509"/>
      <c r="V58" s="509"/>
      <c r="W58" s="509"/>
      <c r="X58" s="509"/>
      <c r="Y58" s="509"/>
      <c r="Z58" s="509"/>
      <c r="AA58" s="509"/>
      <c r="AB58" s="509"/>
      <c r="AC58" s="509"/>
      <c r="AD58" s="509"/>
      <c r="AE58" s="509"/>
      <c r="AF58" s="509"/>
      <c r="AG58" s="509"/>
      <c r="AH58" s="509"/>
    </row>
    <row r="59" spans="2:34">
      <c r="B59" s="509"/>
      <c r="C59" s="509"/>
      <c r="D59" s="509"/>
      <c r="E59" s="509"/>
      <c r="F59" s="509"/>
      <c r="G59" s="509"/>
      <c r="H59" s="509"/>
      <c r="I59" s="509"/>
      <c r="J59" s="509"/>
      <c r="K59" s="509"/>
      <c r="L59" s="509"/>
      <c r="M59" s="509"/>
      <c r="N59" s="509"/>
      <c r="O59" s="509"/>
      <c r="P59" s="509"/>
      <c r="Q59" s="509"/>
      <c r="R59" s="509"/>
      <c r="S59" s="509"/>
      <c r="T59" s="509"/>
      <c r="U59" s="509"/>
      <c r="V59" s="509"/>
      <c r="W59" s="509"/>
      <c r="X59" s="509"/>
      <c r="Y59" s="509"/>
      <c r="Z59" s="509"/>
      <c r="AA59" s="509"/>
      <c r="AB59" s="509"/>
      <c r="AC59" s="509"/>
      <c r="AD59" s="509"/>
      <c r="AE59" s="509"/>
      <c r="AF59" s="509"/>
      <c r="AG59" s="509"/>
      <c r="AH59" s="509"/>
    </row>
    <row r="60" spans="2:34">
      <c r="B60" s="509"/>
      <c r="C60" s="509"/>
      <c r="D60" s="509"/>
      <c r="E60" s="509"/>
      <c r="F60" s="509"/>
      <c r="G60" s="509"/>
      <c r="H60" s="509"/>
      <c r="I60" s="509"/>
      <c r="J60" s="509"/>
      <c r="K60" s="509"/>
      <c r="L60" s="509"/>
      <c r="M60" s="509"/>
      <c r="N60" s="509"/>
      <c r="O60" s="509"/>
      <c r="P60" s="509"/>
      <c r="Q60" s="509"/>
      <c r="R60" s="509"/>
      <c r="S60" s="509"/>
      <c r="T60" s="509"/>
      <c r="U60" s="509"/>
      <c r="V60" s="509"/>
      <c r="W60" s="509"/>
      <c r="X60" s="509"/>
      <c r="Y60" s="509"/>
      <c r="Z60" s="509"/>
      <c r="AA60" s="509"/>
      <c r="AB60" s="509"/>
      <c r="AC60" s="509"/>
      <c r="AD60" s="509"/>
      <c r="AE60" s="509"/>
      <c r="AF60" s="509"/>
      <c r="AG60" s="509"/>
      <c r="AH60" s="509"/>
    </row>
    <row r="61" spans="2:34">
      <c r="B61" s="509"/>
      <c r="C61" s="509"/>
      <c r="D61" s="509"/>
      <c r="E61" s="509"/>
      <c r="F61" s="509"/>
      <c r="G61" s="509"/>
      <c r="H61" s="509"/>
      <c r="I61" s="509"/>
      <c r="J61" s="509"/>
      <c r="K61" s="509"/>
      <c r="L61" s="509"/>
      <c r="M61" s="509"/>
      <c r="N61" s="509"/>
      <c r="O61" s="509"/>
      <c r="P61" s="509"/>
      <c r="Q61" s="509"/>
      <c r="R61" s="509"/>
      <c r="S61" s="509"/>
      <c r="T61" s="509"/>
      <c r="U61" s="509"/>
      <c r="V61" s="509"/>
      <c r="W61" s="509"/>
      <c r="X61" s="509"/>
      <c r="Y61" s="509"/>
      <c r="Z61" s="509"/>
      <c r="AA61" s="509"/>
      <c r="AB61" s="509"/>
      <c r="AC61" s="509"/>
      <c r="AD61" s="509"/>
      <c r="AE61" s="509"/>
      <c r="AF61" s="509"/>
      <c r="AG61" s="509"/>
      <c r="AH61" s="509"/>
    </row>
    <row r="62" spans="2:34">
      <c r="B62" s="509"/>
      <c r="C62" s="509"/>
      <c r="D62" s="509"/>
      <c r="E62" s="509"/>
      <c r="F62" s="509"/>
      <c r="G62" s="509"/>
      <c r="H62" s="509"/>
      <c r="I62" s="509"/>
      <c r="J62" s="509"/>
      <c r="K62" s="509"/>
      <c r="L62" s="509"/>
      <c r="M62" s="509"/>
      <c r="N62" s="509"/>
      <c r="O62" s="509"/>
      <c r="P62" s="509"/>
      <c r="Q62" s="509"/>
      <c r="R62" s="509"/>
      <c r="S62" s="509"/>
      <c r="T62" s="509"/>
      <c r="U62" s="509"/>
      <c r="V62" s="509"/>
      <c r="W62" s="509"/>
      <c r="X62" s="509"/>
      <c r="Y62" s="509"/>
      <c r="Z62" s="509"/>
      <c r="AA62" s="509"/>
      <c r="AB62" s="509"/>
      <c r="AC62" s="509"/>
      <c r="AD62" s="509"/>
      <c r="AE62" s="509"/>
      <c r="AF62" s="509"/>
      <c r="AG62" s="509"/>
      <c r="AH62" s="509"/>
    </row>
    <row r="63" spans="2:34">
      <c r="B63" s="509"/>
      <c r="C63" s="509"/>
      <c r="D63" s="509"/>
      <c r="E63" s="509"/>
      <c r="F63" s="509"/>
      <c r="G63" s="509"/>
      <c r="H63" s="509"/>
      <c r="I63" s="509"/>
      <c r="J63" s="509"/>
      <c r="K63" s="509"/>
      <c r="L63" s="509"/>
      <c r="M63" s="509"/>
      <c r="N63" s="509"/>
      <c r="O63" s="509"/>
      <c r="P63" s="509"/>
      <c r="Q63" s="509"/>
      <c r="R63" s="509"/>
      <c r="S63" s="509"/>
      <c r="T63" s="509"/>
      <c r="U63" s="509"/>
      <c r="V63" s="509"/>
      <c r="W63" s="509"/>
      <c r="X63" s="509"/>
      <c r="Y63" s="509"/>
      <c r="Z63" s="509"/>
      <c r="AA63" s="509"/>
      <c r="AB63" s="509"/>
      <c r="AC63" s="509"/>
      <c r="AD63" s="509"/>
      <c r="AE63" s="509"/>
      <c r="AF63" s="509"/>
      <c r="AG63" s="509"/>
      <c r="AH63" s="509"/>
    </row>
    <row r="64" spans="2:34">
      <c r="B64" s="509"/>
      <c r="C64" s="509"/>
      <c r="D64" s="509"/>
      <c r="E64" s="509"/>
      <c r="F64" s="509"/>
      <c r="G64" s="509"/>
      <c r="H64" s="509"/>
      <c r="I64" s="509"/>
      <c r="J64" s="509"/>
      <c r="K64" s="509"/>
      <c r="L64" s="509"/>
      <c r="M64" s="509"/>
      <c r="N64" s="509"/>
      <c r="O64" s="509"/>
      <c r="P64" s="509"/>
      <c r="Q64" s="509"/>
      <c r="R64" s="509"/>
      <c r="S64" s="509"/>
      <c r="T64" s="509"/>
      <c r="U64" s="509"/>
      <c r="V64" s="509"/>
      <c r="W64" s="509"/>
      <c r="X64" s="509"/>
      <c r="Y64" s="509"/>
      <c r="Z64" s="509"/>
      <c r="AA64" s="509"/>
      <c r="AB64" s="509"/>
      <c r="AC64" s="509"/>
      <c r="AD64" s="509"/>
      <c r="AE64" s="509"/>
      <c r="AF64" s="509"/>
      <c r="AG64" s="509"/>
      <c r="AH64" s="509"/>
    </row>
    <row r="65" spans="2:34">
      <c r="B65" s="509"/>
      <c r="C65" s="509"/>
      <c r="D65" s="509"/>
      <c r="E65" s="509"/>
      <c r="F65" s="509"/>
      <c r="G65" s="509"/>
      <c r="H65" s="509"/>
      <c r="I65" s="509"/>
      <c r="J65" s="509"/>
      <c r="K65" s="509"/>
      <c r="L65" s="509"/>
      <c r="M65" s="509"/>
      <c r="N65" s="509"/>
      <c r="O65" s="509"/>
      <c r="P65" s="509"/>
      <c r="Q65" s="509"/>
      <c r="R65" s="509"/>
      <c r="S65" s="509"/>
      <c r="T65" s="509"/>
      <c r="U65" s="509"/>
      <c r="V65" s="509"/>
      <c r="W65" s="509"/>
      <c r="X65" s="509"/>
      <c r="Y65" s="509"/>
      <c r="Z65" s="509"/>
      <c r="AA65" s="509"/>
      <c r="AB65" s="509"/>
      <c r="AC65" s="509"/>
      <c r="AD65" s="509"/>
      <c r="AE65" s="509"/>
      <c r="AF65" s="509"/>
      <c r="AG65" s="509"/>
      <c r="AH65" s="509"/>
    </row>
    <row r="66" spans="2:34">
      <c r="B66" s="509"/>
      <c r="C66" s="509"/>
      <c r="D66" s="509"/>
      <c r="E66" s="509"/>
      <c r="F66" s="509"/>
      <c r="G66" s="509"/>
      <c r="H66" s="509"/>
      <c r="I66" s="509"/>
      <c r="J66" s="509"/>
      <c r="K66" s="509"/>
      <c r="L66" s="509"/>
      <c r="M66" s="509"/>
      <c r="N66" s="509"/>
      <c r="O66" s="509"/>
      <c r="P66" s="509"/>
      <c r="Q66" s="509"/>
      <c r="R66" s="509"/>
      <c r="S66" s="509"/>
      <c r="T66" s="509"/>
      <c r="U66" s="509"/>
      <c r="V66" s="509"/>
      <c r="W66" s="509"/>
      <c r="X66" s="509"/>
      <c r="Y66" s="509"/>
      <c r="Z66" s="509"/>
      <c r="AA66" s="509"/>
      <c r="AB66" s="509"/>
      <c r="AC66" s="509"/>
      <c r="AD66" s="509"/>
      <c r="AE66" s="509"/>
      <c r="AF66" s="509"/>
      <c r="AG66" s="509"/>
      <c r="AH66" s="509"/>
    </row>
    <row r="67" spans="2:34">
      <c r="B67" s="509"/>
      <c r="C67" s="509"/>
      <c r="D67" s="509"/>
      <c r="E67" s="509"/>
      <c r="F67" s="509"/>
      <c r="G67" s="509"/>
      <c r="H67" s="509"/>
      <c r="I67" s="509"/>
      <c r="J67" s="509"/>
      <c r="K67" s="509"/>
      <c r="L67" s="509"/>
      <c r="M67" s="509"/>
      <c r="N67" s="509"/>
      <c r="O67" s="509"/>
      <c r="P67" s="509"/>
      <c r="Q67" s="509"/>
      <c r="R67" s="509"/>
      <c r="S67" s="509"/>
      <c r="T67" s="509"/>
      <c r="U67" s="509"/>
      <c r="V67" s="509"/>
      <c r="W67" s="509"/>
      <c r="X67" s="509"/>
      <c r="Y67" s="509"/>
      <c r="Z67" s="509"/>
      <c r="AA67" s="509"/>
      <c r="AB67" s="509"/>
      <c r="AC67" s="509"/>
      <c r="AD67" s="509"/>
      <c r="AE67" s="509"/>
      <c r="AF67" s="509"/>
      <c r="AG67" s="509"/>
      <c r="AH67" s="509"/>
    </row>
    <row r="68" spans="2:34">
      <c r="B68" s="509"/>
      <c r="C68" s="509"/>
      <c r="D68" s="509"/>
      <c r="E68" s="509"/>
      <c r="F68" s="509"/>
      <c r="G68" s="509"/>
      <c r="H68" s="509"/>
      <c r="I68" s="509"/>
      <c r="J68" s="509"/>
      <c r="K68" s="509"/>
      <c r="L68" s="509"/>
      <c r="M68" s="509"/>
      <c r="N68" s="509"/>
      <c r="O68" s="509"/>
      <c r="P68" s="509"/>
      <c r="Q68" s="509"/>
      <c r="R68" s="509"/>
      <c r="S68" s="509"/>
      <c r="T68" s="509"/>
      <c r="U68" s="509"/>
      <c r="V68" s="509"/>
      <c r="W68" s="509"/>
      <c r="X68" s="509"/>
      <c r="Y68" s="509"/>
      <c r="Z68" s="509"/>
      <c r="AA68" s="509"/>
      <c r="AB68" s="509"/>
      <c r="AC68" s="509"/>
      <c r="AD68" s="509"/>
      <c r="AE68" s="509"/>
      <c r="AF68" s="509"/>
      <c r="AG68" s="509"/>
      <c r="AH68" s="509"/>
    </row>
    <row r="69" spans="2:34">
      <c r="B69" s="509"/>
      <c r="C69" s="509"/>
      <c r="D69" s="509"/>
      <c r="E69" s="509"/>
      <c r="F69" s="509"/>
      <c r="G69" s="509"/>
      <c r="H69" s="509"/>
      <c r="I69" s="509"/>
      <c r="J69" s="509"/>
      <c r="K69" s="509"/>
      <c r="L69" s="509"/>
      <c r="M69" s="509"/>
      <c r="N69" s="509"/>
      <c r="O69" s="509"/>
      <c r="P69" s="509"/>
      <c r="Q69" s="509"/>
      <c r="R69" s="509"/>
      <c r="S69" s="509"/>
      <c r="T69" s="509"/>
      <c r="U69" s="509"/>
      <c r="V69" s="509"/>
      <c r="W69" s="509"/>
      <c r="X69" s="509"/>
      <c r="Y69" s="509"/>
      <c r="Z69" s="509"/>
      <c r="AA69" s="509"/>
      <c r="AB69" s="509"/>
      <c r="AC69" s="509"/>
      <c r="AD69" s="509"/>
      <c r="AE69" s="509"/>
      <c r="AF69" s="509"/>
      <c r="AG69" s="509"/>
      <c r="AH69" s="509"/>
    </row>
    <row r="70" spans="2:34">
      <c r="B70" s="509"/>
      <c r="C70" s="509"/>
      <c r="D70" s="509"/>
      <c r="E70" s="509"/>
      <c r="F70" s="509"/>
      <c r="G70" s="509"/>
      <c r="H70" s="509"/>
      <c r="I70" s="509"/>
      <c r="J70" s="509"/>
      <c r="K70" s="509"/>
      <c r="L70" s="509"/>
      <c r="M70" s="509"/>
      <c r="N70" s="509"/>
      <c r="O70" s="509"/>
      <c r="P70" s="509"/>
      <c r="Q70" s="509"/>
      <c r="R70" s="509"/>
      <c r="S70" s="509"/>
      <c r="T70" s="509"/>
      <c r="U70" s="509"/>
      <c r="V70" s="509"/>
      <c r="W70" s="509"/>
      <c r="X70" s="509"/>
      <c r="Y70" s="509"/>
      <c r="Z70" s="509"/>
      <c r="AA70" s="509"/>
      <c r="AB70" s="509"/>
      <c r="AC70" s="509"/>
      <c r="AD70" s="509"/>
      <c r="AE70" s="509"/>
      <c r="AF70" s="509"/>
      <c r="AG70" s="509"/>
      <c r="AH70" s="509"/>
    </row>
    <row r="71" spans="2:34">
      <c r="B71" s="509"/>
      <c r="C71" s="509"/>
      <c r="D71" s="509"/>
      <c r="E71" s="509"/>
      <c r="F71" s="509"/>
      <c r="G71" s="509"/>
      <c r="H71" s="509"/>
      <c r="I71" s="509"/>
      <c r="J71" s="509"/>
      <c r="K71" s="509"/>
      <c r="L71" s="509"/>
      <c r="M71" s="509"/>
      <c r="N71" s="509"/>
      <c r="O71" s="509"/>
      <c r="P71" s="509"/>
      <c r="Q71" s="509"/>
      <c r="R71" s="509"/>
      <c r="S71" s="509"/>
      <c r="T71" s="509"/>
      <c r="U71" s="509"/>
      <c r="V71" s="509"/>
      <c r="W71" s="509"/>
      <c r="X71" s="509"/>
      <c r="Y71" s="509"/>
      <c r="Z71" s="509"/>
      <c r="AA71" s="509"/>
      <c r="AB71" s="509"/>
      <c r="AC71" s="509"/>
      <c r="AD71" s="509"/>
      <c r="AE71" s="509"/>
      <c r="AF71" s="509"/>
      <c r="AG71" s="509"/>
      <c r="AH71" s="509"/>
    </row>
    <row r="72" spans="2:34">
      <c r="B72" s="509"/>
      <c r="C72" s="509"/>
      <c r="D72" s="509"/>
      <c r="E72" s="509"/>
      <c r="F72" s="509"/>
      <c r="G72" s="509"/>
      <c r="H72" s="509"/>
      <c r="I72" s="509"/>
      <c r="J72" s="509"/>
      <c r="K72" s="509"/>
      <c r="L72" s="509"/>
      <c r="M72" s="509"/>
      <c r="N72" s="509"/>
      <c r="O72" s="509"/>
      <c r="P72" s="509"/>
      <c r="Q72" s="509"/>
      <c r="R72" s="509"/>
      <c r="S72" s="509"/>
      <c r="T72" s="509"/>
      <c r="U72" s="509"/>
      <c r="V72" s="509"/>
      <c r="W72" s="509"/>
      <c r="X72" s="509"/>
      <c r="Y72" s="509"/>
      <c r="Z72" s="509"/>
      <c r="AA72" s="509"/>
      <c r="AB72" s="509"/>
      <c r="AC72" s="509"/>
      <c r="AD72" s="509"/>
      <c r="AE72" s="509"/>
      <c r="AF72" s="509"/>
      <c r="AG72" s="509"/>
      <c r="AH72" s="509"/>
    </row>
    <row r="73" spans="2:34">
      <c r="B73" s="509"/>
      <c r="C73" s="509"/>
      <c r="D73" s="509"/>
      <c r="E73" s="509"/>
      <c r="F73" s="509"/>
      <c r="G73" s="509"/>
      <c r="H73" s="509"/>
      <c r="I73" s="509"/>
      <c r="J73" s="509"/>
      <c r="K73" s="509"/>
      <c r="L73" s="509"/>
      <c r="M73" s="509"/>
      <c r="N73" s="509"/>
      <c r="O73" s="509"/>
      <c r="P73" s="509"/>
      <c r="Q73" s="509"/>
      <c r="R73" s="509"/>
      <c r="S73" s="509"/>
      <c r="T73" s="509"/>
      <c r="U73" s="509"/>
      <c r="V73" s="509"/>
      <c r="W73" s="509"/>
      <c r="X73" s="509"/>
      <c r="Y73" s="509"/>
      <c r="Z73" s="509"/>
      <c r="AA73" s="509"/>
      <c r="AB73" s="509"/>
      <c r="AC73" s="509"/>
      <c r="AD73" s="509"/>
      <c r="AE73" s="509"/>
      <c r="AF73" s="509"/>
      <c r="AG73" s="509"/>
      <c r="AH73" s="509"/>
    </row>
    <row r="74" spans="2:34">
      <c r="B74" s="509"/>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c r="AE74" s="509"/>
      <c r="AF74" s="509"/>
      <c r="AG74" s="509"/>
      <c r="AH74" s="509"/>
    </row>
    <row r="75" spans="2:34">
      <c r="B75" s="509"/>
      <c r="C75" s="509"/>
      <c r="D75" s="509"/>
      <c r="E75" s="509"/>
      <c r="F75" s="509"/>
      <c r="G75" s="509"/>
      <c r="H75" s="509"/>
      <c r="I75" s="509"/>
      <c r="J75" s="509"/>
      <c r="K75" s="509"/>
      <c r="L75" s="509"/>
      <c r="M75" s="509"/>
      <c r="N75" s="509"/>
      <c r="O75" s="509"/>
      <c r="P75" s="509"/>
      <c r="Q75" s="509"/>
      <c r="R75" s="509"/>
      <c r="S75" s="509"/>
      <c r="T75" s="509"/>
      <c r="U75" s="509"/>
      <c r="V75" s="509"/>
      <c r="W75" s="509"/>
      <c r="X75" s="509"/>
      <c r="Y75" s="509"/>
      <c r="Z75" s="509"/>
      <c r="AA75" s="509"/>
      <c r="AB75" s="509"/>
      <c r="AC75" s="509"/>
      <c r="AD75" s="509"/>
      <c r="AE75" s="509"/>
      <c r="AF75" s="509"/>
      <c r="AG75" s="509"/>
      <c r="AH75" s="509"/>
    </row>
    <row r="76" spans="2:34">
      <c r="B76" s="509"/>
      <c r="C76" s="509"/>
      <c r="D76" s="509"/>
      <c r="E76" s="509"/>
      <c r="F76" s="509"/>
      <c r="G76" s="509"/>
      <c r="H76" s="509"/>
      <c r="I76" s="509"/>
      <c r="J76" s="509"/>
      <c r="K76" s="509"/>
      <c r="L76" s="509"/>
      <c r="M76" s="509"/>
      <c r="N76" s="509"/>
      <c r="O76" s="509"/>
      <c r="P76" s="509"/>
      <c r="Q76" s="509"/>
      <c r="R76" s="509"/>
      <c r="S76" s="509"/>
      <c r="T76" s="509"/>
      <c r="U76" s="509"/>
      <c r="V76" s="509"/>
      <c r="W76" s="509"/>
      <c r="X76" s="509"/>
      <c r="Y76" s="509"/>
      <c r="Z76" s="509"/>
      <c r="AA76" s="509"/>
      <c r="AB76" s="509"/>
      <c r="AC76" s="509"/>
      <c r="AD76" s="509"/>
      <c r="AE76" s="509"/>
      <c r="AF76" s="509"/>
      <c r="AG76" s="509"/>
      <c r="AH76" s="509"/>
    </row>
    <row r="77" spans="2:34">
      <c r="B77" s="509"/>
      <c r="C77" s="509"/>
      <c r="D77" s="509"/>
      <c r="E77" s="509"/>
      <c r="F77" s="509"/>
      <c r="G77" s="509"/>
      <c r="H77" s="509"/>
      <c r="I77" s="509"/>
      <c r="J77" s="509"/>
      <c r="K77" s="509"/>
      <c r="L77" s="509"/>
      <c r="M77" s="509"/>
      <c r="N77" s="509"/>
      <c r="O77" s="509"/>
      <c r="P77" s="509"/>
      <c r="Q77" s="509"/>
      <c r="R77" s="509"/>
      <c r="S77" s="509"/>
      <c r="T77" s="509"/>
      <c r="U77" s="509"/>
      <c r="V77" s="509"/>
      <c r="W77" s="509"/>
      <c r="X77" s="509"/>
      <c r="Y77" s="509"/>
      <c r="Z77" s="509"/>
      <c r="AA77" s="509"/>
      <c r="AB77" s="509"/>
      <c r="AC77" s="509"/>
      <c r="AD77" s="509"/>
      <c r="AE77" s="509"/>
      <c r="AF77" s="509"/>
      <c r="AG77" s="509"/>
      <c r="AH77" s="509"/>
    </row>
    <row r="78" spans="2:34">
      <c r="B78" s="509"/>
      <c r="C78" s="509"/>
      <c r="D78" s="509"/>
      <c r="E78" s="509"/>
      <c r="F78" s="509"/>
      <c r="G78" s="509"/>
      <c r="H78" s="509"/>
      <c r="I78" s="509"/>
      <c r="J78" s="509"/>
      <c r="K78" s="509"/>
      <c r="L78" s="509"/>
      <c r="M78" s="509"/>
      <c r="N78" s="509"/>
      <c r="O78" s="509"/>
      <c r="P78" s="509"/>
      <c r="Q78" s="509"/>
      <c r="R78" s="509"/>
      <c r="S78" s="509"/>
      <c r="T78" s="509"/>
      <c r="U78" s="509"/>
      <c r="V78" s="509"/>
      <c r="W78" s="509"/>
      <c r="X78" s="509"/>
      <c r="Y78" s="509"/>
      <c r="Z78" s="509"/>
      <c r="AA78" s="509"/>
      <c r="AB78" s="509"/>
      <c r="AC78" s="509"/>
      <c r="AD78" s="509"/>
      <c r="AE78" s="509"/>
      <c r="AF78" s="509"/>
      <c r="AG78" s="509"/>
      <c r="AH78" s="509"/>
    </row>
    <row r="79" spans="2:34">
      <c r="B79" s="509"/>
      <c r="C79" s="509"/>
      <c r="D79" s="509"/>
      <c r="E79" s="509"/>
      <c r="F79" s="509"/>
      <c r="G79" s="509"/>
      <c r="H79" s="509"/>
      <c r="I79" s="509"/>
      <c r="J79" s="509"/>
      <c r="K79" s="509"/>
      <c r="L79" s="509"/>
      <c r="M79" s="509"/>
      <c r="N79" s="509"/>
      <c r="O79" s="509"/>
      <c r="P79" s="509"/>
      <c r="Q79" s="509"/>
      <c r="R79" s="509"/>
      <c r="S79" s="509"/>
      <c r="T79" s="509"/>
      <c r="U79" s="509"/>
      <c r="V79" s="509"/>
      <c r="W79" s="509"/>
      <c r="X79" s="509"/>
      <c r="Y79" s="509"/>
      <c r="Z79" s="509"/>
      <c r="AA79" s="509"/>
      <c r="AB79" s="509"/>
      <c r="AC79" s="509"/>
      <c r="AD79" s="509"/>
      <c r="AE79" s="509"/>
      <c r="AF79" s="509"/>
      <c r="AG79" s="509"/>
      <c r="AH79" s="509"/>
    </row>
    <row r="80" spans="2:34">
      <c r="B80" s="509"/>
      <c r="C80" s="509"/>
      <c r="D80" s="509"/>
      <c r="E80" s="509"/>
      <c r="F80" s="509"/>
      <c r="G80" s="509"/>
      <c r="H80" s="509"/>
      <c r="I80" s="509"/>
      <c r="J80" s="509"/>
      <c r="K80" s="509"/>
      <c r="L80" s="509"/>
      <c r="M80" s="509"/>
      <c r="N80" s="509"/>
      <c r="O80" s="509"/>
      <c r="P80" s="509"/>
      <c r="Q80" s="509"/>
      <c r="R80" s="509"/>
      <c r="S80" s="509"/>
      <c r="T80" s="509"/>
      <c r="U80" s="509"/>
      <c r="V80" s="509"/>
      <c r="W80" s="509"/>
      <c r="X80" s="509"/>
      <c r="Y80" s="509"/>
      <c r="Z80" s="509"/>
      <c r="AA80" s="509"/>
      <c r="AB80" s="509"/>
      <c r="AC80" s="509"/>
      <c r="AD80" s="509"/>
      <c r="AE80" s="509"/>
      <c r="AF80" s="509"/>
      <c r="AG80" s="509"/>
      <c r="AH80" s="509"/>
    </row>
    <row r="81" spans="2:34">
      <c r="B81" s="509"/>
      <c r="C81" s="509"/>
      <c r="D81" s="509"/>
      <c r="E81" s="509"/>
      <c r="F81" s="509"/>
      <c r="G81" s="509"/>
      <c r="H81" s="509"/>
      <c r="I81" s="509"/>
      <c r="J81" s="509"/>
      <c r="K81" s="509"/>
      <c r="L81" s="509"/>
      <c r="M81" s="509"/>
      <c r="N81" s="509"/>
      <c r="O81" s="509"/>
      <c r="P81" s="509"/>
      <c r="Q81" s="509"/>
      <c r="R81" s="509"/>
      <c r="S81" s="509"/>
      <c r="T81" s="509"/>
      <c r="U81" s="509"/>
      <c r="V81" s="509"/>
      <c r="W81" s="509"/>
      <c r="X81" s="509"/>
      <c r="Y81" s="509"/>
      <c r="Z81" s="509"/>
      <c r="AA81" s="509"/>
      <c r="AB81" s="509"/>
      <c r="AC81" s="509"/>
      <c r="AD81" s="509"/>
      <c r="AE81" s="509"/>
      <c r="AF81" s="509"/>
      <c r="AG81" s="509"/>
      <c r="AH81" s="509"/>
    </row>
    <row r="82" spans="2:34">
      <c r="B82" s="509"/>
      <c r="C82" s="509"/>
      <c r="D82" s="509"/>
      <c r="E82" s="509"/>
      <c r="F82" s="509"/>
      <c r="G82" s="509"/>
      <c r="H82" s="509"/>
      <c r="I82" s="509"/>
      <c r="J82" s="509"/>
      <c r="K82" s="509"/>
      <c r="L82" s="509"/>
      <c r="M82" s="509"/>
      <c r="N82" s="509"/>
      <c r="O82" s="509"/>
      <c r="P82" s="509"/>
      <c r="Q82" s="509"/>
      <c r="R82" s="509"/>
      <c r="S82" s="509"/>
      <c r="T82" s="509"/>
      <c r="U82" s="509"/>
      <c r="V82" s="509"/>
      <c r="W82" s="509"/>
      <c r="X82" s="509"/>
      <c r="Y82" s="509"/>
      <c r="Z82" s="509"/>
      <c r="AA82" s="509"/>
      <c r="AB82" s="509"/>
      <c r="AC82" s="509"/>
      <c r="AD82" s="509"/>
      <c r="AE82" s="509"/>
      <c r="AF82" s="509"/>
      <c r="AG82" s="509"/>
      <c r="AH82" s="509"/>
    </row>
    <row r="83" spans="2:34">
      <c r="B83" s="509"/>
      <c r="C83" s="509"/>
      <c r="D83" s="509"/>
      <c r="E83" s="509"/>
      <c r="F83" s="509"/>
      <c r="G83" s="509"/>
      <c r="H83" s="509"/>
      <c r="I83" s="509"/>
      <c r="J83" s="509"/>
      <c r="K83" s="509"/>
      <c r="L83" s="509"/>
      <c r="M83" s="509"/>
      <c r="N83" s="509"/>
      <c r="O83" s="509"/>
      <c r="P83" s="509"/>
      <c r="Q83" s="509"/>
      <c r="R83" s="509"/>
      <c r="S83" s="509"/>
      <c r="T83" s="509"/>
      <c r="U83" s="509"/>
      <c r="V83" s="509"/>
      <c r="W83" s="509"/>
      <c r="X83" s="509"/>
      <c r="Y83" s="509"/>
      <c r="Z83" s="509"/>
      <c r="AA83" s="509"/>
      <c r="AB83" s="509"/>
      <c r="AC83" s="509"/>
      <c r="AD83" s="509"/>
      <c r="AE83" s="509"/>
      <c r="AF83" s="509"/>
      <c r="AG83" s="509"/>
      <c r="AH83" s="509"/>
    </row>
    <row r="84" spans="2:34">
      <c r="B84" s="509"/>
      <c r="C84" s="509"/>
      <c r="D84" s="509"/>
      <c r="E84" s="509"/>
      <c r="F84" s="509"/>
      <c r="G84" s="509"/>
      <c r="H84" s="509"/>
      <c r="I84" s="509"/>
      <c r="J84" s="509"/>
      <c r="K84" s="509"/>
      <c r="L84" s="509"/>
      <c r="M84" s="509"/>
      <c r="N84" s="509"/>
      <c r="O84" s="509"/>
      <c r="P84" s="509"/>
      <c r="Q84" s="509"/>
      <c r="R84" s="509"/>
      <c r="S84" s="509"/>
      <c r="T84" s="509"/>
      <c r="U84" s="509"/>
      <c r="V84" s="509"/>
      <c r="W84" s="509"/>
      <c r="X84" s="509"/>
      <c r="Y84" s="509"/>
      <c r="Z84" s="509"/>
      <c r="AA84" s="509"/>
      <c r="AB84" s="509"/>
      <c r="AC84" s="509"/>
      <c r="AD84" s="509"/>
      <c r="AE84" s="509"/>
      <c r="AF84" s="509"/>
      <c r="AG84" s="509"/>
      <c r="AH84" s="509"/>
    </row>
    <row r="85" spans="2:34">
      <c r="B85" s="509"/>
      <c r="C85" s="509"/>
      <c r="D85" s="509"/>
      <c r="E85" s="509"/>
      <c r="F85" s="509"/>
      <c r="G85" s="509"/>
      <c r="H85" s="509"/>
      <c r="I85" s="509"/>
      <c r="J85" s="509"/>
      <c r="K85" s="509"/>
      <c r="L85" s="509"/>
      <c r="M85" s="509"/>
      <c r="N85" s="509"/>
      <c r="O85" s="509"/>
      <c r="P85" s="509"/>
      <c r="Q85" s="509"/>
      <c r="R85" s="509"/>
      <c r="S85" s="509"/>
      <c r="T85" s="509"/>
      <c r="U85" s="509"/>
      <c r="V85" s="509"/>
      <c r="W85" s="509"/>
      <c r="X85" s="509"/>
      <c r="Y85" s="509"/>
      <c r="Z85" s="509"/>
      <c r="AA85" s="509"/>
      <c r="AB85" s="509"/>
      <c r="AC85" s="509"/>
      <c r="AD85" s="509"/>
      <c r="AE85" s="509"/>
      <c r="AF85" s="509"/>
      <c r="AG85" s="509"/>
      <c r="AH85" s="509"/>
    </row>
    <row r="86" spans="2:34">
      <c r="B86" s="509"/>
      <c r="C86" s="509"/>
      <c r="D86" s="509"/>
      <c r="E86" s="509"/>
      <c r="F86" s="509"/>
      <c r="G86" s="509"/>
      <c r="H86" s="509"/>
      <c r="I86" s="509"/>
      <c r="J86" s="509"/>
      <c r="K86" s="509"/>
      <c r="L86" s="509"/>
      <c r="M86" s="509"/>
      <c r="N86" s="509"/>
      <c r="O86" s="509"/>
      <c r="P86" s="509"/>
      <c r="Q86" s="509"/>
      <c r="R86" s="509"/>
      <c r="S86" s="509"/>
      <c r="T86" s="509"/>
      <c r="U86" s="509"/>
      <c r="V86" s="509"/>
      <c r="W86" s="509"/>
      <c r="X86" s="509"/>
      <c r="Y86" s="509"/>
      <c r="Z86" s="509"/>
      <c r="AA86" s="509"/>
      <c r="AB86" s="509"/>
      <c r="AC86" s="509"/>
      <c r="AD86" s="509"/>
      <c r="AE86" s="509"/>
      <c r="AF86" s="509"/>
      <c r="AG86" s="509"/>
      <c r="AH86" s="509"/>
    </row>
    <row r="87" spans="2:34">
      <c r="B87" s="509"/>
      <c r="C87" s="509"/>
      <c r="D87" s="509"/>
      <c r="E87" s="509"/>
      <c r="F87" s="509"/>
      <c r="G87" s="509"/>
      <c r="H87" s="509"/>
      <c r="I87" s="509"/>
      <c r="J87" s="509"/>
      <c r="K87" s="509"/>
      <c r="L87" s="509"/>
      <c r="M87" s="509"/>
      <c r="N87" s="509"/>
      <c r="O87" s="509"/>
      <c r="P87" s="509"/>
      <c r="Q87" s="509"/>
      <c r="R87" s="509"/>
      <c r="S87" s="509"/>
      <c r="T87" s="509"/>
      <c r="U87" s="509"/>
      <c r="V87" s="509"/>
      <c r="W87" s="509"/>
      <c r="X87" s="509"/>
      <c r="Y87" s="509"/>
      <c r="Z87" s="509"/>
      <c r="AA87" s="509"/>
      <c r="AB87" s="509"/>
      <c r="AC87" s="509"/>
      <c r="AD87" s="509"/>
      <c r="AE87" s="509"/>
      <c r="AF87" s="509"/>
      <c r="AG87" s="509"/>
      <c r="AH87" s="509"/>
    </row>
    <row r="88" spans="2:34">
      <c r="B88" s="509"/>
      <c r="C88" s="509"/>
      <c r="D88" s="509"/>
      <c r="E88" s="509"/>
      <c r="F88" s="509"/>
      <c r="G88" s="509"/>
      <c r="H88" s="509"/>
      <c r="I88" s="509"/>
      <c r="J88" s="509"/>
      <c r="K88" s="509"/>
      <c r="L88" s="509"/>
      <c r="M88" s="509"/>
      <c r="N88" s="509"/>
      <c r="O88" s="509"/>
      <c r="P88" s="509"/>
      <c r="Q88" s="509"/>
      <c r="R88" s="509"/>
      <c r="S88" s="509"/>
      <c r="T88" s="509"/>
      <c r="U88" s="509"/>
      <c r="V88" s="509"/>
      <c r="W88" s="509"/>
      <c r="X88" s="509"/>
      <c r="Y88" s="509"/>
      <c r="Z88" s="509"/>
      <c r="AA88" s="509"/>
      <c r="AB88" s="509"/>
      <c r="AC88" s="509"/>
      <c r="AD88" s="509"/>
      <c r="AE88" s="509"/>
      <c r="AF88" s="509"/>
      <c r="AG88" s="509"/>
      <c r="AH88" s="509"/>
    </row>
    <row r="89" spans="2:34">
      <c r="B89" s="509"/>
      <c r="C89" s="509"/>
      <c r="D89" s="509"/>
      <c r="E89" s="509"/>
      <c r="F89" s="509"/>
      <c r="G89" s="509"/>
      <c r="H89" s="509"/>
      <c r="I89" s="509"/>
      <c r="J89" s="509"/>
      <c r="K89" s="509"/>
      <c r="L89" s="509"/>
      <c r="M89" s="509"/>
      <c r="N89" s="509"/>
      <c r="O89" s="509"/>
      <c r="P89" s="509"/>
      <c r="Q89" s="509"/>
      <c r="R89" s="509"/>
      <c r="S89" s="509"/>
      <c r="T89" s="509"/>
      <c r="U89" s="509"/>
      <c r="V89" s="509"/>
      <c r="W89" s="509"/>
      <c r="X89" s="509"/>
      <c r="Y89" s="509"/>
      <c r="Z89" s="509"/>
      <c r="AA89" s="509"/>
      <c r="AB89" s="509"/>
      <c r="AC89" s="509"/>
      <c r="AD89" s="509"/>
      <c r="AE89" s="509"/>
      <c r="AF89" s="509"/>
      <c r="AG89" s="509"/>
      <c r="AH89" s="509"/>
    </row>
    <row r="90" spans="2:34">
      <c r="B90" s="509"/>
      <c r="C90" s="509"/>
      <c r="D90" s="509"/>
      <c r="E90" s="509"/>
      <c r="F90" s="509"/>
      <c r="G90" s="509"/>
      <c r="H90" s="509"/>
      <c r="I90" s="509"/>
      <c r="J90" s="509"/>
      <c r="K90" s="509"/>
      <c r="L90" s="509"/>
      <c r="M90" s="509"/>
      <c r="N90" s="509"/>
      <c r="O90" s="509"/>
      <c r="P90" s="509"/>
      <c r="Q90" s="509"/>
      <c r="R90" s="509"/>
      <c r="S90" s="509"/>
      <c r="T90" s="509"/>
      <c r="U90" s="509"/>
      <c r="V90" s="509"/>
      <c r="W90" s="509"/>
      <c r="X90" s="509"/>
      <c r="Y90" s="509"/>
      <c r="Z90" s="509"/>
      <c r="AA90" s="509"/>
      <c r="AB90" s="509"/>
      <c r="AC90" s="509"/>
      <c r="AD90" s="509"/>
      <c r="AE90" s="509"/>
      <c r="AF90" s="509"/>
      <c r="AG90" s="509"/>
      <c r="AH90" s="509"/>
    </row>
    <row r="91" spans="2:34">
      <c r="B91" s="509"/>
      <c r="C91" s="509"/>
      <c r="D91" s="509"/>
      <c r="E91" s="509"/>
      <c r="F91" s="509"/>
      <c r="G91" s="509"/>
      <c r="H91" s="509"/>
      <c r="I91" s="509"/>
      <c r="J91" s="509"/>
      <c r="K91" s="509"/>
      <c r="L91" s="509"/>
      <c r="M91" s="509"/>
      <c r="N91" s="509"/>
      <c r="O91" s="509"/>
      <c r="P91" s="509"/>
      <c r="Q91" s="509"/>
      <c r="R91" s="509"/>
      <c r="S91" s="509"/>
      <c r="T91" s="509"/>
      <c r="U91" s="509"/>
      <c r="V91" s="509"/>
      <c r="W91" s="509"/>
      <c r="X91" s="509"/>
      <c r="Y91" s="509"/>
      <c r="Z91" s="509"/>
      <c r="AA91" s="509"/>
      <c r="AB91" s="509"/>
      <c r="AC91" s="509"/>
      <c r="AD91" s="509"/>
      <c r="AE91" s="509"/>
      <c r="AF91" s="509"/>
      <c r="AG91" s="509"/>
      <c r="AH91" s="509"/>
    </row>
    <row r="92" spans="2:34">
      <c r="B92" s="509"/>
      <c r="C92" s="509"/>
      <c r="D92" s="509"/>
      <c r="E92" s="509"/>
      <c r="F92" s="509"/>
      <c r="G92" s="509"/>
      <c r="H92" s="509"/>
      <c r="I92" s="509"/>
      <c r="J92" s="509"/>
      <c r="K92" s="509"/>
      <c r="L92" s="509"/>
      <c r="M92" s="509"/>
      <c r="N92" s="509"/>
      <c r="O92" s="509"/>
      <c r="P92" s="509"/>
      <c r="Q92" s="509"/>
      <c r="R92" s="509"/>
      <c r="S92" s="509"/>
      <c r="T92" s="509"/>
      <c r="U92" s="509"/>
      <c r="V92" s="509"/>
      <c r="W92" s="509"/>
      <c r="X92" s="509"/>
      <c r="Y92" s="509"/>
      <c r="Z92" s="509"/>
      <c r="AA92" s="509"/>
      <c r="AB92" s="509"/>
      <c r="AC92" s="509"/>
      <c r="AD92" s="509"/>
      <c r="AE92" s="509"/>
      <c r="AF92" s="509"/>
      <c r="AG92" s="509"/>
      <c r="AH92" s="509"/>
    </row>
    <row r="93" spans="2:34">
      <c r="B93" s="509"/>
      <c r="C93" s="509"/>
      <c r="D93" s="509"/>
      <c r="E93" s="509"/>
      <c r="F93" s="509"/>
      <c r="G93" s="509"/>
      <c r="H93" s="509"/>
      <c r="I93" s="509"/>
      <c r="J93" s="509"/>
      <c r="K93" s="509"/>
      <c r="L93" s="509"/>
      <c r="M93" s="509"/>
      <c r="N93" s="509"/>
      <c r="O93" s="509"/>
      <c r="P93" s="509"/>
      <c r="Q93" s="509"/>
      <c r="R93" s="509"/>
      <c r="S93" s="509"/>
      <c r="T93" s="509"/>
      <c r="U93" s="509"/>
      <c r="V93" s="509"/>
      <c r="W93" s="509"/>
      <c r="X93" s="509"/>
      <c r="Y93" s="509"/>
      <c r="Z93" s="509"/>
      <c r="AA93" s="509"/>
      <c r="AB93" s="509"/>
      <c r="AC93" s="509"/>
      <c r="AD93" s="509"/>
      <c r="AE93" s="509"/>
      <c r="AF93" s="509"/>
      <c r="AG93" s="509"/>
      <c r="AH93" s="509"/>
    </row>
    <row r="94" spans="2:34">
      <c r="B94" s="509"/>
      <c r="C94" s="509"/>
      <c r="D94" s="509"/>
      <c r="E94" s="509"/>
      <c r="F94" s="509"/>
      <c r="G94" s="509"/>
      <c r="H94" s="509"/>
      <c r="I94" s="509"/>
      <c r="J94" s="509"/>
      <c r="K94" s="509"/>
      <c r="L94" s="509"/>
      <c r="M94" s="509"/>
      <c r="N94" s="509"/>
      <c r="O94" s="509"/>
      <c r="P94" s="509"/>
      <c r="Q94" s="509"/>
      <c r="R94" s="509"/>
      <c r="S94" s="509"/>
      <c r="T94" s="509"/>
      <c r="U94" s="509"/>
      <c r="V94" s="509"/>
      <c r="W94" s="509"/>
      <c r="X94" s="509"/>
      <c r="Y94" s="509"/>
      <c r="Z94" s="509"/>
      <c r="AA94" s="509"/>
      <c r="AB94" s="509"/>
      <c r="AC94" s="509"/>
      <c r="AD94" s="509"/>
      <c r="AE94" s="509"/>
      <c r="AF94" s="509"/>
      <c r="AG94" s="509"/>
      <c r="AH94" s="509"/>
    </row>
    <row r="95" spans="2:34">
      <c r="B95" s="509"/>
      <c r="C95" s="509"/>
      <c r="D95" s="509"/>
      <c r="E95" s="509"/>
      <c r="F95" s="509"/>
      <c r="G95" s="509"/>
      <c r="H95" s="509"/>
      <c r="I95" s="509"/>
      <c r="J95" s="509"/>
      <c r="K95" s="509"/>
      <c r="L95" s="509"/>
      <c r="M95" s="509"/>
      <c r="N95" s="509"/>
      <c r="O95" s="509"/>
      <c r="P95" s="509"/>
      <c r="Q95" s="509"/>
      <c r="R95" s="509"/>
      <c r="S95" s="509"/>
      <c r="T95" s="509"/>
      <c r="U95" s="509"/>
      <c r="V95" s="509"/>
      <c r="W95" s="509"/>
      <c r="X95" s="509"/>
      <c r="Y95" s="509"/>
      <c r="Z95" s="509"/>
      <c r="AA95" s="509"/>
      <c r="AB95" s="509"/>
      <c r="AC95" s="509"/>
      <c r="AD95" s="509"/>
      <c r="AE95" s="509"/>
      <c r="AF95" s="509"/>
      <c r="AG95" s="509"/>
      <c r="AH95" s="509"/>
    </row>
    <row r="96" spans="2:34">
      <c r="B96" s="509"/>
      <c r="C96" s="509"/>
      <c r="D96" s="509"/>
      <c r="E96" s="509"/>
      <c r="F96" s="509"/>
      <c r="G96" s="509"/>
      <c r="H96" s="509"/>
      <c r="I96" s="509"/>
      <c r="J96" s="509"/>
      <c r="K96" s="509"/>
      <c r="L96" s="509"/>
      <c r="M96" s="509"/>
      <c r="N96" s="509"/>
      <c r="O96" s="509"/>
      <c r="P96" s="509"/>
      <c r="Q96" s="509"/>
      <c r="R96" s="509"/>
      <c r="S96" s="509"/>
      <c r="T96" s="509"/>
      <c r="U96" s="509"/>
      <c r="V96" s="509"/>
      <c r="W96" s="509"/>
      <c r="X96" s="509"/>
      <c r="Y96" s="509"/>
      <c r="Z96" s="509"/>
      <c r="AA96" s="509"/>
      <c r="AB96" s="509"/>
      <c r="AC96" s="509"/>
      <c r="AD96" s="509"/>
      <c r="AE96" s="509"/>
      <c r="AF96" s="509"/>
      <c r="AG96" s="509"/>
      <c r="AH96" s="509"/>
    </row>
    <row r="97" spans="2:34">
      <c r="B97" s="509"/>
      <c r="C97" s="509"/>
      <c r="D97" s="509"/>
      <c r="E97" s="509"/>
      <c r="F97" s="509"/>
      <c r="G97" s="509"/>
      <c r="H97" s="509"/>
      <c r="I97" s="509"/>
      <c r="J97" s="509"/>
      <c r="K97" s="509"/>
      <c r="L97" s="509"/>
      <c r="M97" s="509"/>
      <c r="N97" s="509"/>
      <c r="O97" s="509"/>
      <c r="P97" s="509"/>
      <c r="Q97" s="509"/>
      <c r="R97" s="509"/>
      <c r="S97" s="509"/>
      <c r="T97" s="509"/>
      <c r="U97" s="509"/>
      <c r="V97" s="509"/>
      <c r="W97" s="509"/>
      <c r="X97" s="509"/>
      <c r="Y97" s="509"/>
      <c r="Z97" s="509"/>
      <c r="AA97" s="509"/>
      <c r="AB97" s="509"/>
      <c r="AC97" s="509"/>
      <c r="AD97" s="509"/>
      <c r="AE97" s="509"/>
      <c r="AF97" s="509"/>
      <c r="AG97" s="509"/>
      <c r="AH97" s="509"/>
    </row>
    <row r="98" spans="2:34">
      <c r="B98" s="509"/>
      <c r="C98" s="509"/>
      <c r="D98" s="509"/>
      <c r="E98" s="509"/>
      <c r="F98" s="509"/>
      <c r="G98" s="509"/>
      <c r="H98" s="509"/>
      <c r="I98" s="509"/>
      <c r="J98" s="509"/>
      <c r="K98" s="509"/>
      <c r="L98" s="509"/>
      <c r="M98" s="509"/>
      <c r="N98" s="509"/>
      <c r="O98" s="509"/>
      <c r="P98" s="509"/>
      <c r="Q98" s="509"/>
      <c r="R98" s="509"/>
      <c r="S98" s="509"/>
      <c r="T98" s="509"/>
      <c r="U98" s="509"/>
      <c r="V98" s="509"/>
      <c r="W98" s="509"/>
      <c r="X98" s="509"/>
      <c r="Y98" s="509"/>
      <c r="Z98" s="509"/>
      <c r="AA98" s="509"/>
      <c r="AB98" s="509"/>
      <c r="AC98" s="509"/>
      <c r="AD98" s="509"/>
      <c r="AE98" s="509"/>
      <c r="AF98" s="509"/>
      <c r="AG98" s="509"/>
      <c r="AH98" s="509"/>
    </row>
    <row r="99" spans="2:34">
      <c r="B99" s="509"/>
      <c r="C99" s="509"/>
      <c r="D99" s="509"/>
      <c r="E99" s="509"/>
      <c r="F99" s="509"/>
      <c r="G99" s="509"/>
      <c r="H99" s="509"/>
      <c r="I99" s="509"/>
      <c r="J99" s="509"/>
      <c r="K99" s="509"/>
      <c r="L99" s="509"/>
      <c r="M99" s="509"/>
      <c r="N99" s="509"/>
      <c r="O99" s="509"/>
      <c r="P99" s="509"/>
      <c r="Q99" s="509"/>
      <c r="R99" s="509"/>
      <c r="S99" s="509"/>
      <c r="T99" s="509"/>
      <c r="U99" s="509"/>
      <c r="V99" s="509"/>
      <c r="W99" s="509"/>
      <c r="X99" s="509"/>
      <c r="Y99" s="509"/>
      <c r="Z99" s="509"/>
      <c r="AA99" s="509"/>
      <c r="AB99" s="509"/>
      <c r="AC99" s="509"/>
      <c r="AD99" s="509"/>
      <c r="AE99" s="509"/>
      <c r="AF99" s="509"/>
      <c r="AG99" s="509"/>
      <c r="AH99" s="509"/>
    </row>
    <row r="100" spans="2:34">
      <c r="B100" s="509"/>
      <c r="C100" s="509"/>
      <c r="D100" s="509"/>
      <c r="E100" s="509"/>
      <c r="F100" s="509"/>
      <c r="G100" s="509"/>
      <c r="H100" s="509"/>
      <c r="I100" s="509"/>
      <c r="J100" s="509"/>
      <c r="K100" s="509"/>
      <c r="L100" s="509"/>
      <c r="M100" s="509"/>
      <c r="N100" s="509"/>
      <c r="O100" s="509"/>
      <c r="P100" s="509"/>
      <c r="Q100" s="509"/>
      <c r="R100" s="509"/>
      <c r="S100" s="509"/>
      <c r="T100" s="509"/>
      <c r="U100" s="509"/>
      <c r="V100" s="509"/>
      <c r="W100" s="509"/>
      <c r="X100" s="509"/>
      <c r="Y100" s="509"/>
      <c r="Z100" s="509"/>
      <c r="AA100" s="509"/>
      <c r="AB100" s="509"/>
      <c r="AC100" s="509"/>
      <c r="AD100" s="509"/>
      <c r="AE100" s="509"/>
      <c r="AF100" s="509"/>
      <c r="AG100" s="509"/>
      <c r="AH100" s="509"/>
    </row>
    <row r="101" spans="2:34">
      <c r="B101" s="509"/>
      <c r="C101" s="509"/>
      <c r="D101" s="509"/>
      <c r="E101" s="509"/>
      <c r="F101" s="509"/>
      <c r="G101" s="509"/>
      <c r="H101" s="509"/>
      <c r="I101" s="509"/>
      <c r="J101" s="509"/>
      <c r="K101" s="509"/>
      <c r="L101" s="509"/>
      <c r="M101" s="509"/>
      <c r="N101" s="509"/>
      <c r="O101" s="509"/>
      <c r="P101" s="509"/>
      <c r="Q101" s="509"/>
      <c r="R101" s="509"/>
      <c r="S101" s="509"/>
      <c r="T101" s="509"/>
      <c r="U101" s="509"/>
      <c r="V101" s="509"/>
      <c r="W101" s="509"/>
      <c r="X101" s="509"/>
      <c r="Y101" s="509"/>
      <c r="Z101" s="509"/>
      <c r="AA101" s="509"/>
      <c r="AB101" s="509"/>
      <c r="AC101" s="509"/>
      <c r="AD101" s="509"/>
      <c r="AE101" s="509"/>
      <c r="AF101" s="509"/>
      <c r="AG101" s="509"/>
      <c r="AH101" s="509"/>
    </row>
    <row r="102" spans="2:34">
      <c r="B102" s="509"/>
      <c r="C102" s="509"/>
      <c r="D102" s="509"/>
      <c r="E102" s="509"/>
      <c r="F102" s="509"/>
      <c r="G102" s="509"/>
      <c r="H102" s="509"/>
      <c r="I102" s="509"/>
      <c r="J102" s="509"/>
      <c r="K102" s="509"/>
      <c r="L102" s="509"/>
      <c r="M102" s="509"/>
      <c r="N102" s="509"/>
      <c r="O102" s="509"/>
      <c r="P102" s="509"/>
      <c r="Q102" s="509"/>
      <c r="R102" s="509"/>
      <c r="S102" s="509"/>
      <c r="T102" s="509"/>
      <c r="U102" s="509"/>
      <c r="V102" s="509"/>
      <c r="W102" s="509"/>
      <c r="X102" s="509"/>
      <c r="Y102" s="509"/>
      <c r="Z102" s="509"/>
      <c r="AA102" s="509"/>
      <c r="AB102" s="509"/>
      <c r="AC102" s="509"/>
      <c r="AD102" s="509"/>
      <c r="AE102" s="509"/>
      <c r="AF102" s="509"/>
      <c r="AG102" s="509"/>
      <c r="AH102" s="509"/>
    </row>
    <row r="103" spans="2:34">
      <c r="B103" s="509"/>
      <c r="C103" s="509"/>
      <c r="D103" s="509"/>
      <c r="E103" s="509"/>
      <c r="F103" s="509"/>
      <c r="G103" s="509"/>
      <c r="H103" s="509"/>
      <c r="I103" s="509"/>
      <c r="J103" s="509"/>
      <c r="K103" s="509"/>
      <c r="L103" s="509"/>
      <c r="M103" s="509"/>
      <c r="N103" s="509"/>
      <c r="O103" s="509"/>
      <c r="P103" s="509"/>
      <c r="Q103" s="509"/>
      <c r="R103" s="509"/>
      <c r="S103" s="509"/>
      <c r="T103" s="509"/>
      <c r="U103" s="509"/>
      <c r="V103" s="509"/>
      <c r="W103" s="509"/>
      <c r="X103" s="509"/>
      <c r="Y103" s="509"/>
      <c r="Z103" s="509"/>
      <c r="AA103" s="509"/>
      <c r="AB103" s="509"/>
      <c r="AC103" s="509"/>
      <c r="AD103" s="509"/>
      <c r="AE103" s="509"/>
      <c r="AF103" s="509"/>
      <c r="AG103" s="509"/>
      <c r="AH103" s="509"/>
    </row>
    <row r="104" spans="2:34">
      <c r="B104" s="509"/>
      <c r="C104" s="509"/>
      <c r="D104" s="509"/>
      <c r="E104" s="509"/>
      <c r="F104" s="509"/>
      <c r="G104" s="509"/>
      <c r="H104" s="509"/>
      <c r="I104" s="509"/>
      <c r="J104" s="509"/>
      <c r="K104" s="509"/>
      <c r="L104" s="509"/>
      <c r="M104" s="509"/>
      <c r="N104" s="509"/>
      <c r="O104" s="509"/>
      <c r="P104" s="509"/>
      <c r="Q104" s="509"/>
      <c r="R104" s="509"/>
      <c r="S104" s="509"/>
      <c r="T104" s="509"/>
      <c r="U104" s="509"/>
      <c r="V104" s="509"/>
      <c r="W104" s="509"/>
      <c r="X104" s="509"/>
      <c r="Y104" s="509"/>
      <c r="Z104" s="509"/>
      <c r="AA104" s="509"/>
      <c r="AB104" s="509"/>
      <c r="AC104" s="509"/>
      <c r="AD104" s="509"/>
      <c r="AE104" s="509"/>
      <c r="AF104" s="509"/>
      <c r="AG104" s="509"/>
      <c r="AH104" s="509"/>
    </row>
    <row r="105" spans="2:34">
      <c r="B105" s="509"/>
      <c r="C105" s="509"/>
      <c r="D105" s="509"/>
      <c r="E105" s="509"/>
      <c r="F105" s="509"/>
      <c r="G105" s="509"/>
      <c r="H105" s="509"/>
      <c r="I105" s="509"/>
      <c r="J105" s="509"/>
      <c r="K105" s="509"/>
      <c r="L105" s="509"/>
      <c r="M105" s="509"/>
      <c r="N105" s="509"/>
      <c r="O105" s="509"/>
      <c r="P105" s="509"/>
      <c r="Q105" s="509"/>
      <c r="R105" s="509"/>
      <c r="S105" s="509"/>
      <c r="T105" s="509"/>
      <c r="U105" s="509"/>
      <c r="V105" s="509"/>
      <c r="W105" s="509"/>
      <c r="X105" s="509"/>
      <c r="Y105" s="509"/>
      <c r="Z105" s="509"/>
      <c r="AA105" s="509"/>
      <c r="AB105" s="509"/>
      <c r="AC105" s="509"/>
      <c r="AD105" s="509"/>
      <c r="AE105" s="509"/>
      <c r="AF105" s="509"/>
      <c r="AG105" s="509"/>
      <c r="AH105" s="509"/>
    </row>
    <row r="106" spans="2:34">
      <c r="B106" s="509"/>
      <c r="C106" s="509"/>
      <c r="D106" s="509"/>
      <c r="E106" s="509"/>
      <c r="F106" s="509"/>
      <c r="G106" s="509"/>
      <c r="H106" s="509"/>
      <c r="I106" s="509"/>
      <c r="J106" s="509"/>
      <c r="K106" s="509"/>
      <c r="L106" s="509"/>
      <c r="M106" s="509"/>
      <c r="N106" s="509"/>
      <c r="O106" s="509"/>
      <c r="P106" s="509"/>
      <c r="Q106" s="509"/>
      <c r="R106" s="509"/>
      <c r="S106" s="509"/>
      <c r="T106" s="509"/>
      <c r="U106" s="509"/>
      <c r="V106" s="509"/>
      <c r="W106" s="509"/>
      <c r="X106" s="509"/>
      <c r="Y106" s="509"/>
      <c r="Z106" s="509"/>
      <c r="AA106" s="509"/>
      <c r="AB106" s="509"/>
      <c r="AC106" s="509"/>
      <c r="AD106" s="509"/>
      <c r="AE106" s="509"/>
      <c r="AF106" s="509"/>
      <c r="AG106" s="509"/>
      <c r="AH106" s="509"/>
    </row>
    <row r="107" spans="2:34">
      <c r="B107" s="509"/>
      <c r="C107" s="509"/>
      <c r="D107" s="509"/>
      <c r="E107" s="509"/>
      <c r="F107" s="509"/>
      <c r="G107" s="509"/>
      <c r="H107" s="509"/>
      <c r="I107" s="509"/>
      <c r="J107" s="509"/>
      <c r="K107" s="509"/>
      <c r="L107" s="509"/>
      <c r="M107" s="509"/>
      <c r="N107" s="509"/>
      <c r="O107" s="509"/>
      <c r="P107" s="509"/>
      <c r="Q107" s="509"/>
      <c r="R107" s="509"/>
      <c r="S107" s="509"/>
      <c r="T107" s="509"/>
      <c r="U107" s="509"/>
      <c r="V107" s="509"/>
      <c r="W107" s="509"/>
      <c r="X107" s="509"/>
      <c r="Y107" s="509"/>
      <c r="Z107" s="509"/>
      <c r="AA107" s="509"/>
      <c r="AB107" s="509"/>
      <c r="AC107" s="509"/>
      <c r="AD107" s="509"/>
      <c r="AE107" s="509"/>
      <c r="AF107" s="509"/>
      <c r="AG107" s="509"/>
      <c r="AH107" s="509"/>
    </row>
    <row r="108" spans="2:34">
      <c r="B108" s="509"/>
      <c r="C108" s="509"/>
      <c r="D108" s="509"/>
      <c r="E108" s="509"/>
      <c r="F108" s="509"/>
      <c r="G108" s="509"/>
      <c r="H108" s="509"/>
      <c r="I108" s="509"/>
      <c r="J108" s="509"/>
      <c r="K108" s="509"/>
      <c r="L108" s="509"/>
      <c r="M108" s="509"/>
      <c r="N108" s="509"/>
      <c r="O108" s="509"/>
      <c r="P108" s="509"/>
      <c r="Q108" s="509"/>
      <c r="R108" s="509"/>
      <c r="S108" s="509"/>
      <c r="T108" s="509"/>
      <c r="U108" s="509"/>
      <c r="V108" s="509"/>
      <c r="W108" s="509"/>
      <c r="X108" s="509"/>
      <c r="Y108" s="509"/>
      <c r="Z108" s="509"/>
      <c r="AA108" s="509"/>
      <c r="AB108" s="509"/>
      <c r="AC108" s="509"/>
      <c r="AD108" s="509"/>
      <c r="AE108" s="509"/>
      <c r="AF108" s="509"/>
      <c r="AG108" s="509"/>
      <c r="AH108" s="509"/>
    </row>
    <row r="109" spans="2:34">
      <c r="B109" s="509"/>
      <c r="C109" s="509"/>
      <c r="D109" s="509"/>
      <c r="E109" s="509"/>
      <c r="F109" s="509"/>
      <c r="G109" s="509"/>
      <c r="H109" s="509"/>
      <c r="I109" s="509"/>
      <c r="J109" s="509"/>
      <c r="K109" s="509"/>
      <c r="L109" s="509"/>
      <c r="M109" s="509"/>
      <c r="N109" s="509"/>
      <c r="O109" s="509"/>
      <c r="P109" s="509"/>
      <c r="Q109" s="509"/>
      <c r="R109" s="509"/>
      <c r="S109" s="509"/>
      <c r="T109" s="509"/>
      <c r="U109" s="509"/>
      <c r="V109" s="509"/>
      <c r="W109" s="509"/>
      <c r="X109" s="509"/>
      <c r="Y109" s="509"/>
      <c r="Z109" s="509"/>
      <c r="AA109" s="509"/>
      <c r="AB109" s="509"/>
      <c r="AC109" s="509"/>
      <c r="AD109" s="509"/>
      <c r="AE109" s="509"/>
      <c r="AF109" s="509"/>
      <c r="AG109" s="509"/>
      <c r="AH109" s="509"/>
    </row>
    <row r="110" spans="2:34">
      <c r="B110" s="509"/>
      <c r="C110" s="509"/>
      <c r="D110" s="509"/>
      <c r="E110" s="509"/>
      <c r="F110" s="509"/>
      <c r="G110" s="509"/>
      <c r="H110" s="509"/>
      <c r="I110" s="509"/>
      <c r="J110" s="509"/>
      <c r="K110" s="509"/>
      <c r="L110" s="509"/>
      <c r="M110" s="509"/>
      <c r="N110" s="509"/>
      <c r="O110" s="509"/>
      <c r="P110" s="509"/>
      <c r="Q110" s="509"/>
      <c r="R110" s="509"/>
      <c r="S110" s="509"/>
      <c r="T110" s="509"/>
      <c r="U110" s="509"/>
      <c r="V110" s="509"/>
      <c r="W110" s="509"/>
      <c r="X110" s="509"/>
      <c r="Y110" s="509"/>
      <c r="Z110" s="509"/>
      <c r="AA110" s="509"/>
      <c r="AB110" s="509"/>
      <c r="AC110" s="509"/>
      <c r="AD110" s="509"/>
      <c r="AE110" s="509"/>
      <c r="AF110" s="509"/>
      <c r="AG110" s="509"/>
      <c r="AH110" s="509"/>
    </row>
    <row r="111" spans="2:34">
      <c r="B111" s="509"/>
      <c r="C111" s="509"/>
      <c r="D111" s="509"/>
      <c r="E111" s="509"/>
      <c r="F111" s="509"/>
      <c r="G111" s="509"/>
      <c r="H111" s="509"/>
      <c r="I111" s="509"/>
      <c r="J111" s="509"/>
      <c r="K111" s="509"/>
      <c r="L111" s="509"/>
      <c r="M111" s="509"/>
      <c r="N111" s="509"/>
      <c r="O111" s="509"/>
      <c r="P111" s="509"/>
      <c r="Q111" s="509"/>
      <c r="R111" s="509"/>
      <c r="S111" s="509"/>
      <c r="T111" s="509"/>
      <c r="U111" s="509"/>
      <c r="V111" s="509"/>
      <c r="W111" s="509"/>
      <c r="X111" s="509"/>
      <c r="Y111" s="509"/>
      <c r="Z111" s="509"/>
      <c r="AA111" s="509"/>
      <c r="AB111" s="509"/>
      <c r="AC111" s="509"/>
      <c r="AD111" s="509"/>
      <c r="AE111" s="509"/>
      <c r="AF111" s="509"/>
      <c r="AG111" s="509"/>
      <c r="AH111" s="509"/>
    </row>
    <row r="112" spans="2:34">
      <c r="B112" s="509"/>
      <c r="C112" s="509"/>
      <c r="D112" s="509"/>
      <c r="E112" s="509"/>
      <c r="F112" s="509"/>
      <c r="G112" s="509"/>
      <c r="H112" s="509"/>
      <c r="I112" s="509"/>
      <c r="J112" s="509"/>
      <c r="K112" s="509"/>
      <c r="L112" s="509"/>
      <c r="M112" s="509"/>
      <c r="N112" s="509"/>
      <c r="O112" s="509"/>
      <c r="P112" s="509"/>
      <c r="Q112" s="509"/>
      <c r="R112" s="509"/>
      <c r="S112" s="509"/>
      <c r="T112" s="509"/>
      <c r="U112" s="509"/>
      <c r="V112" s="509"/>
      <c r="W112" s="509"/>
      <c r="X112" s="509"/>
      <c r="Y112" s="509"/>
      <c r="Z112" s="509"/>
      <c r="AA112" s="509"/>
      <c r="AB112" s="509"/>
      <c r="AC112" s="509"/>
      <c r="AD112" s="509"/>
      <c r="AE112" s="509"/>
      <c r="AF112" s="509"/>
      <c r="AG112" s="509"/>
      <c r="AH112" s="509"/>
    </row>
    <row r="113" spans="2:34">
      <c r="B113" s="509"/>
      <c r="C113" s="509"/>
      <c r="D113" s="509"/>
      <c r="E113" s="509"/>
      <c r="F113" s="509"/>
      <c r="G113" s="509"/>
      <c r="H113" s="509"/>
      <c r="I113" s="509"/>
      <c r="J113" s="509"/>
      <c r="K113" s="509"/>
      <c r="L113" s="509"/>
      <c r="M113" s="509"/>
      <c r="N113" s="509"/>
      <c r="O113" s="509"/>
      <c r="P113" s="509"/>
      <c r="Q113" s="509"/>
      <c r="R113" s="509"/>
      <c r="S113" s="509"/>
      <c r="T113" s="509"/>
      <c r="U113" s="509"/>
      <c r="V113" s="509"/>
      <c r="W113" s="509"/>
      <c r="X113" s="509"/>
      <c r="Y113" s="509"/>
      <c r="Z113" s="509"/>
      <c r="AA113" s="509"/>
      <c r="AB113" s="509"/>
      <c r="AC113" s="509"/>
      <c r="AD113" s="509"/>
      <c r="AE113" s="509"/>
      <c r="AF113" s="509"/>
      <c r="AG113" s="509"/>
      <c r="AH113" s="509"/>
    </row>
    <row r="114" spans="2:34">
      <c r="B114" s="509"/>
      <c r="C114" s="509"/>
      <c r="D114" s="509"/>
      <c r="E114" s="509"/>
      <c r="F114" s="509"/>
      <c r="G114" s="509"/>
      <c r="H114" s="509"/>
      <c r="I114" s="509"/>
      <c r="J114" s="509"/>
      <c r="K114" s="509"/>
      <c r="L114" s="509"/>
      <c r="M114" s="509"/>
      <c r="N114" s="509"/>
      <c r="O114" s="509"/>
      <c r="P114" s="509"/>
      <c r="Q114" s="509"/>
      <c r="R114" s="509"/>
      <c r="S114" s="509"/>
      <c r="T114" s="509"/>
      <c r="U114" s="509"/>
      <c r="V114" s="509"/>
      <c r="W114" s="509"/>
      <c r="X114" s="509"/>
      <c r="Y114" s="509"/>
      <c r="Z114" s="509"/>
      <c r="AA114" s="509"/>
      <c r="AB114" s="509"/>
      <c r="AC114" s="509"/>
      <c r="AD114" s="509"/>
      <c r="AE114" s="509"/>
      <c r="AF114" s="509"/>
      <c r="AG114" s="509"/>
      <c r="AH114" s="509"/>
    </row>
    <row r="115" spans="2:34">
      <c r="B115" s="509"/>
      <c r="C115" s="509"/>
      <c r="D115" s="509"/>
      <c r="E115" s="509"/>
      <c r="F115" s="509"/>
      <c r="G115" s="509"/>
      <c r="H115" s="509"/>
      <c r="I115" s="509"/>
      <c r="J115" s="509"/>
      <c r="K115" s="509"/>
      <c r="L115" s="509"/>
      <c r="M115" s="509"/>
      <c r="N115" s="509"/>
      <c r="O115" s="509"/>
      <c r="P115" s="509"/>
      <c r="Q115" s="509"/>
      <c r="R115" s="509"/>
      <c r="S115" s="509"/>
      <c r="T115" s="509"/>
      <c r="U115" s="509"/>
      <c r="V115" s="509"/>
      <c r="W115" s="509"/>
      <c r="X115" s="509"/>
      <c r="Y115" s="509"/>
      <c r="Z115" s="509"/>
      <c r="AA115" s="509"/>
      <c r="AB115" s="509"/>
      <c r="AC115" s="509"/>
      <c r="AD115" s="509"/>
      <c r="AE115" s="509"/>
      <c r="AF115" s="509"/>
      <c r="AG115" s="509"/>
      <c r="AH115" s="509"/>
    </row>
    <row r="116" spans="2:34">
      <c r="B116" s="509"/>
      <c r="C116" s="509"/>
      <c r="D116" s="509"/>
      <c r="E116" s="509"/>
      <c r="F116" s="509"/>
      <c r="G116" s="509"/>
      <c r="H116" s="509"/>
      <c r="I116" s="509"/>
      <c r="J116" s="509"/>
      <c r="K116" s="509"/>
      <c r="L116" s="509"/>
      <c r="M116" s="509"/>
      <c r="N116" s="509"/>
      <c r="O116" s="509"/>
      <c r="P116" s="509"/>
      <c r="Q116" s="509"/>
      <c r="R116" s="509"/>
      <c r="S116" s="509"/>
      <c r="T116" s="509"/>
      <c r="U116" s="509"/>
      <c r="V116" s="509"/>
      <c r="W116" s="509"/>
      <c r="X116" s="509"/>
      <c r="Y116" s="509"/>
      <c r="Z116" s="509"/>
      <c r="AA116" s="509"/>
      <c r="AB116" s="509"/>
      <c r="AC116" s="509"/>
      <c r="AD116" s="509"/>
      <c r="AE116" s="509"/>
      <c r="AF116" s="509"/>
      <c r="AG116" s="509"/>
      <c r="AH116" s="509"/>
    </row>
    <row r="117" spans="2:34">
      <c r="B117" s="509"/>
      <c r="C117" s="509"/>
      <c r="D117" s="509"/>
      <c r="E117" s="509"/>
      <c r="F117" s="509"/>
      <c r="G117" s="509"/>
      <c r="H117" s="509"/>
      <c r="I117" s="509"/>
      <c r="J117" s="509"/>
      <c r="K117" s="509"/>
      <c r="L117" s="509"/>
      <c r="M117" s="509"/>
      <c r="N117" s="509"/>
      <c r="O117" s="509"/>
      <c r="P117" s="509"/>
      <c r="Q117" s="509"/>
      <c r="R117" s="509"/>
      <c r="S117" s="509"/>
      <c r="T117" s="509"/>
      <c r="U117" s="509"/>
      <c r="V117" s="509"/>
      <c r="W117" s="509"/>
      <c r="X117" s="509"/>
      <c r="Y117" s="509"/>
      <c r="Z117" s="509"/>
      <c r="AA117" s="509"/>
      <c r="AB117" s="509"/>
      <c r="AC117" s="509"/>
      <c r="AD117" s="509"/>
      <c r="AE117" s="509"/>
      <c r="AF117" s="509"/>
      <c r="AG117" s="509"/>
      <c r="AH117" s="509"/>
    </row>
    <row r="118" spans="2:34">
      <c r="B118" s="509"/>
      <c r="C118" s="509"/>
      <c r="D118" s="509"/>
      <c r="E118" s="509"/>
      <c r="F118" s="509"/>
      <c r="G118" s="509"/>
      <c r="H118" s="509"/>
      <c r="I118" s="509"/>
      <c r="J118" s="509"/>
      <c r="K118" s="509"/>
      <c r="L118" s="509"/>
      <c r="M118" s="509"/>
      <c r="N118" s="509"/>
      <c r="O118" s="509"/>
      <c r="P118" s="509"/>
      <c r="Q118" s="509"/>
      <c r="R118" s="509"/>
      <c r="S118" s="509"/>
      <c r="T118" s="509"/>
      <c r="U118" s="509"/>
      <c r="V118" s="509"/>
      <c r="W118" s="509"/>
      <c r="X118" s="509"/>
      <c r="Y118" s="509"/>
      <c r="Z118" s="509"/>
      <c r="AA118" s="509"/>
      <c r="AB118" s="509"/>
      <c r="AC118" s="509"/>
      <c r="AD118" s="509"/>
      <c r="AE118" s="509"/>
      <c r="AF118" s="509"/>
      <c r="AG118" s="509"/>
      <c r="AH118" s="509"/>
    </row>
    <row r="119" spans="2:34">
      <c r="B119" s="509"/>
      <c r="C119" s="509"/>
      <c r="D119" s="509"/>
      <c r="E119" s="509"/>
      <c r="F119" s="509"/>
      <c r="G119" s="509"/>
      <c r="H119" s="509"/>
      <c r="I119" s="509"/>
      <c r="J119" s="509"/>
      <c r="K119" s="509"/>
      <c r="L119" s="509"/>
      <c r="M119" s="509"/>
      <c r="N119" s="509"/>
      <c r="O119" s="509"/>
      <c r="P119" s="509"/>
      <c r="Q119" s="509"/>
      <c r="R119" s="509"/>
      <c r="S119" s="509"/>
      <c r="T119" s="509"/>
      <c r="U119" s="509"/>
      <c r="V119" s="509"/>
      <c r="W119" s="509"/>
      <c r="X119" s="509"/>
      <c r="Y119" s="509"/>
      <c r="Z119" s="509"/>
      <c r="AA119" s="509"/>
      <c r="AB119" s="509"/>
      <c r="AC119" s="509"/>
      <c r="AD119" s="509"/>
      <c r="AE119" s="509"/>
      <c r="AF119" s="509"/>
      <c r="AG119" s="509"/>
      <c r="AH119" s="509"/>
    </row>
    <row r="120" spans="2:34">
      <c r="B120" s="509"/>
      <c r="C120" s="509"/>
      <c r="D120" s="509"/>
      <c r="E120" s="509"/>
      <c r="F120" s="509"/>
      <c r="G120" s="509"/>
      <c r="H120" s="509"/>
      <c r="I120" s="509"/>
      <c r="J120" s="509"/>
      <c r="K120" s="509"/>
      <c r="L120" s="509"/>
      <c r="M120" s="509"/>
      <c r="N120" s="509"/>
      <c r="O120" s="509"/>
      <c r="P120" s="509"/>
      <c r="Q120" s="509"/>
      <c r="R120" s="509"/>
      <c r="S120" s="509"/>
      <c r="T120" s="509"/>
      <c r="U120" s="509"/>
      <c r="V120" s="509"/>
      <c r="W120" s="509"/>
      <c r="X120" s="509"/>
      <c r="Y120" s="509"/>
      <c r="Z120" s="509"/>
      <c r="AA120" s="509"/>
      <c r="AB120" s="509"/>
      <c r="AC120" s="509"/>
      <c r="AD120" s="509"/>
      <c r="AE120" s="509"/>
      <c r="AF120" s="509"/>
      <c r="AG120" s="509"/>
      <c r="AH120" s="509"/>
    </row>
    <row r="121" spans="2:34">
      <c r="B121" s="509"/>
      <c r="C121" s="509"/>
      <c r="D121" s="509"/>
      <c r="E121" s="509"/>
      <c r="F121" s="509"/>
      <c r="G121" s="509"/>
      <c r="H121" s="509"/>
      <c r="I121" s="509"/>
      <c r="J121" s="509"/>
      <c r="K121" s="509"/>
      <c r="L121" s="509"/>
      <c r="M121" s="509"/>
      <c r="N121" s="509"/>
      <c r="O121" s="509"/>
      <c r="P121" s="509"/>
      <c r="Q121" s="509"/>
      <c r="R121" s="509"/>
      <c r="S121" s="509"/>
      <c r="T121" s="509"/>
      <c r="U121" s="509"/>
      <c r="V121" s="509"/>
      <c r="W121" s="509"/>
      <c r="X121" s="509"/>
      <c r="Y121" s="509"/>
      <c r="Z121" s="509"/>
      <c r="AA121" s="509"/>
      <c r="AB121" s="509"/>
      <c r="AC121" s="509"/>
      <c r="AD121" s="509"/>
      <c r="AE121" s="509"/>
      <c r="AF121" s="509"/>
      <c r="AG121" s="509"/>
      <c r="AH121" s="509"/>
    </row>
    <row r="122" spans="2:34">
      <c r="B122" s="509"/>
      <c r="C122" s="509"/>
      <c r="D122" s="509"/>
      <c r="E122" s="509"/>
      <c r="F122" s="509"/>
      <c r="G122" s="509"/>
      <c r="H122" s="509"/>
      <c r="I122" s="509"/>
      <c r="J122" s="509"/>
      <c r="K122" s="509"/>
      <c r="L122" s="509"/>
      <c r="M122" s="509"/>
      <c r="N122" s="509"/>
      <c r="O122" s="509"/>
      <c r="P122" s="509"/>
      <c r="Q122" s="509"/>
      <c r="R122" s="509"/>
      <c r="S122" s="509"/>
      <c r="T122" s="509"/>
      <c r="U122" s="509"/>
      <c r="V122" s="509"/>
      <c r="W122" s="509"/>
      <c r="X122" s="509"/>
      <c r="Y122" s="509"/>
      <c r="Z122" s="509"/>
      <c r="AA122" s="509"/>
      <c r="AB122" s="509"/>
      <c r="AC122" s="509"/>
      <c r="AD122" s="509"/>
      <c r="AE122" s="509"/>
      <c r="AF122" s="509"/>
      <c r="AG122" s="509"/>
      <c r="AH122" s="509"/>
    </row>
    <row r="123" spans="2:34">
      <c r="B123" s="509"/>
      <c r="C123" s="509"/>
      <c r="D123" s="509"/>
      <c r="E123" s="509"/>
      <c r="F123" s="509"/>
      <c r="G123" s="509"/>
      <c r="H123" s="509"/>
      <c r="I123" s="509"/>
      <c r="J123" s="509"/>
      <c r="K123" s="509"/>
      <c r="L123" s="509"/>
      <c r="M123" s="509"/>
      <c r="N123" s="509"/>
      <c r="O123" s="509"/>
      <c r="P123" s="509"/>
      <c r="Q123" s="509"/>
      <c r="R123" s="509"/>
      <c r="S123" s="509"/>
      <c r="T123" s="509"/>
      <c r="U123" s="509"/>
      <c r="V123" s="509"/>
      <c r="W123" s="509"/>
      <c r="X123" s="509"/>
      <c r="Y123" s="509"/>
      <c r="Z123" s="509"/>
      <c r="AA123" s="509"/>
      <c r="AB123" s="509"/>
      <c r="AC123" s="509"/>
      <c r="AD123" s="509"/>
      <c r="AE123" s="509"/>
      <c r="AF123" s="509"/>
      <c r="AG123" s="509"/>
      <c r="AH123" s="509"/>
    </row>
    <row r="124" spans="2:34">
      <c r="B124" s="509"/>
      <c r="C124" s="509"/>
      <c r="D124" s="509"/>
      <c r="E124" s="509"/>
      <c r="F124" s="509"/>
      <c r="G124" s="509"/>
      <c r="H124" s="509"/>
      <c r="I124" s="509"/>
      <c r="J124" s="509"/>
      <c r="K124" s="509"/>
      <c r="L124" s="509"/>
      <c r="M124" s="509"/>
      <c r="N124" s="509"/>
      <c r="O124" s="509"/>
      <c r="P124" s="509"/>
      <c r="Q124" s="509"/>
      <c r="R124" s="509"/>
      <c r="S124" s="509"/>
      <c r="T124" s="509"/>
      <c r="U124" s="509"/>
      <c r="V124" s="509"/>
      <c r="W124" s="509"/>
      <c r="X124" s="509"/>
      <c r="Y124" s="509"/>
      <c r="Z124" s="509"/>
      <c r="AA124" s="509"/>
      <c r="AB124" s="509"/>
      <c r="AC124" s="509"/>
      <c r="AD124" s="509"/>
      <c r="AE124" s="509"/>
      <c r="AF124" s="509"/>
      <c r="AG124" s="509"/>
      <c r="AH124" s="509"/>
    </row>
    <row r="125" spans="2:34">
      <c r="B125" s="509"/>
      <c r="C125" s="509"/>
      <c r="D125" s="509"/>
      <c r="E125" s="509"/>
      <c r="F125" s="509"/>
      <c r="G125" s="509"/>
      <c r="H125" s="509"/>
      <c r="I125" s="509"/>
      <c r="J125" s="509"/>
      <c r="K125" s="509"/>
      <c r="L125" s="509"/>
      <c r="M125" s="509"/>
      <c r="N125" s="509"/>
      <c r="O125" s="509"/>
      <c r="P125" s="509"/>
      <c r="Q125" s="509"/>
      <c r="R125" s="509"/>
      <c r="S125" s="509"/>
      <c r="T125" s="509"/>
      <c r="U125" s="509"/>
      <c r="V125" s="509"/>
      <c r="W125" s="509"/>
      <c r="X125" s="509"/>
      <c r="Y125" s="509"/>
      <c r="Z125" s="509"/>
      <c r="AA125" s="509"/>
      <c r="AB125" s="509"/>
      <c r="AC125" s="509"/>
      <c r="AD125" s="509"/>
      <c r="AE125" s="509"/>
      <c r="AF125" s="509"/>
      <c r="AG125" s="509"/>
      <c r="AH125" s="509"/>
    </row>
    <row r="126" spans="2:34">
      <c r="B126" s="509"/>
      <c r="C126" s="509"/>
      <c r="D126" s="509"/>
      <c r="E126" s="509"/>
      <c r="F126" s="509"/>
      <c r="G126" s="509"/>
      <c r="H126" s="509"/>
      <c r="I126" s="509"/>
      <c r="J126" s="509"/>
      <c r="K126" s="509"/>
      <c r="L126" s="509"/>
      <c r="M126" s="509"/>
      <c r="N126" s="509"/>
      <c r="O126" s="509"/>
      <c r="P126" s="509"/>
      <c r="Q126" s="509"/>
      <c r="R126" s="509"/>
      <c r="S126" s="509"/>
      <c r="T126" s="509"/>
      <c r="U126" s="509"/>
      <c r="V126" s="509"/>
      <c r="W126" s="509"/>
      <c r="X126" s="509"/>
      <c r="Y126" s="509"/>
      <c r="Z126" s="509"/>
      <c r="AA126" s="509"/>
      <c r="AB126" s="509"/>
      <c r="AC126" s="509"/>
      <c r="AD126" s="509"/>
      <c r="AE126" s="509"/>
      <c r="AF126" s="509"/>
      <c r="AG126" s="509"/>
      <c r="AH126" s="509"/>
    </row>
    <row r="127" spans="2:34">
      <c r="B127" s="509"/>
      <c r="C127" s="509"/>
      <c r="D127" s="509"/>
      <c r="E127" s="509"/>
      <c r="F127" s="509"/>
      <c r="G127" s="509"/>
      <c r="H127" s="509"/>
      <c r="I127" s="509"/>
      <c r="J127" s="509"/>
      <c r="K127" s="509"/>
      <c r="L127" s="509"/>
      <c r="M127" s="509"/>
      <c r="N127" s="509"/>
      <c r="O127" s="509"/>
      <c r="P127" s="509"/>
      <c r="Q127" s="509"/>
      <c r="R127" s="509"/>
      <c r="S127" s="509"/>
      <c r="T127" s="509"/>
      <c r="U127" s="509"/>
      <c r="V127" s="509"/>
      <c r="W127" s="509"/>
      <c r="X127" s="509"/>
      <c r="Y127" s="509"/>
      <c r="Z127" s="509"/>
      <c r="AA127" s="509"/>
      <c r="AB127" s="509"/>
      <c r="AC127" s="509"/>
      <c r="AD127" s="509"/>
      <c r="AE127" s="509"/>
      <c r="AF127" s="509"/>
      <c r="AG127" s="509"/>
      <c r="AH127" s="509"/>
    </row>
    <row r="128" spans="2:34">
      <c r="B128" s="509"/>
      <c r="C128" s="509"/>
      <c r="D128" s="509"/>
      <c r="E128" s="509"/>
      <c r="F128" s="509"/>
      <c r="G128" s="509"/>
      <c r="H128" s="509"/>
      <c r="I128" s="509"/>
      <c r="J128" s="509"/>
      <c r="K128" s="509"/>
      <c r="L128" s="509"/>
      <c r="M128" s="509"/>
      <c r="N128" s="509"/>
      <c r="O128" s="509"/>
      <c r="P128" s="509"/>
      <c r="Q128" s="509"/>
      <c r="R128" s="509"/>
      <c r="S128" s="509"/>
      <c r="T128" s="509"/>
      <c r="U128" s="509"/>
      <c r="V128" s="509"/>
      <c r="W128" s="509"/>
      <c r="X128" s="509"/>
      <c r="Y128" s="509"/>
      <c r="Z128" s="509"/>
      <c r="AA128" s="509"/>
      <c r="AB128" s="509"/>
      <c r="AC128" s="509"/>
      <c r="AD128" s="509"/>
      <c r="AE128" s="509"/>
      <c r="AF128" s="509"/>
      <c r="AG128" s="509"/>
      <c r="AH128" s="509"/>
    </row>
    <row r="129" spans="2:34">
      <c r="B129" s="509"/>
      <c r="C129" s="509"/>
      <c r="D129" s="509"/>
      <c r="E129" s="509"/>
      <c r="F129" s="509"/>
      <c r="G129" s="509"/>
      <c r="H129" s="509"/>
      <c r="I129" s="509"/>
      <c r="J129" s="509"/>
      <c r="K129" s="509"/>
      <c r="L129" s="509"/>
      <c r="M129" s="509"/>
      <c r="N129" s="509"/>
      <c r="O129" s="509"/>
      <c r="P129" s="509"/>
      <c r="Q129" s="509"/>
      <c r="R129" s="509"/>
      <c r="S129" s="509"/>
      <c r="T129" s="509"/>
      <c r="U129" s="509"/>
      <c r="V129" s="509"/>
      <c r="W129" s="509"/>
      <c r="X129" s="509"/>
      <c r="Y129" s="509"/>
      <c r="Z129" s="509"/>
      <c r="AA129" s="509"/>
      <c r="AB129" s="509"/>
      <c r="AC129" s="509"/>
      <c r="AD129" s="509"/>
      <c r="AE129" s="509"/>
      <c r="AF129" s="509"/>
      <c r="AG129" s="509"/>
      <c r="AH129" s="509"/>
    </row>
    <row r="130" spans="2:34">
      <c r="B130" s="509"/>
      <c r="C130" s="509"/>
      <c r="D130" s="509"/>
      <c r="E130" s="509"/>
      <c r="F130" s="509"/>
      <c r="G130" s="509"/>
      <c r="H130" s="509"/>
      <c r="I130" s="509"/>
      <c r="J130" s="509"/>
      <c r="K130" s="509"/>
      <c r="L130" s="509"/>
      <c r="M130" s="509"/>
      <c r="N130" s="509"/>
      <c r="O130" s="509"/>
      <c r="P130" s="509"/>
      <c r="Q130" s="509"/>
      <c r="R130" s="509"/>
      <c r="S130" s="509"/>
      <c r="T130" s="509"/>
      <c r="U130" s="509"/>
      <c r="V130" s="509"/>
      <c r="W130" s="509"/>
      <c r="X130" s="509"/>
      <c r="Y130" s="509"/>
      <c r="Z130" s="509"/>
      <c r="AA130" s="509"/>
      <c r="AB130" s="509"/>
      <c r="AC130" s="509"/>
      <c r="AD130" s="509"/>
      <c r="AE130" s="509"/>
      <c r="AF130" s="509"/>
      <c r="AG130" s="509"/>
      <c r="AH130" s="509"/>
    </row>
    <row r="131" spans="2:34">
      <c r="B131" s="509"/>
      <c r="C131" s="509"/>
      <c r="D131" s="509"/>
      <c r="E131" s="509"/>
      <c r="F131" s="509"/>
      <c r="G131" s="509"/>
      <c r="H131" s="509"/>
      <c r="I131" s="509"/>
      <c r="J131" s="509"/>
      <c r="K131" s="509"/>
      <c r="L131" s="509"/>
      <c r="M131" s="509"/>
      <c r="N131" s="509"/>
      <c r="O131" s="509"/>
      <c r="P131" s="509"/>
      <c r="Q131" s="509"/>
      <c r="R131" s="509"/>
      <c r="S131" s="509"/>
      <c r="T131" s="509"/>
      <c r="U131" s="509"/>
      <c r="V131" s="509"/>
      <c r="W131" s="509"/>
      <c r="X131" s="509"/>
      <c r="Y131" s="509"/>
      <c r="Z131" s="509"/>
      <c r="AA131" s="509"/>
      <c r="AB131" s="509"/>
      <c r="AC131" s="509"/>
      <c r="AD131" s="509"/>
      <c r="AE131" s="509"/>
      <c r="AF131" s="509"/>
      <c r="AG131" s="509"/>
      <c r="AH131" s="509"/>
    </row>
    <row r="132" spans="2:34">
      <c r="B132" s="509"/>
      <c r="C132" s="509"/>
      <c r="D132" s="509"/>
      <c r="E132" s="509"/>
      <c r="F132" s="509"/>
      <c r="G132" s="509"/>
      <c r="H132" s="509"/>
      <c r="I132" s="509"/>
      <c r="J132" s="509"/>
      <c r="K132" s="509"/>
      <c r="L132" s="509"/>
      <c r="M132" s="509"/>
      <c r="N132" s="509"/>
      <c r="O132" s="509"/>
      <c r="P132" s="509"/>
      <c r="Q132" s="509"/>
      <c r="R132" s="509"/>
      <c r="S132" s="509"/>
      <c r="T132" s="509"/>
      <c r="U132" s="509"/>
      <c r="V132" s="509"/>
      <c r="W132" s="509"/>
      <c r="X132" s="509"/>
      <c r="Y132" s="509"/>
      <c r="Z132" s="509"/>
      <c r="AA132" s="509"/>
      <c r="AB132" s="509"/>
      <c r="AC132" s="509"/>
      <c r="AD132" s="509"/>
      <c r="AE132" s="509"/>
      <c r="AF132" s="509"/>
      <c r="AG132" s="509"/>
      <c r="AH132" s="509"/>
    </row>
    <row r="133" spans="2:34">
      <c r="B133" s="509"/>
      <c r="C133" s="509"/>
      <c r="D133" s="509"/>
      <c r="E133" s="509"/>
      <c r="F133" s="509"/>
      <c r="G133" s="509"/>
      <c r="H133" s="509"/>
      <c r="I133" s="509"/>
      <c r="J133" s="509"/>
      <c r="K133" s="509"/>
      <c r="L133" s="509"/>
      <c r="M133" s="509"/>
      <c r="N133" s="509"/>
      <c r="O133" s="509"/>
      <c r="P133" s="509"/>
      <c r="Q133" s="509"/>
      <c r="R133" s="509"/>
      <c r="S133" s="509"/>
      <c r="T133" s="509"/>
      <c r="U133" s="509"/>
      <c r="V133" s="509"/>
      <c r="W133" s="509"/>
      <c r="X133" s="509"/>
      <c r="Y133" s="509"/>
      <c r="Z133" s="509"/>
      <c r="AA133" s="509"/>
      <c r="AB133" s="509"/>
      <c r="AC133" s="509"/>
      <c r="AD133" s="509"/>
      <c r="AE133" s="509"/>
      <c r="AF133" s="509"/>
      <c r="AG133" s="509"/>
      <c r="AH133" s="509"/>
    </row>
    <row r="134" spans="2:34">
      <c r="B134" s="509"/>
      <c r="C134" s="509"/>
      <c r="D134" s="509"/>
      <c r="E134" s="509"/>
      <c r="F134" s="509"/>
      <c r="G134" s="509"/>
      <c r="H134" s="509"/>
      <c r="I134" s="509"/>
      <c r="J134" s="509"/>
      <c r="K134" s="509"/>
      <c r="L134" s="509"/>
      <c r="M134" s="509"/>
      <c r="N134" s="509"/>
      <c r="O134" s="509"/>
      <c r="P134" s="509"/>
      <c r="Q134" s="509"/>
      <c r="R134" s="509"/>
      <c r="S134" s="509"/>
      <c r="T134" s="509"/>
      <c r="U134" s="509"/>
      <c r="V134" s="509"/>
      <c r="W134" s="509"/>
      <c r="X134" s="509"/>
      <c r="Y134" s="509"/>
      <c r="Z134" s="509"/>
      <c r="AA134" s="509"/>
      <c r="AB134" s="509"/>
      <c r="AC134" s="509"/>
      <c r="AD134" s="509"/>
      <c r="AE134" s="509"/>
      <c r="AF134" s="509"/>
      <c r="AG134" s="509"/>
      <c r="AH134" s="509"/>
    </row>
    <row r="135" spans="2:34">
      <c r="B135" s="509"/>
      <c r="C135" s="509"/>
      <c r="D135" s="509"/>
      <c r="E135" s="509"/>
      <c r="F135" s="509"/>
      <c r="G135" s="509"/>
      <c r="H135" s="509"/>
      <c r="I135" s="509"/>
      <c r="J135" s="509"/>
      <c r="K135" s="509"/>
      <c r="L135" s="509"/>
      <c r="M135" s="509"/>
      <c r="N135" s="509"/>
      <c r="O135" s="509"/>
      <c r="P135" s="509"/>
      <c r="Q135" s="509"/>
      <c r="R135" s="509"/>
      <c r="S135" s="509"/>
      <c r="T135" s="509"/>
      <c r="U135" s="509"/>
      <c r="V135" s="509"/>
      <c r="W135" s="509"/>
      <c r="X135" s="509"/>
      <c r="Y135" s="509"/>
      <c r="Z135" s="509"/>
      <c r="AA135" s="509"/>
      <c r="AB135" s="509"/>
      <c r="AC135" s="509"/>
      <c r="AD135" s="509"/>
      <c r="AE135" s="509"/>
      <c r="AF135" s="509"/>
      <c r="AG135" s="509"/>
      <c r="AH135" s="509"/>
    </row>
    <row r="136" spans="2:34">
      <c r="B136" s="509"/>
      <c r="C136" s="509"/>
      <c r="D136" s="509"/>
      <c r="E136" s="509"/>
      <c r="F136" s="509"/>
      <c r="G136" s="509"/>
      <c r="H136" s="509"/>
      <c r="I136" s="509"/>
      <c r="J136" s="509"/>
      <c r="K136" s="509"/>
      <c r="L136" s="509"/>
      <c r="M136" s="509"/>
      <c r="N136" s="509"/>
      <c r="O136" s="509"/>
      <c r="P136" s="509"/>
      <c r="Q136" s="509"/>
      <c r="R136" s="509"/>
      <c r="S136" s="509"/>
      <c r="T136" s="509"/>
      <c r="U136" s="509"/>
      <c r="V136" s="509"/>
      <c r="W136" s="509"/>
      <c r="X136" s="509"/>
      <c r="Y136" s="509"/>
      <c r="Z136" s="509"/>
      <c r="AA136" s="509"/>
      <c r="AB136" s="509"/>
      <c r="AC136" s="509"/>
      <c r="AD136" s="509"/>
      <c r="AE136" s="509"/>
      <c r="AF136" s="509"/>
      <c r="AG136" s="509"/>
      <c r="AH136" s="509"/>
    </row>
    <row r="137" spans="2:34">
      <c r="B137" s="509"/>
      <c r="C137" s="509"/>
      <c r="D137" s="509"/>
      <c r="E137" s="509"/>
      <c r="F137" s="509"/>
      <c r="G137" s="509"/>
      <c r="H137" s="509"/>
      <c r="I137" s="509"/>
      <c r="J137" s="509"/>
      <c r="K137" s="509"/>
      <c r="L137" s="509"/>
      <c r="M137" s="509"/>
      <c r="N137" s="509"/>
      <c r="O137" s="509"/>
      <c r="P137" s="509"/>
      <c r="Q137" s="509"/>
      <c r="R137" s="509"/>
      <c r="S137" s="509"/>
      <c r="T137" s="509"/>
      <c r="U137" s="509"/>
      <c r="V137" s="509"/>
      <c r="W137" s="509"/>
      <c r="X137" s="509"/>
      <c r="Y137" s="509"/>
      <c r="Z137" s="509"/>
      <c r="AA137" s="509"/>
      <c r="AB137" s="509"/>
      <c r="AC137" s="509"/>
      <c r="AD137" s="509"/>
      <c r="AE137" s="509"/>
      <c r="AF137" s="509"/>
      <c r="AG137" s="509"/>
      <c r="AH137" s="509"/>
    </row>
    <row r="138" spans="2:34">
      <c r="B138" s="509"/>
      <c r="C138" s="509"/>
      <c r="D138" s="509"/>
      <c r="E138" s="509"/>
      <c r="F138" s="509"/>
      <c r="G138" s="509"/>
      <c r="H138" s="509"/>
      <c r="I138" s="509"/>
      <c r="J138" s="509"/>
      <c r="K138" s="509"/>
      <c r="L138" s="509"/>
      <c r="M138" s="509"/>
      <c r="N138" s="509"/>
      <c r="O138" s="509"/>
      <c r="P138" s="509"/>
      <c r="Q138" s="509"/>
      <c r="R138" s="509"/>
      <c r="S138" s="509"/>
      <c r="T138" s="509"/>
      <c r="U138" s="509"/>
      <c r="V138" s="509"/>
      <c r="W138" s="509"/>
      <c r="X138" s="509"/>
      <c r="Y138" s="509"/>
      <c r="Z138" s="509"/>
      <c r="AA138" s="509"/>
      <c r="AB138" s="509"/>
      <c r="AC138" s="509"/>
      <c r="AD138" s="509"/>
      <c r="AE138" s="509"/>
      <c r="AF138" s="509"/>
      <c r="AG138" s="509"/>
      <c r="AH138" s="509"/>
    </row>
    <row r="139" spans="2:34">
      <c r="B139" s="509"/>
      <c r="C139" s="509"/>
      <c r="D139" s="509"/>
      <c r="E139" s="509"/>
      <c r="F139" s="509"/>
      <c r="G139" s="509"/>
      <c r="H139" s="509"/>
      <c r="I139" s="509"/>
      <c r="J139" s="509"/>
      <c r="K139" s="509"/>
      <c r="L139" s="509"/>
      <c r="M139" s="509"/>
      <c r="N139" s="509"/>
      <c r="O139" s="509"/>
      <c r="P139" s="509"/>
      <c r="Q139" s="509"/>
      <c r="R139" s="509"/>
      <c r="S139" s="509"/>
      <c r="T139" s="509"/>
      <c r="U139" s="509"/>
      <c r="V139" s="509"/>
      <c r="W139" s="509"/>
      <c r="X139" s="509"/>
      <c r="Y139" s="509"/>
      <c r="Z139" s="509"/>
      <c r="AA139" s="509"/>
      <c r="AB139" s="509"/>
      <c r="AC139" s="509"/>
      <c r="AD139" s="509"/>
      <c r="AE139" s="509"/>
      <c r="AF139" s="509"/>
      <c r="AG139" s="509"/>
      <c r="AH139" s="509"/>
    </row>
    <row r="140" spans="2:34">
      <c r="B140" s="509"/>
      <c r="C140" s="509"/>
      <c r="D140" s="509"/>
      <c r="E140" s="509"/>
      <c r="F140" s="509"/>
      <c r="G140" s="509"/>
      <c r="H140" s="509"/>
      <c r="I140" s="509"/>
      <c r="J140" s="509"/>
      <c r="K140" s="509"/>
      <c r="L140" s="509"/>
      <c r="M140" s="509"/>
      <c r="N140" s="509"/>
      <c r="O140" s="509"/>
      <c r="P140" s="509"/>
      <c r="Q140" s="509"/>
      <c r="R140" s="509"/>
      <c r="S140" s="509"/>
      <c r="T140" s="509"/>
      <c r="U140" s="509"/>
      <c r="V140" s="509"/>
      <c r="W140" s="509"/>
      <c r="X140" s="509"/>
      <c r="Y140" s="509"/>
      <c r="Z140" s="509"/>
      <c r="AA140" s="509"/>
      <c r="AB140" s="509"/>
      <c r="AC140" s="509"/>
      <c r="AD140" s="509"/>
      <c r="AE140" s="509"/>
      <c r="AF140" s="509"/>
      <c r="AG140" s="509"/>
      <c r="AH140" s="509"/>
    </row>
    <row r="141" spans="2:34">
      <c r="B141" s="509"/>
      <c r="C141" s="509"/>
      <c r="D141" s="509"/>
      <c r="E141" s="509"/>
      <c r="F141" s="509"/>
      <c r="G141" s="509"/>
      <c r="H141" s="509"/>
      <c r="I141" s="509"/>
      <c r="J141" s="509"/>
      <c r="K141" s="509"/>
      <c r="L141" s="509"/>
      <c r="M141" s="509"/>
      <c r="N141" s="509"/>
      <c r="O141" s="509"/>
      <c r="P141" s="509"/>
      <c r="Q141" s="509"/>
      <c r="R141" s="509"/>
      <c r="S141" s="509"/>
      <c r="T141" s="509"/>
      <c r="U141" s="509"/>
      <c r="V141" s="509"/>
      <c r="W141" s="509"/>
      <c r="X141" s="509"/>
      <c r="Y141" s="509"/>
      <c r="Z141" s="509"/>
      <c r="AA141" s="509"/>
      <c r="AB141" s="509"/>
      <c r="AC141" s="509"/>
      <c r="AD141" s="509"/>
      <c r="AE141" s="509"/>
      <c r="AF141" s="509"/>
      <c r="AG141" s="509"/>
      <c r="AH141" s="509"/>
    </row>
    <row r="142" spans="2:34">
      <c r="B142" s="509"/>
      <c r="C142" s="509"/>
      <c r="D142" s="509"/>
      <c r="E142" s="509"/>
      <c r="F142" s="509"/>
      <c r="G142" s="509"/>
      <c r="H142" s="509"/>
      <c r="I142" s="509"/>
      <c r="J142" s="509"/>
      <c r="K142" s="509"/>
      <c r="L142" s="509"/>
      <c r="M142" s="509"/>
      <c r="N142" s="509"/>
      <c r="O142" s="509"/>
      <c r="P142" s="509"/>
      <c r="Q142" s="509"/>
      <c r="R142" s="509"/>
      <c r="S142" s="509"/>
      <c r="T142" s="509"/>
      <c r="U142" s="509"/>
      <c r="V142" s="509"/>
      <c r="W142" s="509"/>
      <c r="X142" s="509"/>
      <c r="Y142" s="509"/>
      <c r="Z142" s="509"/>
      <c r="AA142" s="509"/>
      <c r="AB142" s="509"/>
      <c r="AC142" s="509"/>
      <c r="AD142" s="509"/>
      <c r="AE142" s="509"/>
      <c r="AF142" s="509"/>
      <c r="AG142" s="509"/>
      <c r="AH142" s="509"/>
    </row>
    <row r="143" spans="2:34">
      <c r="B143" s="509"/>
      <c r="C143" s="509"/>
      <c r="D143" s="509"/>
      <c r="E143" s="509"/>
      <c r="F143" s="509"/>
      <c r="G143" s="509"/>
      <c r="H143" s="509"/>
      <c r="I143" s="509"/>
      <c r="J143" s="509"/>
      <c r="K143" s="509"/>
      <c r="L143" s="509"/>
      <c r="M143" s="509"/>
      <c r="N143" s="509"/>
      <c r="O143" s="509"/>
      <c r="P143" s="509"/>
      <c r="Q143" s="509"/>
      <c r="R143" s="509"/>
      <c r="S143" s="509"/>
      <c r="T143" s="509"/>
      <c r="U143" s="509"/>
      <c r="V143" s="509"/>
      <c r="W143" s="509"/>
      <c r="X143" s="509"/>
      <c r="Y143" s="509"/>
      <c r="Z143" s="509"/>
      <c r="AA143" s="509"/>
      <c r="AB143" s="509"/>
      <c r="AC143" s="509"/>
      <c r="AD143" s="509"/>
      <c r="AE143" s="509"/>
      <c r="AF143" s="509"/>
      <c r="AG143" s="509"/>
      <c r="AH143" s="509"/>
    </row>
    <row r="144" spans="2:34">
      <c r="B144" s="509"/>
      <c r="C144" s="509"/>
      <c r="D144" s="509"/>
      <c r="E144" s="509"/>
      <c r="F144" s="509"/>
      <c r="G144" s="509"/>
      <c r="H144" s="509"/>
      <c r="I144" s="509"/>
      <c r="J144" s="509"/>
      <c r="K144" s="509"/>
      <c r="L144" s="509"/>
      <c r="M144" s="509"/>
      <c r="N144" s="509"/>
      <c r="O144" s="509"/>
      <c r="P144" s="509"/>
      <c r="Q144" s="509"/>
      <c r="R144" s="509"/>
      <c r="S144" s="509"/>
      <c r="T144" s="509"/>
      <c r="U144" s="509"/>
      <c r="V144" s="509"/>
      <c r="W144" s="509"/>
      <c r="X144" s="509"/>
      <c r="Y144" s="509"/>
      <c r="Z144" s="509"/>
      <c r="AA144" s="509"/>
      <c r="AB144" s="509"/>
      <c r="AC144" s="509"/>
      <c r="AD144" s="509"/>
      <c r="AE144" s="509"/>
      <c r="AF144" s="509"/>
      <c r="AG144" s="509"/>
      <c r="AH144" s="509"/>
    </row>
    <row r="145" spans="2:34">
      <c r="B145" s="509"/>
      <c r="C145" s="509"/>
      <c r="D145" s="509"/>
      <c r="E145" s="509"/>
      <c r="F145" s="509"/>
      <c r="G145" s="509"/>
      <c r="H145" s="509"/>
      <c r="I145" s="509"/>
      <c r="J145" s="509"/>
      <c r="K145" s="509"/>
      <c r="L145" s="509"/>
      <c r="M145" s="509"/>
      <c r="N145" s="509"/>
      <c r="O145" s="509"/>
      <c r="P145" s="509"/>
      <c r="Q145" s="509"/>
      <c r="R145" s="509"/>
      <c r="S145" s="509"/>
      <c r="T145" s="509"/>
      <c r="U145" s="509"/>
      <c r="V145" s="509"/>
      <c r="W145" s="509"/>
      <c r="X145" s="509"/>
      <c r="Y145" s="509"/>
      <c r="Z145" s="509"/>
      <c r="AA145" s="509"/>
      <c r="AB145" s="509"/>
      <c r="AC145" s="509"/>
      <c r="AD145" s="509"/>
      <c r="AE145" s="509"/>
      <c r="AF145" s="509"/>
      <c r="AG145" s="509"/>
      <c r="AH145" s="509"/>
    </row>
    <row r="146" spans="2:34">
      <c r="B146" s="509"/>
      <c r="C146" s="509"/>
      <c r="D146" s="509"/>
      <c r="E146" s="509"/>
      <c r="F146" s="509"/>
      <c r="G146" s="509"/>
      <c r="H146" s="509"/>
      <c r="I146" s="509"/>
      <c r="J146" s="509"/>
      <c r="K146" s="509"/>
      <c r="L146" s="509"/>
      <c r="M146" s="509"/>
      <c r="N146" s="509"/>
      <c r="O146" s="509"/>
      <c r="P146" s="509"/>
      <c r="Q146" s="509"/>
      <c r="R146" s="509"/>
      <c r="S146" s="509"/>
      <c r="T146" s="509"/>
      <c r="U146" s="509"/>
      <c r="V146" s="509"/>
      <c r="W146" s="509"/>
      <c r="X146" s="509"/>
      <c r="Y146" s="509"/>
      <c r="Z146" s="509"/>
      <c r="AA146" s="509"/>
      <c r="AB146" s="509"/>
      <c r="AC146" s="509"/>
      <c r="AD146" s="509"/>
      <c r="AE146" s="509"/>
      <c r="AF146" s="509"/>
      <c r="AG146" s="509"/>
      <c r="AH146" s="509"/>
    </row>
    <row r="147" spans="2:34">
      <c r="B147" s="509"/>
      <c r="C147" s="509"/>
      <c r="D147" s="509"/>
      <c r="E147" s="509"/>
      <c r="F147" s="509"/>
      <c r="G147" s="509"/>
      <c r="H147" s="509"/>
      <c r="I147" s="509"/>
      <c r="J147" s="509"/>
      <c r="K147" s="509"/>
      <c r="L147" s="509"/>
      <c r="M147" s="509"/>
      <c r="N147" s="509"/>
      <c r="O147" s="509"/>
      <c r="P147" s="509"/>
      <c r="Q147" s="509"/>
      <c r="R147" s="509"/>
      <c r="S147" s="509"/>
      <c r="T147" s="509"/>
      <c r="U147" s="509"/>
      <c r="V147" s="509"/>
      <c r="W147" s="509"/>
      <c r="X147" s="509"/>
      <c r="Y147" s="509"/>
      <c r="Z147" s="509"/>
      <c r="AA147" s="509"/>
      <c r="AB147" s="509"/>
      <c r="AC147" s="509"/>
      <c r="AD147" s="509"/>
      <c r="AE147" s="509"/>
      <c r="AF147" s="509"/>
      <c r="AG147" s="509"/>
      <c r="AH147" s="509"/>
    </row>
    <row r="148" spans="2:34">
      <c r="B148" s="509"/>
      <c r="C148" s="509"/>
      <c r="D148" s="509"/>
      <c r="E148" s="509"/>
      <c r="F148" s="509"/>
      <c r="G148" s="509"/>
      <c r="H148" s="509"/>
      <c r="I148" s="509"/>
      <c r="J148" s="509"/>
      <c r="K148" s="509"/>
      <c r="L148" s="509"/>
      <c r="M148" s="509"/>
      <c r="N148" s="509"/>
      <c r="O148" s="509"/>
      <c r="P148" s="509"/>
      <c r="Q148" s="509"/>
      <c r="R148" s="509"/>
      <c r="S148" s="509"/>
      <c r="T148" s="509"/>
      <c r="U148" s="509"/>
      <c r="V148" s="509"/>
      <c r="W148" s="509"/>
      <c r="X148" s="509"/>
      <c r="Y148" s="509"/>
      <c r="Z148" s="509"/>
      <c r="AA148" s="509"/>
      <c r="AB148" s="509"/>
      <c r="AC148" s="509"/>
      <c r="AD148" s="509"/>
      <c r="AE148" s="509"/>
      <c r="AF148" s="509"/>
      <c r="AG148" s="509"/>
      <c r="AH148" s="509"/>
    </row>
    <row r="149" spans="2:34">
      <c r="B149" s="509"/>
      <c r="C149" s="509"/>
      <c r="D149" s="509"/>
      <c r="E149" s="509"/>
      <c r="F149" s="509"/>
      <c r="G149" s="509"/>
      <c r="H149" s="509"/>
      <c r="I149" s="509"/>
      <c r="J149" s="509"/>
      <c r="K149" s="509"/>
      <c r="L149" s="509"/>
      <c r="M149" s="509"/>
      <c r="N149" s="509"/>
      <c r="O149" s="509"/>
      <c r="P149" s="509"/>
      <c r="Q149" s="509"/>
      <c r="R149" s="509"/>
      <c r="S149" s="509"/>
      <c r="T149" s="509"/>
      <c r="U149" s="509"/>
      <c r="V149" s="509"/>
      <c r="W149" s="509"/>
      <c r="X149" s="509"/>
      <c r="Y149" s="509"/>
      <c r="Z149" s="509"/>
      <c r="AA149" s="509"/>
      <c r="AB149" s="509"/>
      <c r="AC149" s="509"/>
      <c r="AD149" s="509"/>
      <c r="AE149" s="509"/>
      <c r="AF149" s="509"/>
      <c r="AG149" s="509"/>
      <c r="AH149" s="509"/>
    </row>
    <row r="150" spans="2:34">
      <c r="B150" s="509"/>
      <c r="C150" s="509"/>
      <c r="D150" s="509"/>
      <c r="E150" s="509"/>
      <c r="F150" s="509"/>
      <c r="G150" s="509"/>
      <c r="H150" s="509"/>
      <c r="I150" s="509"/>
      <c r="J150" s="509"/>
      <c r="K150" s="509"/>
      <c r="L150" s="509"/>
      <c r="M150" s="509"/>
      <c r="N150" s="509"/>
      <c r="O150" s="509"/>
      <c r="P150" s="509"/>
      <c r="Q150" s="509"/>
      <c r="R150" s="509"/>
      <c r="S150" s="509"/>
      <c r="T150" s="509"/>
      <c r="U150" s="509"/>
      <c r="V150" s="509"/>
      <c r="W150" s="509"/>
      <c r="X150" s="509"/>
      <c r="Y150" s="509"/>
      <c r="Z150" s="509"/>
      <c r="AA150" s="509"/>
      <c r="AB150" s="509"/>
      <c r="AC150" s="509"/>
      <c r="AD150" s="509"/>
      <c r="AE150" s="509"/>
      <c r="AF150" s="509"/>
      <c r="AG150" s="509"/>
      <c r="AH150" s="509"/>
    </row>
    <row r="151" spans="2:34">
      <c r="B151" s="509"/>
      <c r="C151" s="509"/>
      <c r="D151" s="509"/>
      <c r="E151" s="509"/>
      <c r="F151" s="509"/>
      <c r="G151" s="509"/>
      <c r="H151" s="509"/>
      <c r="I151" s="509"/>
      <c r="J151" s="509"/>
      <c r="K151" s="509"/>
      <c r="L151" s="509"/>
      <c r="M151" s="509"/>
      <c r="N151" s="509"/>
      <c r="O151" s="509"/>
      <c r="P151" s="509"/>
      <c r="Q151" s="509"/>
      <c r="R151" s="509"/>
      <c r="S151" s="509"/>
      <c r="T151" s="509"/>
      <c r="U151" s="509"/>
      <c r="V151" s="509"/>
      <c r="W151" s="509"/>
      <c r="X151" s="509"/>
      <c r="Y151" s="509"/>
      <c r="Z151" s="509"/>
      <c r="AA151" s="509"/>
      <c r="AB151" s="509"/>
      <c r="AC151" s="509"/>
      <c r="AD151" s="509"/>
      <c r="AE151" s="509"/>
      <c r="AF151" s="509"/>
      <c r="AG151" s="509"/>
      <c r="AH151" s="509"/>
    </row>
    <row r="152" spans="2:34">
      <c r="B152" s="509"/>
      <c r="C152" s="509"/>
      <c r="D152" s="509"/>
      <c r="E152" s="509"/>
      <c r="F152" s="509"/>
      <c r="G152" s="509"/>
      <c r="H152" s="509"/>
      <c r="I152" s="509"/>
      <c r="J152" s="509"/>
      <c r="K152" s="509"/>
      <c r="L152" s="509"/>
      <c r="M152" s="509"/>
      <c r="N152" s="509"/>
      <c r="O152" s="509"/>
      <c r="P152" s="509"/>
      <c r="Q152" s="509"/>
      <c r="R152" s="509"/>
      <c r="S152" s="509"/>
      <c r="T152" s="509"/>
      <c r="U152" s="509"/>
      <c r="V152" s="509"/>
      <c r="W152" s="509"/>
      <c r="X152" s="509"/>
      <c r="Y152" s="509"/>
      <c r="Z152" s="509"/>
      <c r="AA152" s="509"/>
      <c r="AB152" s="509"/>
      <c r="AC152" s="509"/>
      <c r="AD152" s="509"/>
      <c r="AE152" s="509"/>
      <c r="AF152" s="509"/>
      <c r="AG152" s="509"/>
      <c r="AH152" s="509"/>
    </row>
    <row r="153" spans="2:34">
      <c r="B153" s="509"/>
      <c r="C153" s="509"/>
      <c r="D153" s="509"/>
      <c r="E153" s="509"/>
      <c r="F153" s="509"/>
      <c r="G153" s="509"/>
      <c r="H153" s="509"/>
      <c r="I153" s="509"/>
      <c r="J153" s="509"/>
      <c r="K153" s="509"/>
      <c r="L153" s="509"/>
      <c r="M153" s="509"/>
      <c r="N153" s="509"/>
      <c r="O153" s="509"/>
      <c r="P153" s="509"/>
      <c r="Q153" s="509"/>
      <c r="R153" s="509"/>
      <c r="S153" s="509"/>
      <c r="T153" s="509"/>
      <c r="U153" s="509"/>
      <c r="V153" s="509"/>
      <c r="W153" s="509"/>
      <c r="X153" s="509"/>
      <c r="Y153" s="509"/>
      <c r="Z153" s="509"/>
      <c r="AA153" s="509"/>
      <c r="AB153" s="509"/>
      <c r="AC153" s="509"/>
      <c r="AD153" s="509"/>
      <c r="AE153" s="509"/>
      <c r="AF153" s="509"/>
      <c r="AG153" s="509"/>
      <c r="AH153" s="509"/>
    </row>
    <row r="154" spans="2:34">
      <c r="B154" s="509"/>
      <c r="C154" s="509"/>
      <c r="D154" s="509"/>
      <c r="E154" s="509"/>
      <c r="F154" s="509"/>
      <c r="G154" s="509"/>
      <c r="H154" s="509"/>
      <c r="I154" s="509"/>
      <c r="J154" s="509"/>
      <c r="K154" s="509"/>
      <c r="L154" s="509"/>
      <c r="M154" s="509"/>
      <c r="N154" s="509"/>
      <c r="O154" s="509"/>
      <c r="P154" s="509"/>
      <c r="Q154" s="509"/>
      <c r="R154" s="509"/>
      <c r="S154" s="509"/>
      <c r="T154" s="509"/>
      <c r="U154" s="509"/>
      <c r="V154" s="509"/>
      <c r="W154" s="509"/>
      <c r="X154" s="509"/>
      <c r="Y154" s="509"/>
      <c r="Z154" s="509"/>
      <c r="AA154" s="509"/>
      <c r="AB154" s="509"/>
      <c r="AC154" s="509"/>
      <c r="AD154" s="509"/>
      <c r="AE154" s="509"/>
      <c r="AF154" s="509"/>
      <c r="AG154" s="509"/>
      <c r="AH154" s="509"/>
    </row>
    <row r="155" spans="2:34">
      <c r="B155" s="509"/>
      <c r="C155" s="509"/>
      <c r="D155" s="509"/>
      <c r="E155" s="509"/>
      <c r="F155" s="509"/>
      <c r="G155" s="509"/>
      <c r="H155" s="509"/>
      <c r="I155" s="509"/>
      <c r="J155" s="509"/>
      <c r="K155" s="509"/>
      <c r="L155" s="509"/>
      <c r="M155" s="509"/>
      <c r="N155" s="509"/>
      <c r="O155" s="509"/>
      <c r="P155" s="509"/>
      <c r="Q155" s="509"/>
      <c r="R155" s="509"/>
      <c r="S155" s="509"/>
      <c r="T155" s="509"/>
      <c r="U155" s="509"/>
      <c r="V155" s="509"/>
      <c r="W155" s="509"/>
      <c r="X155" s="509"/>
      <c r="Y155" s="509"/>
      <c r="Z155" s="509"/>
      <c r="AA155" s="509"/>
      <c r="AB155" s="509"/>
      <c r="AC155" s="509"/>
      <c r="AD155" s="509"/>
      <c r="AE155" s="509"/>
      <c r="AF155" s="509"/>
      <c r="AG155" s="509"/>
      <c r="AH155" s="509"/>
    </row>
    <row r="156" spans="2:34">
      <c r="B156" s="509"/>
      <c r="C156" s="509"/>
      <c r="D156" s="509"/>
      <c r="E156" s="509"/>
      <c r="F156" s="509"/>
      <c r="G156" s="509"/>
      <c r="H156" s="509"/>
      <c r="I156" s="509"/>
      <c r="J156" s="509"/>
      <c r="K156" s="509"/>
      <c r="L156" s="509"/>
      <c r="M156" s="509"/>
      <c r="N156" s="509"/>
      <c r="O156" s="509"/>
      <c r="P156" s="509"/>
      <c r="Q156" s="509"/>
      <c r="R156" s="509"/>
      <c r="S156" s="509"/>
      <c r="T156" s="509"/>
      <c r="U156" s="509"/>
      <c r="V156" s="509"/>
      <c r="W156" s="509"/>
      <c r="X156" s="509"/>
      <c r="Y156" s="509"/>
      <c r="Z156" s="509"/>
      <c r="AA156" s="509"/>
      <c r="AB156" s="509"/>
      <c r="AC156" s="509"/>
      <c r="AD156" s="509"/>
      <c r="AE156" s="509"/>
      <c r="AF156" s="509"/>
      <c r="AG156" s="509"/>
      <c r="AH156" s="509"/>
    </row>
    <row r="157" spans="2:34">
      <c r="B157" s="509"/>
      <c r="C157" s="509"/>
      <c r="D157" s="509"/>
      <c r="E157" s="509"/>
      <c r="F157" s="509"/>
      <c r="G157" s="509"/>
      <c r="H157" s="509"/>
      <c r="I157" s="509"/>
      <c r="J157" s="509"/>
      <c r="K157" s="509"/>
      <c r="L157" s="509"/>
      <c r="M157" s="509"/>
      <c r="N157" s="509"/>
      <c r="O157" s="509"/>
      <c r="P157" s="509"/>
      <c r="Q157" s="509"/>
      <c r="R157" s="509"/>
      <c r="S157" s="509"/>
      <c r="T157" s="509"/>
      <c r="U157" s="509"/>
      <c r="V157" s="509"/>
      <c r="W157" s="509"/>
      <c r="X157" s="509"/>
      <c r="Y157" s="509"/>
      <c r="Z157" s="509"/>
      <c r="AA157" s="509"/>
      <c r="AB157" s="509"/>
      <c r="AC157" s="509"/>
      <c r="AD157" s="509"/>
      <c r="AE157" s="509"/>
      <c r="AF157" s="509"/>
      <c r="AG157" s="509"/>
      <c r="AH157" s="509"/>
    </row>
    <row r="158" spans="2:34">
      <c r="B158" s="509"/>
      <c r="C158" s="509"/>
      <c r="D158" s="509"/>
      <c r="E158" s="509"/>
      <c r="F158" s="509"/>
      <c r="G158" s="509"/>
      <c r="H158" s="509"/>
      <c r="I158" s="509"/>
      <c r="J158" s="509"/>
      <c r="K158" s="509"/>
      <c r="L158" s="509"/>
      <c r="M158" s="509"/>
      <c r="N158" s="509"/>
      <c r="O158" s="509"/>
      <c r="P158" s="509"/>
      <c r="Q158" s="509"/>
      <c r="R158" s="509"/>
      <c r="S158" s="509"/>
      <c r="T158" s="509"/>
      <c r="U158" s="509"/>
      <c r="V158" s="509"/>
      <c r="W158" s="509"/>
      <c r="X158" s="509"/>
      <c r="Y158" s="509"/>
      <c r="Z158" s="509"/>
      <c r="AA158" s="509"/>
      <c r="AB158" s="509"/>
      <c r="AC158" s="509"/>
      <c r="AD158" s="509"/>
      <c r="AE158" s="509"/>
      <c r="AF158" s="509"/>
      <c r="AG158" s="509"/>
      <c r="AH158" s="509"/>
    </row>
    <row r="159" spans="2:34">
      <c r="B159" s="509"/>
      <c r="C159" s="509"/>
      <c r="D159" s="509"/>
      <c r="E159" s="509"/>
      <c r="F159" s="509"/>
      <c r="G159" s="509"/>
      <c r="H159" s="509"/>
      <c r="I159" s="509"/>
      <c r="J159" s="509"/>
      <c r="K159" s="509"/>
      <c r="L159" s="509"/>
      <c r="M159" s="509"/>
      <c r="N159" s="509"/>
      <c r="O159" s="509"/>
      <c r="P159" s="509"/>
      <c r="Q159" s="509"/>
      <c r="R159" s="509"/>
      <c r="S159" s="509"/>
      <c r="T159" s="509"/>
      <c r="U159" s="509"/>
      <c r="V159" s="509"/>
      <c r="W159" s="509"/>
      <c r="X159" s="509"/>
      <c r="Y159" s="509"/>
      <c r="Z159" s="509"/>
      <c r="AA159" s="509"/>
      <c r="AB159" s="509"/>
      <c r="AC159" s="509"/>
      <c r="AD159" s="509"/>
      <c r="AE159" s="509"/>
      <c r="AF159" s="509"/>
      <c r="AG159" s="509"/>
      <c r="AH159" s="509"/>
    </row>
    <row r="160" spans="2:34">
      <c r="B160" s="509"/>
      <c r="C160" s="509"/>
      <c r="D160" s="509"/>
      <c r="E160" s="509"/>
      <c r="F160" s="509"/>
      <c r="G160" s="509"/>
      <c r="H160" s="509"/>
      <c r="I160" s="509"/>
      <c r="J160" s="509"/>
      <c r="K160" s="509"/>
      <c r="L160" s="509"/>
      <c r="M160" s="509"/>
      <c r="N160" s="509"/>
      <c r="O160" s="509"/>
      <c r="P160" s="509"/>
      <c r="Q160" s="509"/>
      <c r="R160" s="509"/>
      <c r="S160" s="509"/>
      <c r="T160" s="509"/>
      <c r="U160" s="509"/>
      <c r="V160" s="509"/>
      <c r="W160" s="509"/>
      <c r="X160" s="509"/>
      <c r="Y160" s="509"/>
      <c r="Z160" s="509"/>
      <c r="AA160" s="509"/>
      <c r="AB160" s="509"/>
      <c r="AC160" s="509"/>
      <c r="AD160" s="509"/>
      <c r="AE160" s="509"/>
      <c r="AF160" s="509"/>
      <c r="AG160" s="509"/>
      <c r="AH160" s="509"/>
    </row>
    <row r="161" spans="2:34">
      <c r="B161" s="509"/>
      <c r="C161" s="509"/>
      <c r="D161" s="509"/>
      <c r="E161" s="509"/>
      <c r="F161" s="509"/>
      <c r="G161" s="509"/>
      <c r="H161" s="509"/>
      <c r="I161" s="509"/>
      <c r="J161" s="509"/>
      <c r="K161" s="509"/>
      <c r="L161" s="509"/>
      <c r="M161" s="509"/>
      <c r="N161" s="509"/>
      <c r="O161" s="509"/>
      <c r="P161" s="509"/>
      <c r="Q161" s="509"/>
      <c r="R161" s="509"/>
      <c r="S161" s="509"/>
      <c r="T161" s="509"/>
      <c r="U161" s="509"/>
      <c r="V161" s="509"/>
      <c r="W161" s="509"/>
      <c r="X161" s="509"/>
      <c r="Y161" s="509"/>
      <c r="Z161" s="509"/>
      <c r="AA161" s="509"/>
      <c r="AB161" s="509"/>
      <c r="AC161" s="509"/>
      <c r="AD161" s="509"/>
      <c r="AE161" s="509"/>
      <c r="AF161" s="509"/>
      <c r="AG161" s="509"/>
      <c r="AH161" s="509"/>
    </row>
    <row r="162" spans="2:34">
      <c r="B162" s="509"/>
      <c r="C162" s="509"/>
      <c r="D162" s="509"/>
      <c r="E162" s="509"/>
      <c r="F162" s="509"/>
      <c r="G162" s="509"/>
      <c r="H162" s="509"/>
      <c r="I162" s="509"/>
      <c r="J162" s="509"/>
      <c r="K162" s="509"/>
      <c r="L162" s="509"/>
      <c r="M162" s="509"/>
      <c r="N162" s="509"/>
      <c r="O162" s="509"/>
      <c r="P162" s="509"/>
      <c r="Q162" s="509"/>
      <c r="R162" s="509"/>
      <c r="S162" s="509"/>
      <c r="T162" s="509"/>
      <c r="U162" s="509"/>
      <c r="V162" s="509"/>
      <c r="W162" s="509"/>
      <c r="X162" s="509"/>
      <c r="Y162" s="509"/>
      <c r="Z162" s="509"/>
      <c r="AA162" s="509"/>
      <c r="AB162" s="509"/>
      <c r="AC162" s="509"/>
      <c r="AD162" s="509"/>
      <c r="AE162" s="509"/>
      <c r="AF162" s="509"/>
      <c r="AG162" s="509"/>
      <c r="AH162" s="509"/>
    </row>
    <row r="163" spans="2:34">
      <c r="B163" s="509"/>
      <c r="C163" s="509"/>
      <c r="D163" s="509"/>
      <c r="E163" s="509"/>
      <c r="F163" s="509"/>
      <c r="G163" s="509"/>
      <c r="H163" s="509"/>
      <c r="I163" s="509"/>
      <c r="J163" s="509"/>
      <c r="K163" s="509"/>
      <c r="L163" s="509"/>
      <c r="M163" s="509"/>
      <c r="N163" s="509"/>
      <c r="O163" s="509"/>
      <c r="P163" s="509"/>
      <c r="Q163" s="509"/>
      <c r="R163" s="509"/>
      <c r="S163" s="509"/>
      <c r="T163" s="509"/>
      <c r="U163" s="509"/>
      <c r="V163" s="509"/>
      <c r="W163" s="509"/>
      <c r="X163" s="509"/>
      <c r="Y163" s="509"/>
      <c r="Z163" s="509"/>
      <c r="AA163" s="509"/>
      <c r="AB163" s="509"/>
      <c r="AC163" s="509"/>
      <c r="AD163" s="509"/>
      <c r="AE163" s="509"/>
      <c r="AF163" s="509"/>
      <c r="AG163" s="509"/>
      <c r="AH163" s="509"/>
    </row>
    <row r="164" spans="2:34">
      <c r="B164" s="509"/>
      <c r="C164" s="509"/>
      <c r="D164" s="509"/>
      <c r="E164" s="509"/>
      <c r="F164" s="509"/>
      <c r="G164" s="509"/>
      <c r="H164" s="509"/>
      <c r="I164" s="509"/>
      <c r="J164" s="509"/>
      <c r="K164" s="509"/>
      <c r="L164" s="509"/>
      <c r="M164" s="509"/>
      <c r="N164" s="509"/>
      <c r="O164" s="509"/>
      <c r="P164" s="509"/>
      <c r="Q164" s="509"/>
      <c r="R164" s="509"/>
      <c r="S164" s="509"/>
      <c r="T164" s="509"/>
      <c r="U164" s="509"/>
      <c r="V164" s="509"/>
      <c r="W164" s="509"/>
      <c r="X164" s="509"/>
      <c r="Y164" s="509"/>
      <c r="Z164" s="509"/>
      <c r="AA164" s="509"/>
      <c r="AB164" s="509"/>
      <c r="AC164" s="509"/>
      <c r="AD164" s="509"/>
      <c r="AE164" s="509"/>
      <c r="AF164" s="509"/>
      <c r="AG164" s="509"/>
      <c r="AH164" s="509"/>
    </row>
    <row r="165" spans="2:34">
      <c r="B165" s="509"/>
      <c r="C165" s="509"/>
      <c r="D165" s="509"/>
      <c r="E165" s="509"/>
      <c r="F165" s="509"/>
      <c r="G165" s="509"/>
      <c r="H165" s="509"/>
      <c r="I165" s="509"/>
      <c r="J165" s="509"/>
      <c r="K165" s="509"/>
      <c r="L165" s="509"/>
      <c r="M165" s="509"/>
      <c r="N165" s="509"/>
      <c r="O165" s="509"/>
      <c r="P165" s="509"/>
      <c r="Q165" s="509"/>
      <c r="R165" s="509"/>
      <c r="S165" s="509"/>
      <c r="T165" s="509"/>
      <c r="U165" s="509"/>
      <c r="V165" s="509"/>
      <c r="W165" s="509"/>
      <c r="X165" s="509"/>
      <c r="Y165" s="509"/>
      <c r="Z165" s="509"/>
      <c r="AA165" s="509"/>
      <c r="AB165" s="509"/>
      <c r="AC165" s="509"/>
      <c r="AD165" s="509"/>
      <c r="AE165" s="509"/>
      <c r="AF165" s="509"/>
      <c r="AG165" s="509"/>
      <c r="AH165" s="509"/>
    </row>
    <row r="166" spans="2:34">
      <c r="B166" s="509"/>
      <c r="C166" s="509"/>
      <c r="D166" s="509"/>
      <c r="E166" s="509"/>
      <c r="F166" s="509"/>
      <c r="G166" s="509"/>
      <c r="H166" s="509"/>
      <c r="I166" s="509"/>
      <c r="J166" s="509"/>
      <c r="K166" s="509"/>
      <c r="L166" s="509"/>
      <c r="M166" s="509"/>
      <c r="N166" s="509"/>
      <c r="O166" s="509"/>
      <c r="P166" s="509"/>
      <c r="Q166" s="509"/>
      <c r="R166" s="509"/>
      <c r="S166" s="509"/>
      <c r="T166" s="509"/>
      <c r="U166" s="509"/>
      <c r="V166" s="509"/>
      <c r="W166" s="509"/>
      <c r="X166" s="509"/>
      <c r="Y166" s="509"/>
      <c r="Z166" s="509"/>
      <c r="AA166" s="509"/>
      <c r="AB166" s="509"/>
      <c r="AC166" s="509"/>
      <c r="AD166" s="509"/>
      <c r="AE166" s="509"/>
      <c r="AF166" s="509"/>
      <c r="AG166" s="509"/>
      <c r="AH166" s="509"/>
    </row>
    <row r="167" spans="2:34">
      <c r="B167" s="509"/>
      <c r="C167" s="509"/>
      <c r="D167" s="509"/>
      <c r="E167" s="509"/>
      <c r="F167" s="509"/>
      <c r="G167" s="509"/>
      <c r="H167" s="509"/>
      <c r="I167" s="509"/>
      <c r="J167" s="509"/>
      <c r="K167" s="509"/>
      <c r="L167" s="509"/>
      <c r="M167" s="509"/>
      <c r="N167" s="509"/>
      <c r="O167" s="509"/>
      <c r="P167" s="509"/>
      <c r="Q167" s="509"/>
      <c r="R167" s="509"/>
      <c r="S167" s="509"/>
      <c r="T167" s="509"/>
      <c r="U167" s="509"/>
      <c r="V167" s="509"/>
      <c r="W167" s="509"/>
      <c r="X167" s="509"/>
      <c r="Y167" s="509"/>
      <c r="Z167" s="509"/>
      <c r="AA167" s="509"/>
      <c r="AB167" s="509"/>
      <c r="AC167" s="509"/>
      <c r="AD167" s="509"/>
      <c r="AE167" s="509"/>
      <c r="AF167" s="509"/>
      <c r="AG167" s="509"/>
      <c r="AH167" s="509"/>
    </row>
    <row r="168" spans="2:34">
      <c r="B168" s="509"/>
      <c r="C168" s="509"/>
      <c r="D168" s="509"/>
      <c r="E168" s="509"/>
      <c r="F168" s="509"/>
      <c r="G168" s="509"/>
      <c r="H168" s="509"/>
      <c r="I168" s="509"/>
      <c r="J168" s="509"/>
      <c r="K168" s="509"/>
      <c r="L168" s="509"/>
      <c r="M168" s="509"/>
      <c r="N168" s="509"/>
      <c r="O168" s="509"/>
      <c r="P168" s="509"/>
      <c r="Q168" s="509"/>
      <c r="R168" s="509"/>
      <c r="S168" s="509"/>
      <c r="T168" s="509"/>
      <c r="U168" s="509"/>
      <c r="V168" s="509"/>
      <c r="W168" s="509"/>
      <c r="X168" s="509"/>
      <c r="Y168" s="509"/>
      <c r="Z168" s="509"/>
      <c r="AA168" s="509"/>
      <c r="AB168" s="509"/>
      <c r="AC168" s="509"/>
      <c r="AD168" s="509"/>
      <c r="AE168" s="509"/>
      <c r="AF168" s="509"/>
      <c r="AG168" s="509"/>
      <c r="AH168" s="509"/>
    </row>
    <row r="169" spans="2:34">
      <c r="B169" s="509"/>
      <c r="C169" s="509"/>
      <c r="D169" s="509"/>
      <c r="E169" s="509"/>
      <c r="F169" s="509"/>
      <c r="G169" s="509"/>
      <c r="H169" s="509"/>
      <c r="I169" s="509"/>
      <c r="J169" s="509"/>
      <c r="K169" s="509"/>
      <c r="L169" s="509"/>
      <c r="M169" s="509"/>
      <c r="N169" s="509"/>
      <c r="O169" s="509"/>
      <c r="P169" s="509"/>
      <c r="Q169" s="509"/>
      <c r="R169" s="509"/>
      <c r="S169" s="509"/>
      <c r="T169" s="509"/>
      <c r="U169" s="509"/>
      <c r="V169" s="509"/>
      <c r="W169" s="509"/>
      <c r="X169" s="509"/>
      <c r="Y169" s="509"/>
      <c r="Z169" s="509"/>
      <c r="AA169" s="509"/>
      <c r="AB169" s="509"/>
      <c r="AC169" s="509"/>
      <c r="AD169" s="509"/>
      <c r="AE169" s="509"/>
      <c r="AF169" s="509"/>
      <c r="AG169" s="509"/>
      <c r="AH169" s="509"/>
    </row>
    <row r="170" spans="2:34">
      <c r="B170" s="509"/>
      <c r="C170" s="509"/>
      <c r="D170" s="509"/>
      <c r="E170" s="509"/>
      <c r="F170" s="509"/>
      <c r="G170" s="509"/>
      <c r="H170" s="509"/>
      <c r="I170" s="509"/>
      <c r="J170" s="509"/>
      <c r="K170" s="509"/>
      <c r="L170" s="509"/>
      <c r="M170" s="509"/>
      <c r="N170" s="509"/>
      <c r="O170" s="509"/>
      <c r="P170" s="509"/>
      <c r="Q170" s="509"/>
      <c r="R170" s="509"/>
      <c r="S170" s="509"/>
      <c r="T170" s="509"/>
      <c r="U170" s="509"/>
      <c r="V170" s="509"/>
      <c r="W170" s="509"/>
      <c r="X170" s="509"/>
      <c r="Y170" s="509"/>
      <c r="Z170" s="509"/>
      <c r="AA170" s="509"/>
      <c r="AB170" s="509"/>
      <c r="AC170" s="509"/>
      <c r="AD170" s="509"/>
      <c r="AE170" s="509"/>
      <c r="AF170" s="509"/>
      <c r="AG170" s="509"/>
      <c r="AH170" s="509"/>
    </row>
    <row r="171" spans="2:34">
      <c r="B171" s="509"/>
      <c r="C171" s="509"/>
      <c r="D171" s="509"/>
      <c r="E171" s="509"/>
      <c r="F171" s="509"/>
      <c r="G171" s="509"/>
      <c r="H171" s="509"/>
      <c r="I171" s="509"/>
      <c r="J171" s="509"/>
      <c r="K171" s="509"/>
      <c r="L171" s="509"/>
      <c r="M171" s="509"/>
      <c r="N171" s="509"/>
      <c r="O171" s="509"/>
      <c r="P171" s="509"/>
      <c r="Q171" s="509"/>
      <c r="R171" s="509"/>
      <c r="S171" s="509"/>
      <c r="T171" s="509"/>
      <c r="U171" s="509"/>
      <c r="V171" s="509"/>
      <c r="W171" s="509"/>
      <c r="X171" s="509"/>
      <c r="Y171" s="509"/>
      <c r="Z171" s="509"/>
      <c r="AA171" s="509"/>
      <c r="AB171" s="509"/>
      <c r="AC171" s="509"/>
      <c r="AD171" s="509"/>
      <c r="AE171" s="509"/>
      <c r="AF171" s="509"/>
      <c r="AG171" s="509"/>
      <c r="AH171" s="509"/>
    </row>
    <row r="172" spans="2:34">
      <c r="B172" s="509"/>
      <c r="C172" s="509"/>
      <c r="D172" s="509"/>
      <c r="E172" s="509"/>
      <c r="F172" s="509"/>
      <c r="G172" s="509"/>
      <c r="H172" s="509"/>
      <c r="I172" s="509"/>
      <c r="J172" s="509"/>
      <c r="K172" s="509"/>
      <c r="L172" s="509"/>
      <c r="M172" s="509"/>
      <c r="N172" s="509"/>
      <c r="O172" s="509"/>
      <c r="P172" s="509"/>
      <c r="Q172" s="509"/>
      <c r="R172" s="509"/>
      <c r="S172" s="509"/>
      <c r="T172" s="509"/>
      <c r="U172" s="509"/>
      <c r="V172" s="509"/>
      <c r="W172" s="509"/>
      <c r="X172" s="509"/>
      <c r="Y172" s="509"/>
      <c r="Z172" s="509"/>
      <c r="AA172" s="509"/>
      <c r="AB172" s="509"/>
      <c r="AC172" s="509"/>
      <c r="AD172" s="509"/>
      <c r="AE172" s="509"/>
      <c r="AF172" s="509"/>
      <c r="AG172" s="509"/>
      <c r="AH172" s="509"/>
    </row>
    <row r="173" spans="2:34">
      <c r="B173" s="509"/>
      <c r="C173" s="509"/>
      <c r="D173" s="509"/>
      <c r="E173" s="509"/>
      <c r="F173" s="509"/>
      <c r="G173" s="509"/>
      <c r="H173" s="509"/>
      <c r="I173" s="509"/>
      <c r="J173" s="509"/>
      <c r="K173" s="509"/>
      <c r="L173" s="509"/>
      <c r="M173" s="509"/>
      <c r="N173" s="509"/>
      <c r="O173" s="509"/>
      <c r="P173" s="509"/>
      <c r="Q173" s="509"/>
      <c r="R173" s="509"/>
      <c r="S173" s="509"/>
      <c r="T173" s="509"/>
      <c r="U173" s="509"/>
      <c r="V173" s="509"/>
      <c r="W173" s="509"/>
      <c r="X173" s="509"/>
      <c r="Y173" s="509"/>
      <c r="Z173" s="509"/>
      <c r="AA173" s="509"/>
      <c r="AB173" s="509"/>
      <c r="AC173" s="509"/>
      <c r="AD173" s="509"/>
      <c r="AE173" s="509"/>
      <c r="AF173" s="509"/>
      <c r="AG173" s="509"/>
      <c r="AH173" s="509"/>
    </row>
    <row r="174" spans="2:34">
      <c r="B174" s="509"/>
      <c r="C174" s="509"/>
      <c r="D174" s="509"/>
      <c r="E174" s="509"/>
      <c r="F174" s="509"/>
      <c r="G174" s="509"/>
      <c r="H174" s="509"/>
      <c r="I174" s="509"/>
      <c r="J174" s="509"/>
      <c r="K174" s="509"/>
      <c r="L174" s="509"/>
      <c r="M174" s="509"/>
      <c r="N174" s="509"/>
      <c r="O174" s="509"/>
      <c r="P174" s="509"/>
      <c r="Q174" s="509"/>
      <c r="R174" s="509"/>
      <c r="S174" s="509"/>
      <c r="T174" s="509"/>
      <c r="U174" s="509"/>
      <c r="V174" s="509"/>
      <c r="W174" s="509"/>
      <c r="X174" s="509"/>
      <c r="Y174" s="509"/>
      <c r="Z174" s="509"/>
      <c r="AA174" s="509"/>
      <c r="AB174" s="509"/>
      <c r="AC174" s="509"/>
      <c r="AD174" s="509"/>
      <c r="AE174" s="509"/>
      <c r="AF174" s="509"/>
      <c r="AG174" s="509"/>
      <c r="AH174" s="509"/>
    </row>
    <row r="175" spans="2:34">
      <c r="B175" s="509"/>
      <c r="C175" s="509"/>
      <c r="D175" s="509"/>
      <c r="E175" s="509"/>
      <c r="F175" s="509"/>
      <c r="G175" s="509"/>
      <c r="H175" s="509"/>
      <c r="I175" s="509"/>
      <c r="J175" s="509"/>
      <c r="K175" s="509"/>
      <c r="L175" s="509"/>
      <c r="M175" s="509"/>
      <c r="N175" s="509"/>
      <c r="O175" s="509"/>
      <c r="P175" s="509"/>
      <c r="Q175" s="509"/>
      <c r="R175" s="509"/>
      <c r="S175" s="509"/>
      <c r="T175" s="509"/>
      <c r="U175" s="509"/>
      <c r="V175" s="509"/>
      <c r="W175" s="509"/>
      <c r="X175" s="509"/>
      <c r="Y175" s="509"/>
      <c r="Z175" s="509"/>
      <c r="AA175" s="509"/>
      <c r="AB175" s="509"/>
      <c r="AC175" s="509"/>
      <c r="AD175" s="509"/>
      <c r="AE175" s="509"/>
      <c r="AF175" s="509"/>
      <c r="AG175" s="509"/>
      <c r="AH175" s="509"/>
    </row>
    <row r="176" spans="2:34">
      <c r="B176" s="509"/>
      <c r="C176" s="509"/>
      <c r="D176" s="509"/>
      <c r="E176" s="509"/>
      <c r="F176" s="509"/>
      <c r="G176" s="509"/>
      <c r="H176" s="509"/>
      <c r="I176" s="509"/>
      <c r="J176" s="509"/>
      <c r="K176" s="509"/>
      <c r="L176" s="509"/>
      <c r="M176" s="509"/>
      <c r="N176" s="509"/>
      <c r="O176" s="509"/>
      <c r="P176" s="509"/>
      <c r="Q176" s="509"/>
      <c r="R176" s="509"/>
      <c r="S176" s="509"/>
      <c r="T176" s="509"/>
      <c r="U176" s="509"/>
      <c r="V176" s="509"/>
      <c r="W176" s="509"/>
      <c r="X176" s="509"/>
      <c r="Y176" s="509"/>
      <c r="Z176" s="509"/>
      <c r="AA176" s="509"/>
      <c r="AB176" s="509"/>
      <c r="AC176" s="509"/>
      <c r="AD176" s="509"/>
      <c r="AE176" s="509"/>
      <c r="AF176" s="509"/>
      <c r="AG176" s="509"/>
      <c r="AH176" s="509"/>
    </row>
    <row r="177" spans="2:34">
      <c r="B177" s="509"/>
      <c r="C177" s="509"/>
      <c r="D177" s="509"/>
      <c r="E177" s="509"/>
      <c r="F177" s="509"/>
      <c r="G177" s="509"/>
      <c r="H177" s="509"/>
      <c r="I177" s="509"/>
      <c r="J177" s="509"/>
      <c r="K177" s="509"/>
      <c r="L177" s="509"/>
      <c r="M177" s="509"/>
      <c r="N177" s="509"/>
      <c r="O177" s="509"/>
      <c r="P177" s="509"/>
      <c r="Q177" s="509"/>
      <c r="R177" s="509"/>
      <c r="S177" s="509"/>
      <c r="T177" s="509"/>
      <c r="U177" s="509"/>
      <c r="V177" s="509"/>
      <c r="W177" s="509"/>
      <c r="X177" s="509"/>
      <c r="Y177" s="509"/>
      <c r="Z177" s="509"/>
      <c r="AA177" s="509"/>
      <c r="AB177" s="509"/>
      <c r="AC177" s="509"/>
      <c r="AD177" s="509"/>
      <c r="AE177" s="509"/>
      <c r="AF177" s="509"/>
      <c r="AG177" s="509"/>
      <c r="AH177" s="509"/>
    </row>
    <row r="178" spans="2:34">
      <c r="B178" s="509"/>
      <c r="C178" s="509"/>
      <c r="D178" s="509"/>
      <c r="E178" s="509"/>
      <c r="F178" s="509"/>
      <c r="G178" s="509"/>
      <c r="H178" s="509"/>
      <c r="I178" s="509"/>
      <c r="J178" s="509"/>
      <c r="K178" s="509"/>
      <c r="L178" s="509"/>
      <c r="M178" s="509"/>
      <c r="N178" s="509"/>
      <c r="O178" s="509"/>
      <c r="P178" s="509"/>
      <c r="Q178" s="509"/>
      <c r="R178" s="509"/>
      <c r="S178" s="509"/>
      <c r="T178" s="509"/>
      <c r="U178" s="509"/>
      <c r="V178" s="509"/>
      <c r="W178" s="509"/>
      <c r="X178" s="509"/>
      <c r="Y178" s="509"/>
      <c r="Z178" s="509"/>
      <c r="AA178" s="509"/>
      <c r="AB178" s="509"/>
      <c r="AC178" s="509"/>
      <c r="AD178" s="509"/>
      <c r="AE178" s="509"/>
      <c r="AF178" s="509"/>
      <c r="AG178" s="509"/>
      <c r="AH178" s="509"/>
    </row>
    <row r="179" spans="2:34">
      <c r="B179" s="509"/>
      <c r="C179" s="509"/>
      <c r="D179" s="509"/>
      <c r="E179" s="509"/>
      <c r="F179" s="509"/>
      <c r="G179" s="509"/>
      <c r="H179" s="509"/>
      <c r="I179" s="509"/>
      <c r="J179" s="509"/>
      <c r="K179" s="509"/>
      <c r="L179" s="509"/>
      <c r="M179" s="509"/>
      <c r="N179" s="509"/>
      <c r="O179" s="509"/>
      <c r="P179" s="509"/>
      <c r="Q179" s="509"/>
      <c r="R179" s="509"/>
      <c r="S179" s="509"/>
      <c r="T179" s="509"/>
      <c r="U179" s="509"/>
      <c r="V179" s="509"/>
      <c r="W179" s="509"/>
      <c r="X179" s="509"/>
      <c r="Y179" s="509"/>
      <c r="Z179" s="509"/>
      <c r="AA179" s="509"/>
      <c r="AB179" s="509"/>
      <c r="AC179" s="509"/>
      <c r="AD179" s="509"/>
      <c r="AE179" s="509"/>
      <c r="AF179" s="509"/>
      <c r="AG179" s="509"/>
      <c r="AH179" s="509"/>
    </row>
    <row r="180" spans="2:34">
      <c r="B180" s="509"/>
      <c r="C180" s="509"/>
      <c r="D180" s="509"/>
      <c r="E180" s="509"/>
      <c r="F180" s="509"/>
      <c r="G180" s="509"/>
      <c r="H180" s="509"/>
      <c r="I180" s="509"/>
      <c r="J180" s="509"/>
      <c r="K180" s="509"/>
      <c r="L180" s="509"/>
      <c r="M180" s="509"/>
      <c r="N180" s="509"/>
      <c r="O180" s="509"/>
      <c r="P180" s="509"/>
      <c r="Q180" s="509"/>
      <c r="R180" s="509"/>
      <c r="S180" s="509"/>
      <c r="T180" s="509"/>
      <c r="U180" s="509"/>
      <c r="V180" s="509"/>
      <c r="W180" s="509"/>
      <c r="X180" s="509"/>
      <c r="Y180" s="509"/>
      <c r="Z180" s="509"/>
      <c r="AA180" s="509"/>
      <c r="AB180" s="509"/>
      <c r="AC180" s="509"/>
      <c r="AD180" s="509"/>
      <c r="AE180" s="509"/>
      <c r="AF180" s="509"/>
      <c r="AG180" s="509"/>
      <c r="AH180" s="509"/>
    </row>
    <row r="181" spans="2:34">
      <c r="B181" s="509"/>
      <c r="C181" s="509"/>
      <c r="D181" s="509"/>
      <c r="E181" s="509"/>
      <c r="F181" s="509"/>
      <c r="G181" s="509"/>
      <c r="H181" s="509"/>
      <c r="I181" s="509"/>
      <c r="J181" s="509"/>
      <c r="K181" s="509"/>
      <c r="L181" s="509"/>
      <c r="M181" s="509"/>
      <c r="N181" s="509"/>
      <c r="O181" s="509"/>
      <c r="P181" s="509"/>
      <c r="Q181" s="509"/>
      <c r="R181" s="509"/>
      <c r="S181" s="509"/>
      <c r="T181" s="509"/>
      <c r="U181" s="509"/>
      <c r="V181" s="509"/>
      <c r="W181" s="509"/>
      <c r="X181" s="509"/>
      <c r="Y181" s="509"/>
      <c r="Z181" s="509"/>
      <c r="AA181" s="509"/>
      <c r="AB181" s="509"/>
      <c r="AC181" s="509"/>
      <c r="AD181" s="509"/>
      <c r="AE181" s="509"/>
      <c r="AF181" s="509"/>
      <c r="AG181" s="509"/>
      <c r="AH181" s="509"/>
    </row>
    <row r="182" spans="2:34">
      <c r="B182" s="509"/>
      <c r="C182" s="509"/>
      <c r="D182" s="509"/>
      <c r="E182" s="509"/>
      <c r="F182" s="509"/>
      <c r="G182" s="509"/>
      <c r="H182" s="509"/>
      <c r="I182" s="509"/>
      <c r="J182" s="509"/>
      <c r="K182" s="509"/>
      <c r="L182" s="509"/>
      <c r="M182" s="509"/>
      <c r="N182" s="509"/>
      <c r="O182" s="509"/>
      <c r="P182" s="509"/>
      <c r="Q182" s="509"/>
      <c r="R182" s="509"/>
      <c r="S182" s="509"/>
      <c r="T182" s="509"/>
      <c r="U182" s="509"/>
      <c r="V182" s="509"/>
      <c r="W182" s="509"/>
      <c r="X182" s="509"/>
      <c r="Y182" s="509"/>
      <c r="Z182" s="509"/>
      <c r="AA182" s="509"/>
      <c r="AB182" s="509"/>
      <c r="AC182" s="509"/>
      <c r="AD182" s="509"/>
      <c r="AE182" s="509"/>
      <c r="AF182" s="509"/>
      <c r="AG182" s="509"/>
      <c r="AH182" s="509"/>
    </row>
    <row r="183" spans="2:34">
      <c r="B183" s="509"/>
      <c r="C183" s="509"/>
      <c r="D183" s="509"/>
      <c r="E183" s="509"/>
      <c r="F183" s="509"/>
      <c r="G183" s="509"/>
      <c r="H183" s="509"/>
      <c r="I183" s="509"/>
      <c r="J183" s="509"/>
      <c r="K183" s="509"/>
      <c r="L183" s="509"/>
      <c r="M183" s="509"/>
      <c r="N183" s="509"/>
      <c r="O183" s="509"/>
      <c r="P183" s="509"/>
      <c r="Q183" s="509"/>
      <c r="R183" s="509"/>
      <c r="S183" s="509"/>
      <c r="T183" s="509"/>
      <c r="U183" s="509"/>
      <c r="V183" s="509"/>
      <c r="W183" s="509"/>
      <c r="X183" s="509"/>
      <c r="Y183" s="509"/>
      <c r="Z183" s="509"/>
      <c r="AA183" s="509"/>
      <c r="AB183" s="509"/>
      <c r="AC183" s="509"/>
      <c r="AD183" s="509"/>
      <c r="AE183" s="509"/>
      <c r="AF183" s="509"/>
      <c r="AG183" s="509"/>
      <c r="AH183" s="509"/>
    </row>
    <row r="184" spans="2:34">
      <c r="B184" s="509"/>
      <c r="C184" s="509"/>
      <c r="D184" s="509"/>
      <c r="E184" s="509"/>
      <c r="F184" s="509"/>
      <c r="G184" s="509"/>
      <c r="H184" s="509"/>
      <c r="I184" s="509"/>
      <c r="J184" s="509"/>
      <c r="K184" s="509"/>
      <c r="L184" s="509"/>
      <c r="M184" s="509"/>
      <c r="N184" s="509"/>
      <c r="O184" s="509"/>
      <c r="P184" s="509"/>
      <c r="Q184" s="509"/>
      <c r="R184" s="509"/>
      <c r="S184" s="509"/>
      <c r="T184" s="509"/>
      <c r="U184" s="509"/>
      <c r="V184" s="509"/>
      <c r="W184" s="509"/>
      <c r="X184" s="509"/>
      <c r="Y184" s="509"/>
      <c r="Z184" s="509"/>
      <c r="AA184" s="509"/>
      <c r="AB184" s="509"/>
      <c r="AC184" s="509"/>
      <c r="AD184" s="509"/>
      <c r="AE184" s="509"/>
      <c r="AF184" s="509"/>
      <c r="AG184" s="509"/>
      <c r="AH184" s="509"/>
    </row>
    <row r="185" spans="2:34">
      <c r="B185" s="509"/>
      <c r="C185" s="509"/>
      <c r="D185" s="509"/>
      <c r="E185" s="509"/>
      <c r="F185" s="509"/>
      <c r="G185" s="509"/>
      <c r="H185" s="509"/>
      <c r="I185" s="509"/>
      <c r="J185" s="509"/>
      <c r="K185" s="509"/>
      <c r="L185" s="509"/>
      <c r="M185" s="509"/>
      <c r="N185" s="509"/>
      <c r="O185" s="509"/>
      <c r="P185" s="509"/>
      <c r="Q185" s="509"/>
      <c r="R185" s="509"/>
      <c r="S185" s="509"/>
      <c r="T185" s="509"/>
      <c r="U185" s="509"/>
      <c r="V185" s="509"/>
      <c r="W185" s="509"/>
      <c r="X185" s="509"/>
      <c r="Y185" s="509"/>
      <c r="Z185" s="509"/>
      <c r="AA185" s="509"/>
      <c r="AB185" s="509"/>
      <c r="AC185" s="509"/>
      <c r="AD185" s="509"/>
      <c r="AE185" s="509"/>
      <c r="AF185" s="509"/>
      <c r="AG185" s="509"/>
      <c r="AH185" s="509"/>
    </row>
    <row r="186" spans="2:34">
      <c r="B186" s="509"/>
      <c r="C186" s="509"/>
      <c r="D186" s="509"/>
      <c r="E186" s="509"/>
      <c r="F186" s="509"/>
      <c r="G186" s="509"/>
      <c r="H186" s="509"/>
      <c r="I186" s="509"/>
      <c r="J186" s="509"/>
      <c r="K186" s="509"/>
      <c r="L186" s="509"/>
      <c r="M186" s="509"/>
      <c r="N186" s="509"/>
      <c r="O186" s="509"/>
      <c r="P186" s="509"/>
      <c r="Q186" s="509"/>
      <c r="R186" s="509"/>
      <c r="S186" s="509"/>
      <c r="T186" s="509"/>
      <c r="U186" s="509"/>
      <c r="V186" s="509"/>
      <c r="W186" s="509"/>
      <c r="X186" s="509"/>
      <c r="Y186" s="509"/>
      <c r="Z186" s="509"/>
      <c r="AA186" s="509"/>
      <c r="AB186" s="509"/>
      <c r="AC186" s="509"/>
      <c r="AD186" s="509"/>
      <c r="AE186" s="509"/>
      <c r="AF186" s="509"/>
      <c r="AG186" s="509"/>
      <c r="AH186" s="509"/>
    </row>
    <row r="187" spans="2:34">
      <c r="B187" s="509"/>
      <c r="C187" s="509"/>
      <c r="D187" s="509"/>
      <c r="E187" s="509"/>
      <c r="F187" s="509"/>
      <c r="G187" s="509"/>
      <c r="H187" s="509"/>
      <c r="I187" s="509"/>
      <c r="J187" s="509"/>
      <c r="K187" s="509"/>
      <c r="L187" s="509"/>
      <c r="M187" s="509"/>
      <c r="N187" s="509"/>
      <c r="O187" s="509"/>
      <c r="P187" s="509"/>
      <c r="Q187" s="509"/>
      <c r="R187" s="509"/>
      <c r="S187" s="509"/>
      <c r="T187" s="509"/>
      <c r="U187" s="509"/>
      <c r="V187" s="509"/>
      <c r="W187" s="509"/>
      <c r="X187" s="509"/>
      <c r="Y187" s="509"/>
      <c r="Z187" s="509"/>
      <c r="AA187" s="509"/>
      <c r="AB187" s="509"/>
      <c r="AC187" s="509"/>
      <c r="AD187" s="509"/>
      <c r="AE187" s="509"/>
      <c r="AF187" s="509"/>
      <c r="AG187" s="509"/>
      <c r="AH187" s="509"/>
    </row>
    <row r="188" spans="2:34">
      <c r="B188" s="509"/>
      <c r="C188" s="509"/>
      <c r="D188" s="509"/>
      <c r="E188" s="509"/>
      <c r="F188" s="509"/>
      <c r="G188" s="509"/>
      <c r="H188" s="509"/>
      <c r="I188" s="509"/>
      <c r="J188" s="509"/>
      <c r="K188" s="509"/>
      <c r="L188" s="509"/>
      <c r="M188" s="509"/>
      <c r="N188" s="509"/>
      <c r="O188" s="509"/>
      <c r="P188" s="509"/>
      <c r="Q188" s="509"/>
      <c r="R188" s="509"/>
      <c r="S188" s="509"/>
      <c r="T188" s="509"/>
      <c r="U188" s="509"/>
      <c r="V188" s="509"/>
      <c r="W188" s="509"/>
      <c r="X188" s="509"/>
      <c r="Y188" s="509"/>
      <c r="Z188" s="509"/>
      <c r="AA188" s="509"/>
      <c r="AB188" s="509"/>
      <c r="AC188" s="509"/>
      <c r="AD188" s="509"/>
      <c r="AE188" s="509"/>
      <c r="AF188" s="509"/>
      <c r="AG188" s="509"/>
      <c r="AH188" s="509"/>
    </row>
    <row r="189" spans="2:34">
      <c r="B189" s="509"/>
      <c r="C189" s="509"/>
      <c r="D189" s="509"/>
      <c r="E189" s="509"/>
      <c r="F189" s="509"/>
      <c r="G189" s="509"/>
      <c r="H189" s="509"/>
      <c r="I189" s="509"/>
      <c r="J189" s="509"/>
      <c r="K189" s="509"/>
      <c r="L189" s="509"/>
      <c r="M189" s="509"/>
      <c r="N189" s="509"/>
      <c r="O189" s="509"/>
      <c r="P189" s="509"/>
      <c r="Q189" s="509"/>
      <c r="R189" s="509"/>
      <c r="S189" s="509"/>
      <c r="T189" s="509"/>
      <c r="U189" s="509"/>
      <c r="V189" s="509"/>
      <c r="W189" s="509"/>
      <c r="X189" s="509"/>
      <c r="Y189" s="509"/>
      <c r="Z189" s="509"/>
      <c r="AA189" s="509"/>
      <c r="AB189" s="509"/>
      <c r="AC189" s="509"/>
      <c r="AD189" s="509"/>
      <c r="AE189" s="509"/>
      <c r="AF189" s="509"/>
      <c r="AG189" s="509"/>
      <c r="AH189" s="509"/>
    </row>
    <row r="190" spans="2:34">
      <c r="B190" s="509"/>
      <c r="C190" s="509"/>
      <c r="D190" s="509"/>
      <c r="E190" s="509"/>
      <c r="F190" s="509"/>
      <c r="G190" s="509"/>
      <c r="H190" s="509"/>
      <c r="I190" s="509"/>
      <c r="J190" s="509"/>
      <c r="K190" s="509"/>
      <c r="L190" s="509"/>
      <c r="M190" s="509"/>
      <c r="N190" s="509"/>
      <c r="O190" s="509"/>
      <c r="P190" s="509"/>
      <c r="Q190" s="509"/>
      <c r="R190" s="509"/>
      <c r="S190" s="509"/>
      <c r="T190" s="509"/>
      <c r="U190" s="509"/>
      <c r="V190" s="509"/>
      <c r="W190" s="509"/>
      <c r="X190" s="509"/>
      <c r="Y190" s="509"/>
      <c r="Z190" s="509"/>
      <c r="AA190" s="509"/>
      <c r="AB190" s="509"/>
      <c r="AC190" s="509"/>
      <c r="AD190" s="509"/>
      <c r="AE190" s="509"/>
      <c r="AF190" s="509"/>
      <c r="AG190" s="509"/>
      <c r="AH190" s="509"/>
    </row>
    <row r="191" spans="2:34">
      <c r="B191" s="509"/>
      <c r="C191" s="509"/>
      <c r="D191" s="509"/>
      <c r="E191" s="509"/>
      <c r="F191" s="509"/>
      <c r="G191" s="509"/>
      <c r="H191" s="509"/>
      <c r="I191" s="509"/>
      <c r="J191" s="509"/>
      <c r="K191" s="509"/>
      <c r="L191" s="509"/>
      <c r="M191" s="509"/>
      <c r="N191" s="509"/>
      <c r="O191" s="509"/>
      <c r="P191" s="509"/>
      <c r="Q191" s="509"/>
      <c r="R191" s="509"/>
      <c r="S191" s="509"/>
      <c r="T191" s="509"/>
      <c r="U191" s="509"/>
      <c r="V191" s="509"/>
      <c r="W191" s="509"/>
      <c r="X191" s="509"/>
      <c r="Y191" s="509"/>
      <c r="Z191" s="509"/>
      <c r="AA191" s="509"/>
      <c r="AB191" s="509"/>
      <c r="AC191" s="509"/>
      <c r="AD191" s="509"/>
      <c r="AE191" s="509"/>
      <c r="AF191" s="509"/>
      <c r="AG191" s="509"/>
      <c r="AH191" s="509"/>
    </row>
    <row r="192" spans="2:34">
      <c r="B192" s="509"/>
      <c r="C192" s="509"/>
      <c r="D192" s="509"/>
      <c r="E192" s="509"/>
      <c r="F192" s="509"/>
      <c r="G192" s="509"/>
      <c r="H192" s="509"/>
      <c r="I192" s="509"/>
      <c r="J192" s="509"/>
      <c r="K192" s="509"/>
      <c r="L192" s="509"/>
      <c r="M192" s="509"/>
      <c r="N192" s="509"/>
      <c r="O192" s="509"/>
      <c r="P192" s="509"/>
      <c r="Q192" s="509"/>
      <c r="R192" s="509"/>
      <c r="S192" s="509"/>
      <c r="T192" s="509"/>
      <c r="U192" s="509"/>
      <c r="V192" s="509"/>
      <c r="W192" s="509"/>
      <c r="X192" s="509"/>
      <c r="Y192" s="509"/>
      <c r="Z192" s="509"/>
      <c r="AA192" s="509"/>
      <c r="AB192" s="509"/>
      <c r="AC192" s="509"/>
      <c r="AD192" s="509"/>
      <c r="AE192" s="509"/>
      <c r="AF192" s="509"/>
      <c r="AG192" s="509"/>
      <c r="AH192" s="509"/>
    </row>
    <row r="193" spans="2:34">
      <c r="B193" s="509"/>
      <c r="C193" s="509"/>
      <c r="D193" s="509"/>
      <c r="E193" s="509"/>
      <c r="F193" s="509"/>
      <c r="G193" s="509"/>
      <c r="H193" s="509"/>
      <c r="I193" s="509"/>
      <c r="J193" s="509"/>
      <c r="K193" s="509"/>
      <c r="L193" s="509"/>
      <c r="M193" s="509"/>
      <c r="N193" s="509"/>
      <c r="O193" s="509"/>
      <c r="P193" s="509"/>
      <c r="Q193" s="509"/>
      <c r="R193" s="509"/>
      <c r="S193" s="509"/>
      <c r="T193" s="509"/>
      <c r="U193" s="509"/>
      <c r="V193" s="509"/>
      <c r="W193" s="509"/>
      <c r="X193" s="509"/>
      <c r="Y193" s="509"/>
      <c r="Z193" s="509"/>
      <c r="AA193" s="509"/>
      <c r="AB193" s="509"/>
      <c r="AC193" s="509"/>
      <c r="AD193" s="509"/>
      <c r="AE193" s="509"/>
      <c r="AF193" s="509"/>
      <c r="AG193" s="509"/>
      <c r="AH193" s="509"/>
    </row>
    <row r="194" spans="2:34">
      <c r="B194" s="509"/>
      <c r="C194" s="509"/>
      <c r="D194" s="509"/>
      <c r="E194" s="509"/>
      <c r="F194" s="509"/>
      <c r="G194" s="509"/>
      <c r="H194" s="509"/>
      <c r="I194" s="509"/>
      <c r="J194" s="509"/>
      <c r="K194" s="509"/>
      <c r="L194" s="509"/>
      <c r="M194" s="509"/>
      <c r="N194" s="509"/>
      <c r="O194" s="509"/>
      <c r="P194" s="509"/>
      <c r="Q194" s="509"/>
      <c r="R194" s="509"/>
      <c r="S194" s="509"/>
      <c r="T194" s="509"/>
      <c r="U194" s="509"/>
      <c r="V194" s="509"/>
      <c r="W194" s="509"/>
      <c r="X194" s="509"/>
      <c r="Y194" s="509"/>
      <c r="Z194" s="509"/>
      <c r="AA194" s="509"/>
      <c r="AB194" s="509"/>
      <c r="AC194" s="509"/>
      <c r="AD194" s="509"/>
      <c r="AE194" s="509"/>
      <c r="AF194" s="509"/>
      <c r="AG194" s="509"/>
      <c r="AH194" s="509"/>
    </row>
    <row r="195" spans="2:34">
      <c r="B195" s="509"/>
      <c r="C195" s="509"/>
      <c r="D195" s="509"/>
      <c r="E195" s="509"/>
      <c r="F195" s="509"/>
      <c r="G195" s="509"/>
      <c r="H195" s="509"/>
      <c r="I195" s="509"/>
      <c r="J195" s="509"/>
      <c r="K195" s="509"/>
      <c r="L195" s="509"/>
      <c r="M195" s="509"/>
      <c r="N195" s="509"/>
      <c r="O195" s="509"/>
      <c r="P195" s="509"/>
      <c r="Q195" s="509"/>
      <c r="R195" s="509"/>
      <c r="S195" s="509"/>
      <c r="T195" s="509"/>
      <c r="U195" s="509"/>
      <c r="V195" s="509"/>
      <c r="W195" s="509"/>
      <c r="X195" s="509"/>
      <c r="Y195" s="509"/>
      <c r="Z195" s="509"/>
      <c r="AA195" s="509"/>
      <c r="AB195" s="509"/>
      <c r="AC195" s="509"/>
      <c r="AD195" s="509"/>
      <c r="AE195" s="509"/>
      <c r="AF195" s="509"/>
      <c r="AG195" s="509"/>
      <c r="AH195" s="509"/>
    </row>
    <row r="196" spans="2:34">
      <c r="B196" s="509"/>
      <c r="C196" s="509"/>
      <c r="D196" s="509"/>
      <c r="E196" s="509"/>
      <c r="F196" s="509"/>
      <c r="G196" s="509"/>
      <c r="H196" s="509"/>
      <c r="I196" s="509"/>
      <c r="J196" s="509"/>
      <c r="K196" s="509"/>
      <c r="L196" s="509"/>
      <c r="M196" s="509"/>
      <c r="N196" s="509"/>
      <c r="O196" s="509"/>
      <c r="P196" s="509"/>
      <c r="Q196" s="509"/>
      <c r="R196" s="509"/>
      <c r="S196" s="509"/>
      <c r="T196" s="509"/>
      <c r="U196" s="509"/>
      <c r="V196" s="509"/>
      <c r="W196" s="509"/>
      <c r="X196" s="509"/>
      <c r="Y196" s="509"/>
      <c r="Z196" s="509"/>
      <c r="AA196" s="509"/>
      <c r="AB196" s="509"/>
      <c r="AC196" s="509"/>
      <c r="AD196" s="509"/>
      <c r="AE196" s="509"/>
      <c r="AF196" s="509"/>
      <c r="AG196" s="509"/>
      <c r="AH196" s="509"/>
    </row>
    <row r="197" spans="2:34">
      <c r="B197" s="509"/>
      <c r="C197" s="509"/>
      <c r="D197" s="509"/>
      <c r="E197" s="509"/>
      <c r="F197" s="509"/>
      <c r="G197" s="509"/>
      <c r="H197" s="509"/>
      <c r="I197" s="509"/>
      <c r="J197" s="509"/>
      <c r="K197" s="509"/>
      <c r="L197" s="509"/>
      <c r="M197" s="509"/>
      <c r="N197" s="509"/>
      <c r="O197" s="509"/>
      <c r="P197" s="509"/>
      <c r="Q197" s="509"/>
      <c r="R197" s="509"/>
      <c r="S197" s="509"/>
      <c r="T197" s="509"/>
      <c r="U197" s="509"/>
      <c r="V197" s="509"/>
      <c r="W197" s="509"/>
      <c r="X197" s="509"/>
      <c r="Y197" s="509"/>
      <c r="Z197" s="509"/>
      <c r="AA197" s="509"/>
      <c r="AB197" s="509"/>
      <c r="AC197" s="509"/>
      <c r="AD197" s="509"/>
      <c r="AE197" s="509"/>
      <c r="AF197" s="509"/>
      <c r="AG197" s="509"/>
      <c r="AH197" s="509"/>
    </row>
    <row r="198" spans="2:34">
      <c r="B198" s="509"/>
      <c r="C198" s="509"/>
      <c r="D198" s="509"/>
      <c r="E198" s="509"/>
      <c r="F198" s="509"/>
      <c r="G198" s="509"/>
      <c r="H198" s="509"/>
      <c r="I198" s="509"/>
      <c r="J198" s="509"/>
      <c r="K198" s="509"/>
      <c r="L198" s="509"/>
      <c r="M198" s="509"/>
      <c r="N198" s="509"/>
      <c r="O198" s="509"/>
      <c r="P198" s="509"/>
      <c r="Q198" s="509"/>
      <c r="R198" s="509"/>
      <c r="S198" s="509"/>
      <c r="T198" s="509"/>
      <c r="U198" s="509"/>
      <c r="V198" s="509"/>
      <c r="W198" s="509"/>
      <c r="X198" s="509"/>
      <c r="Y198" s="509"/>
      <c r="Z198" s="509"/>
      <c r="AA198" s="509"/>
      <c r="AB198" s="509"/>
      <c r="AC198" s="509"/>
      <c r="AD198" s="509"/>
      <c r="AE198" s="509"/>
      <c r="AF198" s="509"/>
      <c r="AG198" s="509"/>
      <c r="AH198" s="509"/>
    </row>
    <row r="199" spans="2:34">
      <c r="B199" s="509"/>
      <c r="C199" s="509"/>
      <c r="D199" s="509"/>
      <c r="E199" s="509"/>
      <c r="F199" s="509"/>
      <c r="G199" s="509"/>
      <c r="H199" s="509"/>
      <c r="I199" s="509"/>
      <c r="J199" s="509"/>
      <c r="K199" s="509"/>
      <c r="L199" s="509"/>
      <c r="M199" s="509"/>
      <c r="N199" s="509"/>
      <c r="O199" s="509"/>
      <c r="P199" s="509"/>
      <c r="Q199" s="509"/>
      <c r="R199" s="509"/>
      <c r="S199" s="509"/>
      <c r="T199" s="509"/>
      <c r="U199" s="509"/>
      <c r="V199" s="509"/>
      <c r="W199" s="509"/>
      <c r="X199" s="509"/>
      <c r="Y199" s="509"/>
      <c r="Z199" s="509"/>
      <c r="AA199" s="509"/>
      <c r="AB199" s="509"/>
      <c r="AC199" s="509"/>
      <c r="AD199" s="509"/>
      <c r="AE199" s="509"/>
      <c r="AF199" s="509"/>
      <c r="AG199" s="509"/>
      <c r="AH199" s="509"/>
    </row>
    <row r="200" spans="2:34">
      <c r="B200" s="509"/>
      <c r="C200" s="509"/>
      <c r="D200" s="509"/>
      <c r="E200" s="509"/>
      <c r="F200" s="509"/>
      <c r="G200" s="509"/>
      <c r="H200" s="509"/>
      <c r="I200" s="509"/>
      <c r="J200" s="509"/>
      <c r="K200" s="509"/>
      <c r="L200" s="509"/>
      <c r="M200" s="509"/>
      <c r="N200" s="509"/>
      <c r="O200" s="509"/>
      <c r="P200" s="509"/>
      <c r="Q200" s="509"/>
      <c r="R200" s="509"/>
      <c r="S200" s="509"/>
      <c r="T200" s="509"/>
      <c r="U200" s="509"/>
      <c r="V200" s="509"/>
      <c r="W200" s="509"/>
      <c r="X200" s="509"/>
      <c r="Y200" s="509"/>
      <c r="Z200" s="509"/>
      <c r="AA200" s="509"/>
      <c r="AB200" s="509"/>
      <c r="AC200" s="509"/>
      <c r="AD200" s="509"/>
      <c r="AE200" s="509"/>
      <c r="AF200" s="509"/>
      <c r="AG200" s="509"/>
      <c r="AH200" s="509"/>
    </row>
    <row r="201" spans="2:34">
      <c r="B201" s="509"/>
      <c r="C201" s="509"/>
      <c r="D201" s="509"/>
      <c r="E201" s="509"/>
      <c r="F201" s="509"/>
      <c r="G201" s="509"/>
      <c r="H201" s="509"/>
      <c r="I201" s="509"/>
      <c r="J201" s="509"/>
      <c r="K201" s="509"/>
      <c r="L201" s="509"/>
      <c r="M201" s="509"/>
      <c r="N201" s="509"/>
      <c r="O201" s="509"/>
      <c r="P201" s="509"/>
      <c r="Q201" s="509"/>
      <c r="R201" s="509"/>
      <c r="S201" s="509"/>
      <c r="T201" s="509"/>
      <c r="U201" s="509"/>
      <c r="V201" s="509"/>
      <c r="W201" s="509"/>
      <c r="X201" s="509"/>
      <c r="Y201" s="509"/>
      <c r="Z201" s="509"/>
      <c r="AA201" s="509"/>
      <c r="AB201" s="509"/>
      <c r="AC201" s="509"/>
      <c r="AD201" s="509"/>
      <c r="AE201" s="509"/>
      <c r="AF201" s="509"/>
      <c r="AG201" s="509"/>
      <c r="AH201" s="509"/>
    </row>
    <row r="202" spans="2:34">
      <c r="B202" s="509"/>
      <c r="C202" s="509"/>
      <c r="D202" s="509"/>
      <c r="E202" s="509"/>
      <c r="F202" s="509"/>
      <c r="G202" s="509"/>
      <c r="H202" s="509"/>
      <c r="I202" s="509"/>
      <c r="J202" s="509"/>
      <c r="K202" s="509"/>
      <c r="L202" s="509"/>
      <c r="M202" s="509"/>
      <c r="N202" s="509"/>
      <c r="O202" s="509"/>
      <c r="P202" s="509"/>
      <c r="Q202" s="509"/>
      <c r="R202" s="509"/>
      <c r="S202" s="509"/>
      <c r="T202" s="509"/>
      <c r="U202" s="509"/>
      <c r="V202" s="509"/>
      <c r="W202" s="509"/>
      <c r="X202" s="509"/>
      <c r="Y202" s="509"/>
      <c r="Z202" s="509"/>
      <c r="AA202" s="509"/>
      <c r="AB202" s="509"/>
      <c r="AC202" s="509"/>
      <c r="AD202" s="509"/>
      <c r="AE202" s="509"/>
      <c r="AF202" s="509"/>
      <c r="AG202" s="509"/>
      <c r="AH202" s="509"/>
    </row>
    <row r="203" spans="2:34">
      <c r="B203" s="509"/>
      <c r="C203" s="509"/>
      <c r="D203" s="509"/>
      <c r="E203" s="509"/>
      <c r="F203" s="509"/>
      <c r="G203" s="509"/>
      <c r="H203" s="509"/>
      <c r="I203" s="509"/>
      <c r="J203" s="509"/>
      <c r="K203" s="509"/>
      <c r="L203" s="509"/>
      <c r="M203" s="509"/>
      <c r="N203" s="509"/>
      <c r="O203" s="509"/>
      <c r="P203" s="509"/>
      <c r="Q203" s="509"/>
      <c r="R203" s="509"/>
      <c r="S203" s="509"/>
      <c r="T203" s="509"/>
      <c r="U203" s="509"/>
      <c r="V203" s="509"/>
      <c r="W203" s="509"/>
      <c r="X203" s="509"/>
      <c r="Y203" s="509"/>
      <c r="Z203" s="509"/>
      <c r="AA203" s="509"/>
      <c r="AB203" s="509"/>
      <c r="AC203" s="509"/>
      <c r="AD203" s="509"/>
      <c r="AE203" s="509"/>
      <c r="AF203" s="509"/>
      <c r="AG203" s="509"/>
      <c r="AH203" s="509"/>
    </row>
    <row r="204" spans="2:34">
      <c r="B204" s="509"/>
      <c r="C204" s="509"/>
      <c r="D204" s="509"/>
      <c r="E204" s="509"/>
      <c r="F204" s="509"/>
      <c r="G204" s="509"/>
      <c r="H204" s="509"/>
      <c r="I204" s="509"/>
      <c r="J204" s="509"/>
      <c r="K204" s="509"/>
      <c r="L204" s="509"/>
      <c r="M204" s="509"/>
      <c r="N204" s="509"/>
      <c r="O204" s="509"/>
      <c r="P204" s="509"/>
      <c r="Q204" s="509"/>
      <c r="R204" s="509"/>
      <c r="S204" s="509"/>
      <c r="T204" s="509"/>
      <c r="U204" s="509"/>
      <c r="V204" s="509"/>
      <c r="W204" s="509"/>
      <c r="X204" s="509"/>
      <c r="Y204" s="509"/>
      <c r="Z204" s="509"/>
      <c r="AA204" s="509"/>
      <c r="AB204" s="509"/>
      <c r="AC204" s="509"/>
      <c r="AD204" s="509"/>
      <c r="AE204" s="509"/>
      <c r="AF204" s="509"/>
      <c r="AG204" s="509"/>
      <c r="AH204" s="509"/>
    </row>
    <row r="205" spans="2:34">
      <c r="B205" s="509"/>
      <c r="C205" s="509"/>
      <c r="D205" s="509"/>
      <c r="E205" s="509"/>
      <c r="F205" s="509"/>
      <c r="G205" s="509"/>
      <c r="H205" s="509"/>
      <c r="I205" s="509"/>
      <c r="J205" s="509"/>
      <c r="K205" s="509"/>
      <c r="L205" s="509"/>
      <c r="M205" s="509"/>
      <c r="N205" s="509"/>
      <c r="O205" s="509"/>
      <c r="P205" s="509"/>
      <c r="Q205" s="509"/>
      <c r="R205" s="509"/>
      <c r="S205" s="509"/>
      <c r="T205" s="509"/>
      <c r="U205" s="509"/>
      <c r="V205" s="509"/>
      <c r="W205" s="509"/>
      <c r="X205" s="509"/>
      <c r="Y205" s="509"/>
      <c r="Z205" s="509"/>
      <c r="AA205" s="509"/>
      <c r="AB205" s="509"/>
      <c r="AC205" s="509"/>
      <c r="AD205" s="509"/>
      <c r="AE205" s="509"/>
      <c r="AF205" s="509"/>
      <c r="AG205" s="509"/>
      <c r="AH205" s="509"/>
    </row>
    <row r="206" spans="2:34">
      <c r="B206" s="509"/>
      <c r="C206" s="509"/>
      <c r="D206" s="509"/>
      <c r="E206" s="509"/>
      <c r="F206" s="509"/>
      <c r="G206" s="509"/>
      <c r="H206" s="509"/>
      <c r="I206" s="509"/>
      <c r="J206" s="509"/>
      <c r="K206" s="509"/>
      <c r="L206" s="509"/>
      <c r="M206" s="509"/>
      <c r="N206" s="509"/>
      <c r="O206" s="509"/>
      <c r="P206" s="509"/>
      <c r="Q206" s="509"/>
      <c r="R206" s="509"/>
      <c r="S206" s="509"/>
      <c r="T206" s="509"/>
      <c r="U206" s="509"/>
      <c r="V206" s="509"/>
      <c r="W206" s="509"/>
      <c r="X206" s="509"/>
      <c r="Y206" s="509"/>
      <c r="Z206" s="509"/>
      <c r="AA206" s="509"/>
      <c r="AB206" s="509"/>
      <c r="AC206" s="509"/>
      <c r="AD206" s="509"/>
      <c r="AE206" s="509"/>
      <c r="AF206" s="509"/>
      <c r="AG206" s="509"/>
      <c r="AH206" s="509"/>
    </row>
    <row r="207" spans="2:34">
      <c r="B207" s="509"/>
      <c r="C207" s="509"/>
      <c r="D207" s="509"/>
      <c r="E207" s="509"/>
      <c r="F207" s="509"/>
      <c r="G207" s="509"/>
      <c r="H207" s="509"/>
      <c r="I207" s="509"/>
      <c r="J207" s="509"/>
      <c r="K207" s="509"/>
      <c r="L207" s="509"/>
      <c r="M207" s="509"/>
      <c r="N207" s="509"/>
      <c r="O207" s="509"/>
      <c r="P207" s="509"/>
      <c r="Q207" s="509"/>
      <c r="R207" s="509"/>
      <c r="S207" s="509"/>
      <c r="T207" s="509"/>
      <c r="U207" s="509"/>
      <c r="V207" s="509"/>
      <c r="W207" s="509"/>
      <c r="X207" s="509"/>
      <c r="Y207" s="509"/>
      <c r="Z207" s="509"/>
      <c r="AA207" s="509"/>
      <c r="AB207" s="509"/>
      <c r="AC207" s="509"/>
      <c r="AD207" s="509"/>
      <c r="AE207" s="509"/>
      <c r="AF207" s="509"/>
      <c r="AG207" s="509"/>
      <c r="AH207" s="509"/>
    </row>
    <row r="208" spans="2:34">
      <c r="B208" s="509"/>
      <c r="C208" s="509"/>
      <c r="D208" s="509"/>
      <c r="E208" s="509"/>
      <c r="F208" s="509"/>
      <c r="G208" s="509"/>
      <c r="H208" s="509"/>
      <c r="I208" s="509"/>
      <c r="J208" s="509"/>
      <c r="K208" s="509"/>
      <c r="L208" s="509"/>
      <c r="M208" s="509"/>
      <c r="N208" s="509"/>
      <c r="O208" s="509"/>
      <c r="P208" s="509"/>
      <c r="Q208" s="509"/>
      <c r="R208" s="509"/>
      <c r="S208" s="509"/>
      <c r="T208" s="509"/>
      <c r="U208" s="509"/>
      <c r="V208" s="509"/>
      <c r="W208" s="509"/>
      <c r="X208" s="509"/>
      <c r="Y208" s="509"/>
      <c r="Z208" s="509"/>
      <c r="AA208" s="509"/>
      <c r="AB208" s="509"/>
      <c r="AC208" s="509"/>
      <c r="AD208" s="509"/>
      <c r="AE208" s="509"/>
      <c r="AF208" s="509"/>
      <c r="AG208" s="509"/>
      <c r="AH208" s="509"/>
    </row>
    <row r="209" spans="2:34">
      <c r="B209" s="509"/>
      <c r="C209" s="509"/>
      <c r="D209" s="509"/>
      <c r="E209" s="509"/>
      <c r="F209" s="509"/>
      <c r="G209" s="509"/>
      <c r="H209" s="509"/>
      <c r="I209" s="509"/>
      <c r="J209" s="509"/>
      <c r="K209" s="509"/>
      <c r="L209" s="509"/>
      <c r="M209" s="509"/>
      <c r="N209" s="509"/>
      <c r="O209" s="509"/>
      <c r="P209" s="509"/>
      <c r="Q209" s="509"/>
      <c r="R209" s="509"/>
      <c r="S209" s="509"/>
      <c r="T209" s="509"/>
      <c r="U209" s="509"/>
      <c r="V209" s="509"/>
      <c r="W209" s="509"/>
      <c r="X209" s="509"/>
      <c r="Y209" s="509"/>
      <c r="Z209" s="509"/>
      <c r="AA209" s="509"/>
      <c r="AB209" s="509"/>
      <c r="AC209" s="509"/>
      <c r="AD209" s="509"/>
      <c r="AE209" s="509"/>
      <c r="AF209" s="509"/>
      <c r="AG209" s="509"/>
      <c r="AH209" s="509"/>
    </row>
    <row r="210" spans="2:34">
      <c r="B210" s="509"/>
      <c r="C210" s="509"/>
      <c r="D210" s="509"/>
      <c r="E210" s="509"/>
      <c r="F210" s="509"/>
      <c r="G210" s="509"/>
      <c r="H210" s="509"/>
      <c r="I210" s="509"/>
      <c r="J210" s="509"/>
      <c r="K210" s="509"/>
      <c r="L210" s="509"/>
      <c r="M210" s="509"/>
      <c r="N210" s="509"/>
      <c r="O210" s="509"/>
      <c r="P210" s="509"/>
      <c r="Q210" s="509"/>
      <c r="R210" s="509"/>
      <c r="S210" s="509"/>
      <c r="T210" s="509"/>
      <c r="U210" s="509"/>
      <c r="V210" s="509"/>
      <c r="W210" s="509"/>
      <c r="X210" s="509"/>
      <c r="Y210" s="509"/>
      <c r="Z210" s="509"/>
      <c r="AA210" s="509"/>
      <c r="AB210" s="509"/>
      <c r="AC210" s="509"/>
      <c r="AD210" s="509"/>
      <c r="AE210" s="509"/>
      <c r="AF210" s="509"/>
      <c r="AG210" s="509"/>
      <c r="AH210" s="509"/>
    </row>
    <row r="211" spans="2:34">
      <c r="B211" s="509"/>
      <c r="C211" s="509"/>
      <c r="D211" s="509"/>
      <c r="E211" s="509"/>
      <c r="F211" s="509"/>
      <c r="G211" s="509"/>
      <c r="H211" s="509"/>
      <c r="I211" s="509"/>
      <c r="J211" s="509"/>
      <c r="K211" s="509"/>
      <c r="L211" s="509"/>
      <c r="M211" s="509"/>
      <c r="N211" s="509"/>
      <c r="O211" s="509"/>
      <c r="P211" s="509"/>
      <c r="Q211" s="509"/>
      <c r="R211" s="509"/>
      <c r="S211" s="509"/>
      <c r="T211" s="509"/>
      <c r="U211" s="509"/>
      <c r="V211" s="509"/>
      <c r="W211" s="509"/>
      <c r="X211" s="509"/>
      <c r="Y211" s="509"/>
      <c r="Z211" s="509"/>
      <c r="AA211" s="509"/>
      <c r="AB211" s="509"/>
      <c r="AC211" s="509"/>
      <c r="AD211" s="509"/>
      <c r="AE211" s="509"/>
      <c r="AF211" s="509"/>
      <c r="AG211" s="509"/>
      <c r="AH211" s="509"/>
    </row>
    <row r="212" spans="2:34">
      <c r="B212" s="509"/>
      <c r="C212" s="509"/>
      <c r="D212" s="509"/>
      <c r="E212" s="509"/>
      <c r="F212" s="509"/>
      <c r="G212" s="509"/>
      <c r="H212" s="509"/>
      <c r="I212" s="509"/>
      <c r="J212" s="509"/>
      <c r="K212" s="509"/>
      <c r="L212" s="509"/>
      <c r="M212" s="509"/>
      <c r="N212" s="509"/>
      <c r="O212" s="509"/>
      <c r="P212" s="509"/>
      <c r="Q212" s="509"/>
      <c r="R212" s="509"/>
      <c r="S212" s="509"/>
      <c r="T212" s="509"/>
      <c r="U212" s="509"/>
      <c r="V212" s="509"/>
      <c r="W212" s="509"/>
      <c r="X212" s="509"/>
      <c r="Y212" s="509"/>
      <c r="Z212" s="509"/>
      <c r="AA212" s="509"/>
      <c r="AB212" s="509"/>
      <c r="AC212" s="509"/>
      <c r="AD212" s="509"/>
      <c r="AE212" s="509"/>
      <c r="AF212" s="509"/>
      <c r="AG212" s="509"/>
      <c r="AH212" s="509"/>
    </row>
    <row r="213" spans="2:34">
      <c r="B213" s="509"/>
      <c r="C213" s="509"/>
      <c r="D213" s="509"/>
      <c r="E213" s="509"/>
      <c r="F213" s="509"/>
      <c r="G213" s="509"/>
      <c r="H213" s="509"/>
      <c r="I213" s="509"/>
      <c r="J213" s="509"/>
      <c r="K213" s="509"/>
      <c r="L213" s="509"/>
      <c r="M213" s="509"/>
      <c r="N213" s="509"/>
      <c r="O213" s="509"/>
      <c r="P213" s="509"/>
      <c r="Q213" s="509"/>
      <c r="R213" s="509"/>
      <c r="S213" s="509"/>
      <c r="T213" s="509"/>
      <c r="U213" s="509"/>
      <c r="V213" s="509"/>
      <c r="W213" s="509"/>
      <c r="X213" s="509"/>
      <c r="Y213" s="509"/>
      <c r="Z213" s="509"/>
      <c r="AA213" s="509"/>
      <c r="AB213" s="509"/>
      <c r="AC213" s="509"/>
      <c r="AD213" s="509"/>
      <c r="AE213" s="509"/>
      <c r="AF213" s="509"/>
      <c r="AG213" s="509"/>
      <c r="AH213" s="509"/>
    </row>
    <row r="214" spans="2:34">
      <c r="B214" s="509"/>
      <c r="C214" s="509"/>
      <c r="D214" s="509"/>
      <c r="E214" s="509"/>
      <c r="F214" s="509"/>
      <c r="G214" s="509"/>
      <c r="H214" s="509"/>
      <c r="I214" s="509"/>
      <c r="J214" s="509"/>
      <c r="K214" s="509"/>
      <c r="L214" s="509"/>
      <c r="M214" s="509"/>
      <c r="N214" s="509"/>
      <c r="O214" s="509"/>
      <c r="P214" s="509"/>
      <c r="Q214" s="509"/>
      <c r="R214" s="509"/>
      <c r="S214" s="509"/>
      <c r="T214" s="509"/>
      <c r="U214" s="509"/>
      <c r="V214" s="509"/>
      <c r="W214" s="509"/>
      <c r="X214" s="509"/>
      <c r="Y214" s="509"/>
      <c r="Z214" s="509"/>
      <c r="AA214" s="509"/>
      <c r="AB214" s="509"/>
      <c r="AC214" s="509"/>
      <c r="AD214" s="509"/>
      <c r="AE214" s="509"/>
      <c r="AF214" s="509"/>
      <c r="AG214" s="509"/>
      <c r="AH214" s="509"/>
    </row>
    <row r="215" spans="2:34">
      <c r="B215" s="509"/>
      <c r="C215" s="509"/>
      <c r="D215" s="509"/>
      <c r="E215" s="509"/>
      <c r="F215" s="509"/>
      <c r="G215" s="509"/>
      <c r="H215" s="509"/>
      <c r="I215" s="509"/>
      <c r="J215" s="509"/>
      <c r="K215" s="509"/>
      <c r="L215" s="509"/>
      <c r="M215" s="509"/>
      <c r="N215" s="509"/>
      <c r="O215" s="509"/>
      <c r="P215" s="509"/>
      <c r="Q215" s="509"/>
      <c r="R215" s="509"/>
      <c r="S215" s="509"/>
      <c r="T215" s="509"/>
      <c r="U215" s="509"/>
      <c r="V215" s="509"/>
      <c r="W215" s="509"/>
      <c r="X215" s="509"/>
      <c r="Y215" s="509"/>
      <c r="Z215" s="509"/>
      <c r="AA215" s="509"/>
      <c r="AB215" s="509"/>
      <c r="AC215" s="509"/>
      <c r="AD215" s="509"/>
      <c r="AE215" s="509"/>
      <c r="AF215" s="509"/>
      <c r="AG215" s="509"/>
      <c r="AH215" s="509"/>
    </row>
    <row r="216" spans="2:34">
      <c r="B216" s="509"/>
      <c r="C216" s="509"/>
      <c r="D216" s="509"/>
      <c r="E216" s="509"/>
      <c r="F216" s="509"/>
      <c r="G216" s="509"/>
      <c r="H216" s="509"/>
      <c r="I216" s="509"/>
      <c r="J216" s="509"/>
      <c r="K216" s="509"/>
      <c r="L216" s="509"/>
      <c r="M216" s="509"/>
      <c r="N216" s="509"/>
      <c r="O216" s="509"/>
      <c r="P216" s="509"/>
      <c r="Q216" s="509"/>
      <c r="R216" s="509"/>
      <c r="S216" s="509"/>
      <c r="T216" s="509"/>
      <c r="U216" s="509"/>
      <c r="V216" s="509"/>
      <c r="W216" s="509"/>
      <c r="X216" s="509"/>
      <c r="Y216" s="509"/>
      <c r="Z216" s="509"/>
      <c r="AA216" s="509"/>
      <c r="AB216" s="509"/>
      <c r="AC216" s="509"/>
      <c r="AD216" s="509"/>
      <c r="AE216" s="509"/>
      <c r="AF216" s="509"/>
      <c r="AG216" s="509"/>
      <c r="AH216" s="509"/>
    </row>
    <row r="217" spans="2:34">
      <c r="B217" s="509"/>
      <c r="C217" s="509"/>
      <c r="D217" s="509"/>
      <c r="E217" s="509"/>
      <c r="F217" s="509"/>
      <c r="G217" s="509"/>
      <c r="H217" s="509"/>
      <c r="I217" s="509"/>
      <c r="J217" s="509"/>
      <c r="K217" s="509"/>
      <c r="L217" s="509"/>
      <c r="M217" s="509"/>
      <c r="N217" s="509"/>
      <c r="O217" s="509"/>
      <c r="P217" s="509"/>
      <c r="Q217" s="509"/>
      <c r="R217" s="509"/>
      <c r="S217" s="509"/>
      <c r="T217" s="509"/>
      <c r="U217" s="509"/>
      <c r="V217" s="509"/>
      <c r="W217" s="509"/>
      <c r="X217" s="509"/>
      <c r="Y217" s="509"/>
      <c r="Z217" s="509"/>
      <c r="AA217" s="509"/>
      <c r="AB217" s="509"/>
      <c r="AC217" s="509"/>
      <c r="AD217" s="509"/>
      <c r="AE217" s="509"/>
      <c r="AF217" s="509"/>
      <c r="AG217" s="509"/>
      <c r="AH217" s="509"/>
    </row>
    <row r="218" spans="2:34">
      <c r="B218" s="509"/>
      <c r="C218" s="509"/>
      <c r="D218" s="509"/>
      <c r="E218" s="509"/>
      <c r="F218" s="509"/>
      <c r="G218" s="509"/>
      <c r="H218" s="509"/>
      <c r="I218" s="509"/>
      <c r="J218" s="509"/>
      <c r="K218" s="509"/>
      <c r="L218" s="509"/>
      <c r="M218" s="509"/>
      <c r="N218" s="509"/>
      <c r="O218" s="509"/>
      <c r="P218" s="509"/>
      <c r="Q218" s="509"/>
      <c r="R218" s="509"/>
      <c r="S218" s="509"/>
      <c r="T218" s="509"/>
      <c r="U218" s="509"/>
      <c r="V218" s="509"/>
      <c r="W218" s="509"/>
      <c r="X218" s="509"/>
      <c r="Y218" s="509"/>
      <c r="Z218" s="509"/>
      <c r="AA218" s="509"/>
      <c r="AB218" s="509"/>
      <c r="AC218" s="509"/>
      <c r="AD218" s="509"/>
      <c r="AE218" s="509"/>
      <c r="AF218" s="509"/>
      <c r="AG218" s="509"/>
      <c r="AH218" s="509"/>
    </row>
    <row r="219" spans="2:34">
      <c r="B219" s="509"/>
      <c r="C219" s="509"/>
      <c r="D219" s="509"/>
      <c r="E219" s="509"/>
      <c r="F219" s="509"/>
      <c r="G219" s="509"/>
      <c r="H219" s="509"/>
      <c r="I219" s="509"/>
      <c r="J219" s="509"/>
      <c r="K219" s="509"/>
      <c r="L219" s="509"/>
      <c r="M219" s="509"/>
      <c r="N219" s="509"/>
      <c r="O219" s="509"/>
      <c r="P219" s="509"/>
      <c r="Q219" s="509"/>
      <c r="R219" s="509"/>
      <c r="S219" s="509"/>
      <c r="T219" s="509"/>
      <c r="U219" s="509"/>
      <c r="V219" s="509"/>
      <c r="W219" s="509"/>
      <c r="X219" s="509"/>
      <c r="Y219" s="509"/>
      <c r="Z219" s="509"/>
      <c r="AA219" s="509"/>
      <c r="AB219" s="509"/>
      <c r="AC219" s="509"/>
      <c r="AD219" s="509"/>
      <c r="AE219" s="509"/>
      <c r="AF219" s="509"/>
      <c r="AG219" s="509"/>
      <c r="AH219" s="509"/>
    </row>
    <row r="220" spans="2:34">
      <c r="B220" s="509"/>
      <c r="C220" s="509"/>
      <c r="D220" s="509"/>
      <c r="E220" s="509"/>
      <c r="F220" s="509"/>
      <c r="G220" s="509"/>
      <c r="H220" s="509"/>
      <c r="I220" s="509"/>
      <c r="J220" s="509"/>
      <c r="K220" s="509"/>
      <c r="L220" s="509"/>
      <c r="M220" s="509"/>
      <c r="N220" s="509"/>
      <c r="O220" s="509"/>
      <c r="P220" s="509"/>
      <c r="Q220" s="509"/>
      <c r="R220" s="509"/>
      <c r="S220" s="509"/>
      <c r="T220" s="509"/>
      <c r="U220" s="509"/>
      <c r="V220" s="509"/>
      <c r="W220" s="509"/>
      <c r="X220" s="509"/>
      <c r="Y220" s="509"/>
      <c r="Z220" s="509"/>
      <c r="AA220" s="509"/>
      <c r="AB220" s="509"/>
      <c r="AC220" s="509"/>
      <c r="AD220" s="509"/>
      <c r="AE220" s="509"/>
      <c r="AF220" s="509"/>
      <c r="AG220" s="509"/>
      <c r="AH220" s="509"/>
    </row>
    <row r="221" spans="2:34">
      <c r="B221" s="509"/>
      <c r="C221" s="509"/>
      <c r="D221" s="509"/>
      <c r="E221" s="509"/>
      <c r="F221" s="509"/>
      <c r="G221" s="509"/>
      <c r="H221" s="509"/>
      <c r="I221" s="509"/>
      <c r="J221" s="509"/>
      <c r="K221" s="509"/>
      <c r="L221" s="509"/>
      <c r="M221" s="509"/>
      <c r="N221" s="509"/>
      <c r="O221" s="509"/>
      <c r="P221" s="509"/>
      <c r="Q221" s="509"/>
      <c r="R221" s="509"/>
      <c r="S221" s="509"/>
      <c r="T221" s="509"/>
      <c r="U221" s="509"/>
      <c r="V221" s="509"/>
      <c r="W221" s="509"/>
      <c r="X221" s="509"/>
      <c r="Y221" s="509"/>
      <c r="Z221" s="509"/>
      <c r="AA221" s="509"/>
      <c r="AB221" s="509"/>
      <c r="AC221" s="509"/>
      <c r="AD221" s="509"/>
      <c r="AE221" s="509"/>
      <c r="AF221" s="509"/>
      <c r="AG221" s="509"/>
      <c r="AH221" s="509"/>
    </row>
    <row r="222" spans="2:34">
      <c r="B222" s="509"/>
      <c r="C222" s="509"/>
      <c r="D222" s="509"/>
      <c r="E222" s="509"/>
      <c r="F222" s="509"/>
      <c r="G222" s="509"/>
      <c r="H222" s="509"/>
      <c r="I222" s="509"/>
      <c r="J222" s="509"/>
      <c r="K222" s="509"/>
      <c r="L222" s="509"/>
      <c r="M222" s="509"/>
      <c r="N222" s="509"/>
      <c r="O222" s="509"/>
      <c r="P222" s="509"/>
      <c r="Q222" s="509"/>
      <c r="R222" s="509"/>
      <c r="S222" s="509"/>
      <c r="T222" s="509"/>
      <c r="U222" s="509"/>
      <c r="V222" s="509"/>
      <c r="W222" s="509"/>
      <c r="X222" s="509"/>
      <c r="Y222" s="509"/>
      <c r="Z222" s="509"/>
      <c r="AA222" s="509"/>
      <c r="AB222" s="509"/>
      <c r="AC222" s="509"/>
      <c r="AD222" s="509"/>
      <c r="AE222" s="509"/>
      <c r="AF222" s="509"/>
      <c r="AG222" s="509"/>
      <c r="AH222" s="509"/>
    </row>
    <row r="223" spans="2:34">
      <c r="B223" s="509"/>
      <c r="C223" s="509"/>
      <c r="D223" s="509"/>
      <c r="E223" s="509"/>
      <c r="F223" s="509"/>
      <c r="G223" s="509"/>
      <c r="H223" s="509"/>
      <c r="I223" s="509"/>
      <c r="J223" s="509"/>
      <c r="K223" s="509"/>
      <c r="L223" s="509"/>
      <c r="M223" s="509"/>
      <c r="N223" s="509"/>
      <c r="O223" s="509"/>
      <c r="P223" s="509"/>
      <c r="Q223" s="509"/>
      <c r="R223" s="509"/>
      <c r="S223" s="509"/>
      <c r="T223" s="509"/>
      <c r="U223" s="509"/>
      <c r="V223" s="509"/>
      <c r="W223" s="509"/>
      <c r="X223" s="509"/>
      <c r="Y223" s="509"/>
      <c r="Z223" s="509"/>
      <c r="AA223" s="509"/>
      <c r="AB223" s="509"/>
      <c r="AC223" s="509"/>
      <c r="AD223" s="509"/>
      <c r="AE223" s="509"/>
      <c r="AF223" s="509"/>
      <c r="AG223" s="509"/>
      <c r="AH223" s="509"/>
    </row>
    <row r="224" spans="2:34">
      <c r="B224" s="509"/>
      <c r="C224" s="509"/>
      <c r="D224" s="509"/>
      <c r="E224" s="509"/>
      <c r="F224" s="509"/>
      <c r="G224" s="509"/>
      <c r="H224" s="509"/>
      <c r="I224" s="509"/>
      <c r="J224" s="509"/>
      <c r="K224" s="509"/>
      <c r="L224" s="509"/>
      <c r="M224" s="509"/>
      <c r="N224" s="509"/>
      <c r="O224" s="509"/>
      <c r="P224" s="509"/>
      <c r="Q224" s="509"/>
      <c r="R224" s="509"/>
      <c r="S224" s="509"/>
      <c r="T224" s="509"/>
      <c r="U224" s="509"/>
      <c r="V224" s="509"/>
      <c r="W224" s="509"/>
      <c r="X224" s="509"/>
      <c r="Y224" s="509"/>
      <c r="Z224" s="509"/>
      <c r="AA224" s="509"/>
      <c r="AB224" s="509"/>
      <c r="AC224" s="509"/>
      <c r="AD224" s="509"/>
      <c r="AE224" s="509"/>
      <c r="AF224" s="509"/>
      <c r="AG224" s="509"/>
      <c r="AH224" s="509"/>
    </row>
    <row r="225" spans="2:34">
      <c r="B225" s="509"/>
      <c r="C225" s="509"/>
      <c r="D225" s="509"/>
      <c r="E225" s="509"/>
      <c r="F225" s="509"/>
      <c r="G225" s="509"/>
      <c r="H225" s="509"/>
      <c r="I225" s="509"/>
      <c r="J225" s="509"/>
      <c r="K225" s="509"/>
      <c r="L225" s="509"/>
      <c r="M225" s="509"/>
      <c r="N225" s="509"/>
      <c r="O225" s="509"/>
      <c r="P225" s="509"/>
      <c r="Q225" s="509"/>
      <c r="R225" s="509"/>
      <c r="S225" s="509"/>
      <c r="T225" s="509"/>
      <c r="U225" s="509"/>
      <c r="V225" s="509"/>
      <c r="W225" s="509"/>
      <c r="X225" s="509"/>
      <c r="Y225" s="509"/>
      <c r="Z225" s="509"/>
      <c r="AA225" s="509"/>
      <c r="AB225" s="509"/>
      <c r="AC225" s="509"/>
      <c r="AD225" s="509"/>
      <c r="AE225" s="509"/>
      <c r="AF225" s="509"/>
      <c r="AG225" s="509"/>
      <c r="AH225" s="509"/>
    </row>
    <row r="226" spans="2:34">
      <c r="B226" s="509"/>
      <c r="C226" s="509"/>
      <c r="D226" s="509"/>
      <c r="E226" s="509"/>
      <c r="F226" s="509"/>
      <c r="G226" s="509"/>
      <c r="H226" s="509"/>
      <c r="I226" s="509"/>
      <c r="J226" s="509"/>
      <c r="K226" s="509"/>
      <c r="L226" s="509"/>
      <c r="M226" s="509"/>
      <c r="N226" s="509"/>
      <c r="O226" s="509"/>
      <c r="P226" s="509"/>
      <c r="Q226" s="509"/>
      <c r="R226" s="509"/>
      <c r="S226" s="509"/>
      <c r="T226" s="509"/>
      <c r="U226" s="509"/>
      <c r="V226" s="509"/>
      <c r="W226" s="509"/>
      <c r="X226" s="509"/>
      <c r="Y226" s="509"/>
      <c r="Z226" s="509"/>
      <c r="AA226" s="509"/>
      <c r="AB226" s="509"/>
      <c r="AC226" s="509"/>
      <c r="AD226" s="509"/>
      <c r="AE226" s="509"/>
      <c r="AF226" s="509"/>
      <c r="AG226" s="509"/>
      <c r="AH226" s="509"/>
    </row>
    <row r="227" spans="2:34">
      <c r="B227" s="509"/>
      <c r="C227" s="509"/>
      <c r="D227" s="509"/>
      <c r="E227" s="509"/>
      <c r="F227" s="509"/>
      <c r="G227" s="509"/>
      <c r="H227" s="509"/>
      <c r="I227" s="509"/>
      <c r="J227" s="509"/>
      <c r="K227" s="509"/>
      <c r="L227" s="509"/>
      <c r="M227" s="509"/>
      <c r="N227" s="509"/>
      <c r="O227" s="509"/>
      <c r="P227" s="509"/>
      <c r="Q227" s="509"/>
      <c r="R227" s="509"/>
      <c r="S227" s="509"/>
      <c r="T227" s="509"/>
      <c r="U227" s="509"/>
      <c r="V227" s="509"/>
      <c r="W227" s="509"/>
      <c r="X227" s="509"/>
      <c r="Y227" s="509"/>
      <c r="Z227" s="509"/>
      <c r="AA227" s="509"/>
      <c r="AB227" s="509"/>
      <c r="AC227" s="509"/>
      <c r="AD227" s="509"/>
      <c r="AE227" s="509"/>
      <c r="AF227" s="509"/>
      <c r="AG227" s="509"/>
      <c r="AH227" s="509"/>
    </row>
    <row r="228" spans="2:34">
      <c r="B228" s="509"/>
      <c r="C228" s="509"/>
      <c r="D228" s="509"/>
      <c r="E228" s="509"/>
      <c r="F228" s="509"/>
      <c r="G228" s="509"/>
      <c r="H228" s="509"/>
      <c r="I228" s="509"/>
      <c r="J228" s="509"/>
      <c r="K228" s="509"/>
      <c r="L228" s="509"/>
      <c r="M228" s="509"/>
      <c r="N228" s="509"/>
      <c r="O228" s="509"/>
      <c r="P228" s="509"/>
      <c r="Q228" s="509"/>
      <c r="R228" s="509"/>
      <c r="S228" s="509"/>
      <c r="T228" s="509"/>
      <c r="U228" s="509"/>
      <c r="V228" s="509"/>
      <c r="W228" s="509"/>
      <c r="X228" s="509"/>
      <c r="Y228" s="509"/>
      <c r="Z228" s="509"/>
      <c r="AA228" s="509"/>
      <c r="AB228" s="509"/>
      <c r="AC228" s="509"/>
      <c r="AD228" s="509"/>
      <c r="AE228" s="509"/>
      <c r="AF228" s="509"/>
      <c r="AG228" s="509"/>
      <c r="AH228" s="509"/>
    </row>
    <row r="229" spans="2:34">
      <c r="B229" s="509"/>
      <c r="C229" s="509"/>
      <c r="D229" s="509"/>
      <c r="E229" s="509"/>
      <c r="F229" s="509"/>
      <c r="G229" s="509"/>
      <c r="H229" s="509"/>
      <c r="I229" s="509"/>
      <c r="J229" s="509"/>
      <c r="K229" s="509"/>
      <c r="L229" s="509"/>
      <c r="M229" s="509"/>
      <c r="N229" s="509"/>
      <c r="O229" s="509"/>
      <c r="P229" s="509"/>
      <c r="Q229" s="509"/>
      <c r="R229" s="509"/>
      <c r="S229" s="509"/>
      <c r="T229" s="509"/>
      <c r="U229" s="509"/>
      <c r="V229" s="509"/>
      <c r="W229" s="509"/>
      <c r="X229" s="509"/>
      <c r="Y229" s="509"/>
      <c r="Z229" s="509"/>
      <c r="AA229" s="509"/>
      <c r="AB229" s="509"/>
      <c r="AC229" s="509"/>
      <c r="AD229" s="509"/>
      <c r="AE229" s="509"/>
      <c r="AF229" s="509"/>
      <c r="AG229" s="509"/>
      <c r="AH229" s="509"/>
    </row>
    <row r="230" spans="2:34">
      <c r="B230" s="509"/>
      <c r="C230" s="509"/>
      <c r="D230" s="509"/>
      <c r="E230" s="509"/>
      <c r="F230" s="509"/>
      <c r="G230" s="509"/>
      <c r="H230" s="509"/>
      <c r="I230" s="509"/>
      <c r="J230" s="509"/>
      <c r="K230" s="509"/>
      <c r="L230" s="509"/>
      <c r="M230" s="509"/>
      <c r="N230" s="509"/>
      <c r="O230" s="509"/>
      <c r="P230" s="509"/>
      <c r="Q230" s="509"/>
      <c r="R230" s="509"/>
      <c r="S230" s="509"/>
      <c r="T230" s="509"/>
      <c r="U230" s="509"/>
      <c r="V230" s="509"/>
      <c r="W230" s="509"/>
      <c r="X230" s="509"/>
      <c r="Y230" s="509"/>
      <c r="Z230" s="509"/>
      <c r="AA230" s="509"/>
      <c r="AB230" s="509"/>
      <c r="AC230" s="509"/>
      <c r="AD230" s="509"/>
      <c r="AE230" s="509"/>
      <c r="AF230" s="509"/>
      <c r="AG230" s="509"/>
      <c r="AH230" s="509"/>
    </row>
    <row r="231" spans="2:34">
      <c r="B231" s="509"/>
      <c r="C231" s="509"/>
      <c r="D231" s="509"/>
      <c r="E231" s="509"/>
      <c r="F231" s="509"/>
      <c r="G231" s="509"/>
      <c r="H231" s="509"/>
      <c r="I231" s="509"/>
      <c r="J231" s="509"/>
      <c r="K231" s="509"/>
      <c r="L231" s="509"/>
      <c r="M231" s="509"/>
      <c r="N231" s="509"/>
      <c r="O231" s="509"/>
      <c r="P231" s="509"/>
      <c r="Q231" s="509"/>
      <c r="R231" s="509"/>
      <c r="S231" s="509"/>
      <c r="T231" s="509"/>
      <c r="U231" s="509"/>
      <c r="V231" s="509"/>
      <c r="W231" s="509"/>
      <c r="X231" s="509"/>
      <c r="Y231" s="509"/>
      <c r="Z231" s="509"/>
      <c r="AA231" s="509"/>
      <c r="AB231" s="509"/>
      <c r="AC231" s="509"/>
      <c r="AD231" s="509"/>
      <c r="AE231" s="509"/>
      <c r="AF231" s="509"/>
      <c r="AG231" s="509"/>
      <c r="AH231" s="509"/>
    </row>
    <row r="232" spans="2:34">
      <c r="B232" s="509"/>
      <c r="C232" s="509"/>
      <c r="D232" s="509"/>
      <c r="E232" s="509"/>
      <c r="F232" s="509"/>
      <c r="G232" s="509"/>
      <c r="H232" s="509"/>
      <c r="I232" s="509"/>
      <c r="J232" s="509"/>
      <c r="K232" s="509"/>
      <c r="L232" s="509"/>
      <c r="M232" s="509"/>
      <c r="N232" s="509"/>
      <c r="O232" s="509"/>
      <c r="P232" s="509"/>
      <c r="Q232" s="509"/>
      <c r="R232" s="509"/>
      <c r="S232" s="509"/>
      <c r="T232" s="509"/>
      <c r="U232" s="509"/>
      <c r="V232" s="509"/>
      <c r="W232" s="509"/>
      <c r="X232" s="509"/>
      <c r="Y232" s="509"/>
      <c r="Z232" s="509"/>
      <c r="AA232" s="509"/>
      <c r="AB232" s="509"/>
      <c r="AC232" s="509"/>
      <c r="AD232" s="509"/>
      <c r="AE232" s="509"/>
      <c r="AF232" s="509"/>
      <c r="AG232" s="509"/>
      <c r="AH232" s="509"/>
    </row>
    <row r="233" spans="2:34">
      <c r="B233" s="509"/>
      <c r="C233" s="509"/>
      <c r="D233" s="509"/>
      <c r="E233" s="509"/>
      <c r="F233" s="509"/>
      <c r="G233" s="509"/>
      <c r="H233" s="509"/>
      <c r="I233" s="509"/>
      <c r="J233" s="509"/>
      <c r="K233" s="509"/>
      <c r="L233" s="509"/>
      <c r="M233" s="509"/>
      <c r="N233" s="509"/>
      <c r="O233" s="509"/>
      <c r="P233" s="509"/>
      <c r="Q233" s="509"/>
      <c r="R233" s="509"/>
      <c r="S233" s="509"/>
      <c r="T233" s="509"/>
      <c r="U233" s="509"/>
      <c r="V233" s="509"/>
      <c r="W233" s="509"/>
      <c r="X233" s="509"/>
      <c r="Y233" s="509"/>
      <c r="Z233" s="509"/>
      <c r="AA233" s="509"/>
      <c r="AB233" s="509"/>
      <c r="AC233" s="509"/>
      <c r="AD233" s="509"/>
      <c r="AE233" s="509"/>
      <c r="AF233" s="509"/>
      <c r="AG233" s="509"/>
      <c r="AH233" s="509"/>
    </row>
    <row r="234" spans="2:34">
      <c r="B234" s="509"/>
      <c r="C234" s="509"/>
      <c r="D234" s="509"/>
      <c r="E234" s="509"/>
      <c r="F234" s="509"/>
      <c r="G234" s="509"/>
      <c r="H234" s="509"/>
      <c r="I234" s="509"/>
      <c r="J234" s="509"/>
      <c r="K234" s="509"/>
      <c r="L234" s="509"/>
      <c r="M234" s="509"/>
      <c r="N234" s="509"/>
      <c r="O234" s="509"/>
      <c r="P234" s="509"/>
      <c r="Q234" s="509"/>
      <c r="R234" s="509"/>
      <c r="S234" s="509"/>
      <c r="T234" s="509"/>
      <c r="U234" s="509"/>
      <c r="V234" s="509"/>
      <c r="W234" s="509"/>
      <c r="X234" s="509"/>
      <c r="Y234" s="509"/>
      <c r="Z234" s="509"/>
      <c r="AA234" s="509"/>
      <c r="AB234" s="509"/>
      <c r="AC234" s="509"/>
      <c r="AD234" s="509"/>
      <c r="AE234" s="509"/>
      <c r="AF234" s="509"/>
      <c r="AG234" s="509"/>
      <c r="AH234" s="509"/>
    </row>
    <row r="235" spans="2:34">
      <c r="B235" s="509"/>
      <c r="C235" s="509"/>
      <c r="D235" s="509"/>
      <c r="E235" s="509"/>
      <c r="F235" s="509"/>
      <c r="G235" s="509"/>
      <c r="H235" s="509"/>
      <c r="I235" s="509"/>
      <c r="J235" s="509"/>
      <c r="K235" s="509"/>
      <c r="L235" s="509"/>
      <c r="M235" s="509"/>
      <c r="N235" s="509"/>
      <c r="O235" s="509"/>
      <c r="P235" s="509"/>
      <c r="Q235" s="509"/>
      <c r="R235" s="509"/>
      <c r="S235" s="509"/>
      <c r="T235" s="509"/>
      <c r="U235" s="509"/>
      <c r="V235" s="509"/>
      <c r="W235" s="509"/>
      <c r="X235" s="509"/>
      <c r="Y235" s="509"/>
      <c r="Z235" s="509"/>
      <c r="AA235" s="509"/>
      <c r="AB235" s="509"/>
      <c r="AC235" s="509"/>
      <c r="AD235" s="509"/>
      <c r="AE235" s="509"/>
      <c r="AF235" s="509"/>
      <c r="AG235" s="509"/>
      <c r="AH235" s="509"/>
    </row>
    <row r="236" spans="2:34">
      <c r="B236" s="509"/>
      <c r="C236" s="509"/>
      <c r="D236" s="509"/>
      <c r="E236" s="509"/>
      <c r="F236" s="509"/>
      <c r="G236" s="509"/>
      <c r="H236" s="509"/>
      <c r="I236" s="509"/>
      <c r="J236" s="509"/>
      <c r="K236" s="509"/>
      <c r="L236" s="509"/>
      <c r="M236" s="509"/>
      <c r="N236" s="509"/>
      <c r="O236" s="509"/>
      <c r="P236" s="509"/>
      <c r="Q236" s="509"/>
      <c r="R236" s="509"/>
      <c r="S236" s="509"/>
      <c r="T236" s="509"/>
      <c r="U236" s="509"/>
      <c r="V236" s="509"/>
      <c r="W236" s="509"/>
      <c r="X236" s="509"/>
      <c r="Y236" s="509"/>
      <c r="Z236" s="509"/>
      <c r="AA236" s="509"/>
      <c r="AB236" s="509"/>
      <c r="AC236" s="509"/>
      <c r="AD236" s="509"/>
      <c r="AE236" s="509"/>
      <c r="AF236" s="509"/>
      <c r="AG236" s="509"/>
      <c r="AH236" s="509"/>
    </row>
    <row r="237" spans="2:34">
      <c r="B237" s="509"/>
      <c r="C237" s="509"/>
      <c r="D237" s="509"/>
      <c r="E237" s="509"/>
      <c r="F237" s="509"/>
      <c r="G237" s="509"/>
      <c r="H237" s="509"/>
      <c r="I237" s="509"/>
      <c r="J237" s="509"/>
      <c r="K237" s="509"/>
      <c r="L237" s="509"/>
      <c r="M237" s="509"/>
      <c r="N237" s="509"/>
      <c r="O237" s="509"/>
      <c r="P237" s="509"/>
      <c r="Q237" s="509"/>
      <c r="R237" s="509"/>
      <c r="S237" s="509"/>
      <c r="T237" s="509"/>
      <c r="U237" s="509"/>
      <c r="V237" s="509"/>
      <c r="W237" s="509"/>
      <c r="X237" s="509"/>
      <c r="Y237" s="509"/>
      <c r="Z237" s="509"/>
      <c r="AA237" s="509"/>
      <c r="AB237" s="509"/>
      <c r="AC237" s="509"/>
      <c r="AD237" s="509"/>
      <c r="AE237" s="509"/>
      <c r="AF237" s="509"/>
      <c r="AG237" s="509"/>
      <c r="AH237" s="509"/>
    </row>
    <row r="238" spans="2:34">
      <c r="B238" s="509"/>
      <c r="C238" s="509"/>
      <c r="D238" s="509"/>
      <c r="E238" s="509"/>
      <c r="F238" s="509"/>
      <c r="G238" s="509"/>
      <c r="H238" s="509"/>
      <c r="I238" s="509"/>
      <c r="J238" s="509"/>
      <c r="K238" s="509"/>
      <c r="L238" s="509"/>
      <c r="M238" s="509"/>
      <c r="N238" s="509"/>
      <c r="O238" s="509"/>
      <c r="P238" s="509"/>
      <c r="Q238" s="509"/>
      <c r="R238" s="509"/>
      <c r="S238" s="509"/>
      <c r="T238" s="509"/>
      <c r="U238" s="509"/>
      <c r="V238" s="509"/>
      <c r="W238" s="509"/>
      <c r="X238" s="509"/>
      <c r="Y238" s="509"/>
      <c r="Z238" s="509"/>
      <c r="AA238" s="509"/>
      <c r="AB238" s="509"/>
      <c r="AC238" s="509"/>
      <c r="AD238" s="509"/>
      <c r="AE238" s="509"/>
      <c r="AF238" s="509"/>
      <c r="AG238" s="509"/>
      <c r="AH238" s="509"/>
    </row>
    <row r="239" spans="2:34">
      <c r="B239" s="509"/>
      <c r="C239" s="509"/>
      <c r="D239" s="509"/>
      <c r="E239" s="509"/>
      <c r="F239" s="509"/>
      <c r="G239" s="509"/>
      <c r="H239" s="509"/>
      <c r="I239" s="509"/>
      <c r="J239" s="509"/>
      <c r="K239" s="509"/>
      <c r="L239" s="509"/>
      <c r="M239" s="509"/>
      <c r="N239" s="509"/>
      <c r="O239" s="509"/>
      <c r="P239" s="509"/>
      <c r="Q239" s="509"/>
      <c r="R239" s="509"/>
      <c r="S239" s="509"/>
      <c r="T239" s="509"/>
      <c r="U239" s="509"/>
      <c r="V239" s="509"/>
      <c r="W239" s="509"/>
      <c r="X239" s="509"/>
      <c r="Y239" s="509"/>
      <c r="Z239" s="509"/>
      <c r="AA239" s="509"/>
      <c r="AB239" s="509"/>
      <c r="AC239" s="509"/>
      <c r="AD239" s="509"/>
      <c r="AE239" s="509"/>
      <c r="AF239" s="509"/>
      <c r="AG239" s="509"/>
      <c r="AH239" s="509"/>
    </row>
    <row r="240" spans="2:34">
      <c r="B240" s="509"/>
      <c r="C240" s="509"/>
      <c r="D240" s="509"/>
      <c r="E240" s="509"/>
      <c r="F240" s="509"/>
      <c r="G240" s="509"/>
      <c r="H240" s="509"/>
      <c r="I240" s="509"/>
      <c r="J240" s="509"/>
      <c r="K240" s="509"/>
      <c r="L240" s="509"/>
      <c r="M240" s="509"/>
      <c r="N240" s="509"/>
      <c r="O240" s="509"/>
      <c r="P240" s="509"/>
      <c r="Q240" s="509"/>
      <c r="R240" s="509"/>
      <c r="S240" s="509"/>
      <c r="T240" s="509"/>
      <c r="U240" s="509"/>
      <c r="V240" s="509"/>
      <c r="W240" s="509"/>
      <c r="X240" s="509"/>
      <c r="Y240" s="509"/>
      <c r="Z240" s="509"/>
      <c r="AA240" s="509"/>
      <c r="AB240" s="509"/>
      <c r="AC240" s="509"/>
      <c r="AD240" s="509"/>
      <c r="AE240" s="509"/>
      <c r="AF240" s="509"/>
      <c r="AG240" s="509"/>
      <c r="AH240" s="509"/>
    </row>
    <row r="241" spans="2:34">
      <c r="B241" s="509"/>
      <c r="C241" s="509"/>
      <c r="D241" s="509"/>
      <c r="E241" s="509"/>
      <c r="F241" s="509"/>
      <c r="G241" s="509"/>
      <c r="H241" s="509"/>
      <c r="I241" s="509"/>
      <c r="J241" s="509"/>
      <c r="K241" s="509"/>
      <c r="L241" s="509"/>
      <c r="M241" s="509"/>
      <c r="N241" s="509"/>
      <c r="O241" s="509"/>
      <c r="P241" s="509"/>
      <c r="Q241" s="509"/>
      <c r="R241" s="509"/>
      <c r="S241" s="509"/>
      <c r="T241" s="509"/>
      <c r="U241" s="509"/>
      <c r="V241" s="509"/>
      <c r="W241" s="509"/>
      <c r="X241" s="509"/>
      <c r="Y241" s="509"/>
      <c r="Z241" s="509"/>
      <c r="AA241" s="509"/>
      <c r="AB241" s="509"/>
      <c r="AC241" s="509"/>
      <c r="AD241" s="509"/>
      <c r="AE241" s="509"/>
      <c r="AF241" s="509"/>
      <c r="AG241" s="509"/>
      <c r="AH241" s="509"/>
    </row>
    <row r="242" spans="2:34">
      <c r="B242" s="509"/>
      <c r="C242" s="509"/>
      <c r="D242" s="509"/>
      <c r="E242" s="509"/>
      <c r="F242" s="509"/>
      <c r="G242" s="509"/>
      <c r="H242" s="509"/>
      <c r="I242" s="509"/>
      <c r="J242" s="509"/>
      <c r="K242" s="509"/>
      <c r="L242" s="509"/>
      <c r="M242" s="509"/>
      <c r="N242" s="509"/>
      <c r="O242" s="509"/>
      <c r="P242" s="509"/>
      <c r="Q242" s="509"/>
      <c r="R242" s="509"/>
      <c r="S242" s="509"/>
      <c r="T242" s="509"/>
      <c r="U242" s="509"/>
      <c r="V242" s="509"/>
      <c r="W242" s="509"/>
      <c r="X242" s="509"/>
      <c r="Y242" s="509"/>
      <c r="Z242" s="509"/>
      <c r="AA242" s="509"/>
      <c r="AB242" s="509"/>
      <c r="AC242" s="509"/>
      <c r="AD242" s="509"/>
      <c r="AE242" s="509"/>
      <c r="AF242" s="509"/>
      <c r="AG242" s="509"/>
      <c r="AH242" s="509"/>
    </row>
    <row r="243" spans="2:34">
      <c r="B243" s="509"/>
      <c r="C243" s="509"/>
      <c r="D243" s="509"/>
      <c r="E243" s="509"/>
      <c r="F243" s="509"/>
      <c r="G243" s="509"/>
      <c r="H243" s="509"/>
      <c r="I243" s="509"/>
      <c r="J243" s="509"/>
      <c r="K243" s="509"/>
      <c r="L243" s="509"/>
      <c r="M243" s="509"/>
      <c r="N243" s="509"/>
      <c r="O243" s="509"/>
      <c r="P243" s="509"/>
      <c r="Q243" s="509"/>
      <c r="R243" s="509"/>
      <c r="S243" s="509"/>
      <c r="T243" s="509"/>
      <c r="U243" s="509"/>
      <c r="V243" s="509"/>
      <c r="W243" s="509"/>
      <c r="X243" s="509"/>
      <c r="Y243" s="509"/>
      <c r="Z243" s="509"/>
      <c r="AA243" s="509"/>
      <c r="AB243" s="509"/>
      <c r="AC243" s="509"/>
      <c r="AD243" s="509"/>
      <c r="AE243" s="509"/>
      <c r="AF243" s="509"/>
      <c r="AG243" s="509"/>
      <c r="AH243" s="509"/>
    </row>
    <row r="244" spans="2:34">
      <c r="B244" s="509"/>
      <c r="C244" s="509"/>
      <c r="D244" s="509"/>
      <c r="E244" s="509"/>
      <c r="F244" s="509"/>
      <c r="G244" s="509"/>
      <c r="H244" s="509"/>
      <c r="I244" s="509"/>
      <c r="J244" s="509"/>
      <c r="K244" s="509"/>
      <c r="L244" s="509"/>
      <c r="M244" s="509"/>
      <c r="N244" s="509"/>
      <c r="O244" s="509"/>
      <c r="P244" s="509"/>
      <c r="Q244" s="509"/>
      <c r="R244" s="509"/>
      <c r="S244" s="509"/>
      <c r="T244" s="509"/>
      <c r="U244" s="509"/>
      <c r="V244" s="509"/>
      <c r="W244" s="509"/>
      <c r="X244" s="509"/>
      <c r="Y244" s="509"/>
      <c r="Z244" s="509"/>
      <c r="AA244" s="509"/>
      <c r="AB244" s="509"/>
      <c r="AC244" s="509"/>
      <c r="AD244" s="509"/>
      <c r="AE244" s="509"/>
      <c r="AF244" s="509"/>
      <c r="AG244" s="509"/>
      <c r="AH244" s="509"/>
    </row>
    <row r="245" spans="2:34">
      <c r="B245" s="509"/>
      <c r="C245" s="509"/>
      <c r="D245" s="509"/>
      <c r="E245" s="509"/>
      <c r="F245" s="509"/>
      <c r="G245" s="509"/>
      <c r="H245" s="509"/>
      <c r="I245" s="509"/>
      <c r="J245" s="509"/>
      <c r="K245" s="509"/>
      <c r="L245" s="509"/>
      <c r="M245" s="509"/>
      <c r="N245" s="509"/>
      <c r="O245" s="509"/>
      <c r="P245" s="509"/>
      <c r="Q245" s="509"/>
      <c r="R245" s="509"/>
      <c r="S245" s="509"/>
      <c r="T245" s="509"/>
      <c r="U245" s="509"/>
      <c r="V245" s="509"/>
      <c r="W245" s="509"/>
      <c r="X245" s="509"/>
      <c r="Y245" s="509"/>
      <c r="Z245" s="509"/>
      <c r="AA245" s="509"/>
      <c r="AB245" s="509"/>
      <c r="AC245" s="509"/>
      <c r="AD245" s="509"/>
      <c r="AE245" s="509"/>
      <c r="AF245" s="509"/>
      <c r="AG245" s="509"/>
      <c r="AH245" s="509"/>
    </row>
    <row r="246" spans="2:34">
      <c r="B246" s="509"/>
      <c r="C246" s="509"/>
      <c r="D246" s="509"/>
      <c r="E246" s="509"/>
      <c r="F246" s="509"/>
      <c r="G246" s="509"/>
      <c r="H246" s="509"/>
      <c r="I246" s="509"/>
      <c r="J246" s="509"/>
      <c r="K246" s="509"/>
      <c r="L246" s="509"/>
      <c r="M246" s="509"/>
      <c r="N246" s="509"/>
      <c r="O246" s="509"/>
      <c r="P246" s="509"/>
      <c r="Q246" s="509"/>
      <c r="R246" s="509"/>
      <c r="S246" s="509"/>
      <c r="T246" s="509"/>
      <c r="U246" s="509"/>
      <c r="V246" s="509"/>
      <c r="W246" s="509"/>
      <c r="X246" s="509"/>
      <c r="Y246" s="509"/>
      <c r="Z246" s="509"/>
      <c r="AA246" s="509"/>
      <c r="AB246" s="509"/>
      <c r="AC246" s="509"/>
      <c r="AD246" s="509"/>
      <c r="AE246" s="509"/>
      <c r="AF246" s="509"/>
      <c r="AG246" s="509"/>
      <c r="AH246" s="509"/>
    </row>
    <row r="247" spans="2:34">
      <c r="B247" s="509"/>
      <c r="C247" s="509"/>
      <c r="D247" s="509"/>
      <c r="E247" s="509"/>
      <c r="F247" s="509"/>
      <c r="G247" s="509"/>
      <c r="H247" s="509"/>
      <c r="I247" s="509"/>
      <c r="J247" s="509"/>
      <c r="K247" s="509"/>
      <c r="L247" s="509"/>
      <c r="M247" s="509"/>
      <c r="N247" s="509"/>
      <c r="O247" s="509"/>
      <c r="P247" s="509"/>
      <c r="Q247" s="509"/>
      <c r="R247" s="509"/>
      <c r="S247" s="509"/>
      <c r="T247" s="509"/>
      <c r="U247" s="509"/>
      <c r="V247" s="509"/>
      <c r="W247" s="509"/>
      <c r="X247" s="509"/>
      <c r="Y247" s="509"/>
      <c r="Z247" s="509"/>
      <c r="AA247" s="509"/>
      <c r="AB247" s="509"/>
      <c r="AC247" s="509"/>
      <c r="AD247" s="509"/>
      <c r="AE247" s="509"/>
      <c r="AF247" s="509"/>
      <c r="AG247" s="509"/>
      <c r="AH247" s="509"/>
    </row>
    <row r="248" spans="2:34">
      <c r="B248" s="509"/>
      <c r="C248" s="509"/>
      <c r="D248" s="509"/>
      <c r="E248" s="509"/>
      <c r="F248" s="509"/>
      <c r="G248" s="509"/>
      <c r="H248" s="509"/>
      <c r="I248" s="509"/>
      <c r="J248" s="509"/>
      <c r="K248" s="509"/>
      <c r="L248" s="509"/>
      <c r="M248" s="509"/>
      <c r="N248" s="509"/>
      <c r="O248" s="509"/>
      <c r="P248" s="509"/>
      <c r="Q248" s="509"/>
      <c r="R248" s="509"/>
      <c r="S248" s="509"/>
      <c r="T248" s="509"/>
      <c r="U248" s="509"/>
      <c r="V248" s="509"/>
      <c r="W248" s="509"/>
      <c r="X248" s="509"/>
      <c r="Y248" s="509"/>
      <c r="Z248" s="509"/>
      <c r="AA248" s="509"/>
      <c r="AB248" s="509"/>
      <c r="AC248" s="509"/>
      <c r="AD248" s="509"/>
      <c r="AE248" s="509"/>
      <c r="AF248" s="509"/>
      <c r="AG248" s="509"/>
      <c r="AH248" s="509"/>
    </row>
    <row r="249" spans="2:34">
      <c r="B249" s="509"/>
      <c r="C249" s="509"/>
      <c r="D249" s="509"/>
      <c r="E249" s="509"/>
      <c r="F249" s="509"/>
      <c r="G249" s="509"/>
      <c r="H249" s="509"/>
      <c r="I249" s="509"/>
      <c r="J249" s="509"/>
      <c r="K249" s="509"/>
      <c r="L249" s="509"/>
      <c r="M249" s="509"/>
      <c r="N249" s="509"/>
      <c r="O249" s="509"/>
      <c r="P249" s="509"/>
      <c r="Q249" s="509"/>
      <c r="R249" s="509"/>
      <c r="S249" s="509"/>
      <c r="T249" s="509"/>
      <c r="U249" s="509"/>
      <c r="V249" s="509"/>
      <c r="W249" s="509"/>
      <c r="X249" s="509"/>
      <c r="Y249" s="509"/>
      <c r="Z249" s="509"/>
      <c r="AA249" s="509"/>
      <c r="AB249" s="509"/>
      <c r="AC249" s="509"/>
      <c r="AD249" s="509"/>
      <c r="AE249" s="509"/>
      <c r="AF249" s="509"/>
      <c r="AG249" s="509"/>
      <c r="AH249" s="509"/>
    </row>
    <row r="250" spans="2:34">
      <c r="B250" s="509"/>
      <c r="C250" s="509"/>
      <c r="D250" s="509"/>
      <c r="E250" s="509"/>
      <c r="F250" s="509"/>
      <c r="G250" s="509"/>
      <c r="H250" s="509"/>
      <c r="I250" s="509"/>
      <c r="J250" s="509"/>
      <c r="K250" s="509"/>
      <c r="L250" s="509"/>
      <c r="M250" s="509"/>
      <c r="N250" s="509"/>
      <c r="O250" s="509"/>
      <c r="P250" s="509"/>
      <c r="Q250" s="509"/>
      <c r="R250" s="509"/>
      <c r="S250" s="509"/>
      <c r="T250" s="509"/>
      <c r="U250" s="509"/>
      <c r="V250" s="509"/>
      <c r="W250" s="509"/>
      <c r="X250" s="509"/>
      <c r="Y250" s="509"/>
      <c r="Z250" s="509"/>
      <c r="AA250" s="509"/>
      <c r="AB250" s="509"/>
      <c r="AC250" s="509"/>
      <c r="AD250" s="509"/>
      <c r="AE250" s="509"/>
      <c r="AF250" s="509"/>
      <c r="AG250" s="509"/>
      <c r="AH250" s="509"/>
    </row>
    <row r="251" spans="2:34">
      <c r="B251" s="509"/>
      <c r="C251" s="509"/>
      <c r="D251" s="509"/>
      <c r="E251" s="509"/>
      <c r="F251" s="509"/>
      <c r="G251" s="509"/>
      <c r="H251" s="509"/>
      <c r="I251" s="509"/>
      <c r="J251" s="509"/>
      <c r="K251" s="509"/>
      <c r="L251" s="509"/>
      <c r="M251" s="509"/>
      <c r="N251" s="509"/>
      <c r="O251" s="509"/>
      <c r="P251" s="509"/>
      <c r="Q251" s="509"/>
      <c r="R251" s="509"/>
      <c r="S251" s="509"/>
      <c r="T251" s="509"/>
      <c r="U251" s="509"/>
      <c r="V251" s="509"/>
      <c r="W251" s="509"/>
      <c r="X251" s="509"/>
      <c r="Y251" s="509"/>
      <c r="Z251" s="509"/>
      <c r="AA251" s="509"/>
      <c r="AB251" s="509"/>
      <c r="AC251" s="509"/>
      <c r="AD251" s="509"/>
      <c r="AE251" s="509"/>
      <c r="AF251" s="509"/>
      <c r="AG251" s="509"/>
      <c r="AH251" s="509"/>
    </row>
    <row r="252" spans="2:34">
      <c r="B252" s="509"/>
      <c r="C252" s="509"/>
      <c r="D252" s="509"/>
      <c r="E252" s="509"/>
      <c r="F252" s="509"/>
      <c r="G252" s="509"/>
      <c r="H252" s="509"/>
      <c r="I252" s="509"/>
      <c r="J252" s="509"/>
      <c r="K252" s="509"/>
      <c r="L252" s="509"/>
      <c r="M252" s="509"/>
      <c r="N252" s="509"/>
      <c r="O252" s="509"/>
      <c r="P252" s="509"/>
      <c r="Q252" s="509"/>
      <c r="R252" s="509"/>
      <c r="S252" s="509"/>
      <c r="T252" s="509"/>
      <c r="U252" s="509"/>
      <c r="V252" s="509"/>
      <c r="W252" s="509"/>
      <c r="X252" s="509"/>
      <c r="Y252" s="509"/>
      <c r="Z252" s="509"/>
      <c r="AA252" s="509"/>
      <c r="AB252" s="509"/>
      <c r="AC252" s="509"/>
      <c r="AD252" s="509"/>
      <c r="AE252" s="509"/>
      <c r="AF252" s="509"/>
      <c r="AG252" s="509"/>
      <c r="AH252" s="509"/>
    </row>
    <row r="253" spans="2:34">
      <c r="B253" s="509"/>
      <c r="C253" s="509"/>
      <c r="D253" s="509"/>
      <c r="E253" s="509"/>
      <c r="F253" s="509"/>
      <c r="G253" s="509"/>
      <c r="H253" s="509"/>
      <c r="I253" s="509"/>
      <c r="J253" s="509"/>
      <c r="K253" s="509"/>
      <c r="L253" s="509"/>
      <c r="M253" s="509"/>
      <c r="N253" s="509"/>
      <c r="O253" s="509"/>
      <c r="P253" s="509"/>
      <c r="Q253" s="509"/>
      <c r="R253" s="509"/>
      <c r="S253" s="509"/>
      <c r="T253" s="509"/>
      <c r="U253" s="509"/>
      <c r="V253" s="509"/>
      <c r="W253" s="509"/>
      <c r="X253" s="509"/>
      <c r="Y253" s="509"/>
      <c r="Z253" s="509"/>
      <c r="AA253" s="509"/>
      <c r="AB253" s="509"/>
      <c r="AC253" s="509"/>
      <c r="AD253" s="509"/>
      <c r="AE253" s="509"/>
      <c r="AF253" s="509"/>
      <c r="AG253" s="509"/>
      <c r="AH253" s="509"/>
    </row>
    <row r="254" spans="2:34">
      <c r="B254" s="509"/>
      <c r="C254" s="509"/>
      <c r="D254" s="509"/>
      <c r="E254" s="509"/>
      <c r="F254" s="509"/>
      <c r="G254" s="509"/>
      <c r="H254" s="509"/>
      <c r="I254" s="509"/>
      <c r="J254" s="509"/>
      <c r="K254" s="509"/>
      <c r="L254" s="509"/>
      <c r="M254" s="509"/>
      <c r="N254" s="509"/>
      <c r="O254" s="509"/>
      <c r="P254" s="509"/>
      <c r="Q254" s="509"/>
      <c r="R254" s="509"/>
      <c r="S254" s="509"/>
      <c r="T254" s="509"/>
      <c r="U254" s="509"/>
      <c r="V254" s="509"/>
      <c r="W254" s="509"/>
      <c r="X254" s="509"/>
      <c r="Y254" s="509"/>
      <c r="Z254" s="509"/>
      <c r="AA254" s="509"/>
      <c r="AB254" s="509"/>
      <c r="AC254" s="509"/>
      <c r="AD254" s="509"/>
      <c r="AE254" s="509"/>
      <c r="AF254" s="509"/>
      <c r="AG254" s="509"/>
      <c r="AH254" s="509"/>
    </row>
    <row r="255" spans="2:34">
      <c r="B255" s="509"/>
      <c r="C255" s="509"/>
      <c r="D255" s="509"/>
      <c r="E255" s="509"/>
      <c r="F255" s="509"/>
      <c r="G255" s="509"/>
      <c r="H255" s="509"/>
      <c r="I255" s="509"/>
      <c r="J255" s="509"/>
      <c r="K255" s="509"/>
      <c r="L255" s="509"/>
      <c r="M255" s="509"/>
      <c r="N255" s="509"/>
      <c r="O255" s="509"/>
      <c r="P255" s="509"/>
      <c r="Q255" s="509"/>
      <c r="R255" s="509"/>
      <c r="S255" s="509"/>
      <c r="T255" s="509"/>
      <c r="U255" s="509"/>
      <c r="V255" s="509"/>
      <c r="W255" s="509"/>
      <c r="X255" s="509"/>
      <c r="Y255" s="509"/>
      <c r="Z255" s="509"/>
      <c r="AA255" s="509"/>
      <c r="AB255" s="509"/>
      <c r="AC255" s="509"/>
      <c r="AD255" s="509"/>
      <c r="AE255" s="509"/>
      <c r="AF255" s="509"/>
      <c r="AG255" s="509"/>
      <c r="AH255" s="509"/>
    </row>
    <row r="256" spans="2:34">
      <c r="B256" s="509"/>
      <c r="C256" s="509"/>
      <c r="D256" s="509"/>
      <c r="E256" s="509"/>
      <c r="F256" s="509"/>
      <c r="G256" s="509"/>
      <c r="H256" s="509"/>
      <c r="I256" s="509"/>
      <c r="J256" s="509"/>
      <c r="K256" s="509"/>
      <c r="L256" s="509"/>
      <c r="M256" s="509"/>
      <c r="N256" s="509"/>
      <c r="O256" s="509"/>
      <c r="P256" s="509"/>
      <c r="Q256" s="509"/>
      <c r="R256" s="509"/>
      <c r="S256" s="509"/>
      <c r="T256" s="509"/>
      <c r="U256" s="509"/>
      <c r="V256" s="509"/>
      <c r="W256" s="509"/>
      <c r="X256" s="509"/>
      <c r="Y256" s="509"/>
      <c r="Z256" s="509"/>
      <c r="AA256" s="509"/>
      <c r="AB256" s="509"/>
      <c r="AC256" s="509"/>
      <c r="AD256" s="509"/>
      <c r="AE256" s="509"/>
      <c r="AF256" s="509"/>
      <c r="AG256" s="509"/>
      <c r="AH256" s="509"/>
    </row>
    <row r="257" spans="2:34">
      <c r="B257" s="509"/>
      <c r="C257" s="509"/>
      <c r="D257" s="509"/>
      <c r="E257" s="509"/>
      <c r="F257" s="509"/>
      <c r="G257" s="509"/>
      <c r="H257" s="509"/>
      <c r="I257" s="509"/>
      <c r="J257" s="509"/>
      <c r="K257" s="509"/>
      <c r="L257" s="509"/>
      <c r="M257" s="509"/>
      <c r="N257" s="509"/>
      <c r="O257" s="509"/>
      <c r="P257" s="509"/>
      <c r="Q257" s="509"/>
      <c r="R257" s="509"/>
      <c r="S257" s="509"/>
      <c r="T257" s="509"/>
      <c r="U257" s="509"/>
      <c r="V257" s="509"/>
      <c r="W257" s="509"/>
      <c r="X257" s="509"/>
      <c r="Y257" s="509"/>
      <c r="Z257" s="509"/>
      <c r="AA257" s="509"/>
      <c r="AB257" s="509"/>
      <c r="AC257" s="509"/>
      <c r="AD257" s="509"/>
      <c r="AE257" s="509"/>
      <c r="AF257" s="509"/>
      <c r="AG257" s="509"/>
      <c r="AH257" s="509"/>
    </row>
    <row r="258" spans="2:34">
      <c r="B258" s="509"/>
      <c r="C258" s="509"/>
      <c r="D258" s="509"/>
      <c r="E258" s="509"/>
      <c r="F258" s="509"/>
      <c r="G258" s="509"/>
      <c r="H258" s="509"/>
      <c r="I258" s="509"/>
      <c r="J258" s="509"/>
      <c r="K258" s="509"/>
      <c r="L258" s="509"/>
      <c r="M258" s="509"/>
      <c r="N258" s="509"/>
      <c r="O258" s="509"/>
      <c r="P258" s="509"/>
      <c r="Q258" s="509"/>
      <c r="R258" s="509"/>
      <c r="S258" s="509"/>
      <c r="T258" s="509"/>
      <c r="U258" s="509"/>
      <c r="V258" s="509"/>
      <c r="W258" s="509"/>
      <c r="X258" s="509"/>
      <c r="Y258" s="509"/>
      <c r="Z258" s="509"/>
      <c r="AA258" s="509"/>
      <c r="AB258" s="509"/>
      <c r="AC258" s="509"/>
      <c r="AD258" s="509"/>
      <c r="AE258" s="509"/>
      <c r="AF258" s="509"/>
      <c r="AG258" s="509"/>
      <c r="AH258" s="509"/>
    </row>
    <row r="259" spans="2:34">
      <c r="B259" s="509"/>
      <c r="C259" s="509"/>
      <c r="D259" s="509"/>
      <c r="E259" s="509"/>
      <c r="F259" s="509"/>
      <c r="G259" s="509"/>
      <c r="H259" s="509"/>
      <c r="I259" s="509"/>
      <c r="J259" s="509"/>
      <c r="K259" s="509"/>
      <c r="L259" s="509"/>
      <c r="M259" s="509"/>
      <c r="N259" s="509"/>
      <c r="O259" s="509"/>
      <c r="P259" s="509"/>
      <c r="Q259" s="509"/>
      <c r="R259" s="509"/>
      <c r="S259" s="509"/>
      <c r="T259" s="509"/>
      <c r="U259" s="509"/>
      <c r="V259" s="509"/>
      <c r="W259" s="509"/>
      <c r="X259" s="509"/>
      <c r="Y259" s="509"/>
      <c r="Z259" s="509"/>
      <c r="AA259" s="509"/>
      <c r="AB259" s="509"/>
      <c r="AC259" s="509"/>
      <c r="AD259" s="509"/>
      <c r="AE259" s="509"/>
      <c r="AF259" s="509"/>
      <c r="AG259" s="509"/>
      <c r="AH259" s="509"/>
    </row>
    <row r="260" spans="2:34">
      <c r="B260" s="509"/>
      <c r="C260" s="509"/>
      <c r="D260" s="509"/>
      <c r="E260" s="509"/>
      <c r="F260" s="509"/>
      <c r="G260" s="509"/>
      <c r="H260" s="509"/>
      <c r="I260" s="509"/>
      <c r="J260" s="509"/>
      <c r="K260" s="509"/>
      <c r="L260" s="509"/>
      <c r="M260" s="509"/>
      <c r="N260" s="509"/>
      <c r="O260" s="509"/>
      <c r="P260" s="509"/>
      <c r="Q260" s="509"/>
      <c r="R260" s="509"/>
      <c r="S260" s="509"/>
      <c r="T260" s="509"/>
      <c r="U260" s="509"/>
      <c r="V260" s="509"/>
      <c r="W260" s="509"/>
      <c r="X260" s="509"/>
      <c r="Y260" s="509"/>
      <c r="Z260" s="509"/>
      <c r="AA260" s="509"/>
      <c r="AB260" s="509"/>
      <c r="AC260" s="509"/>
      <c r="AD260" s="509"/>
      <c r="AE260" s="509"/>
      <c r="AF260" s="509"/>
      <c r="AG260" s="509"/>
      <c r="AH260" s="509"/>
    </row>
    <row r="261" spans="2:34">
      <c r="B261" s="509"/>
      <c r="C261" s="509"/>
      <c r="D261" s="509"/>
      <c r="E261" s="509"/>
      <c r="F261" s="509"/>
      <c r="G261" s="509"/>
      <c r="H261" s="509"/>
      <c r="I261" s="509"/>
      <c r="J261" s="509"/>
      <c r="K261" s="509"/>
      <c r="L261" s="509"/>
      <c r="M261" s="509"/>
      <c r="N261" s="509"/>
      <c r="O261" s="509"/>
      <c r="P261" s="509"/>
      <c r="Q261" s="509"/>
      <c r="R261" s="509"/>
      <c r="S261" s="509"/>
      <c r="T261" s="509"/>
      <c r="U261" s="509"/>
      <c r="V261" s="509"/>
      <c r="W261" s="509"/>
      <c r="X261" s="509"/>
      <c r="Y261" s="509"/>
      <c r="Z261" s="509"/>
      <c r="AA261" s="509"/>
      <c r="AB261" s="509"/>
      <c r="AC261" s="509"/>
      <c r="AD261" s="509"/>
      <c r="AE261" s="509"/>
      <c r="AF261" s="509"/>
      <c r="AG261" s="509"/>
      <c r="AH261" s="509"/>
    </row>
    <row r="262" spans="2:34">
      <c r="B262" s="509"/>
      <c r="C262" s="509"/>
      <c r="D262" s="509"/>
      <c r="E262" s="509"/>
      <c r="F262" s="509"/>
      <c r="G262" s="509"/>
      <c r="H262" s="509"/>
      <c r="I262" s="509"/>
      <c r="J262" s="509"/>
      <c r="K262" s="509"/>
      <c r="L262" s="509"/>
      <c r="M262" s="509"/>
      <c r="N262" s="509"/>
      <c r="O262" s="509"/>
      <c r="P262" s="509"/>
      <c r="Q262" s="509"/>
      <c r="R262" s="509"/>
      <c r="S262" s="509"/>
      <c r="T262" s="509"/>
      <c r="U262" s="509"/>
      <c r="V262" s="509"/>
      <c r="W262" s="509"/>
      <c r="X262" s="509"/>
      <c r="Y262" s="509"/>
      <c r="Z262" s="509"/>
      <c r="AA262" s="509"/>
      <c r="AB262" s="509"/>
      <c r="AC262" s="509"/>
      <c r="AD262" s="509"/>
      <c r="AE262" s="509"/>
      <c r="AF262" s="509"/>
      <c r="AG262" s="509"/>
      <c r="AH262" s="509"/>
    </row>
    <row r="263" spans="2:34">
      <c r="B263" s="509"/>
      <c r="C263" s="509"/>
      <c r="D263" s="509"/>
      <c r="E263" s="509"/>
      <c r="F263" s="509"/>
      <c r="G263" s="509"/>
      <c r="H263" s="509"/>
      <c r="I263" s="509"/>
      <c r="J263" s="509"/>
      <c r="K263" s="509"/>
      <c r="L263" s="509"/>
      <c r="M263" s="509"/>
      <c r="N263" s="509"/>
      <c r="O263" s="509"/>
      <c r="P263" s="509"/>
      <c r="Q263" s="509"/>
      <c r="R263" s="509"/>
      <c r="S263" s="509"/>
      <c r="T263" s="509"/>
      <c r="U263" s="509"/>
      <c r="V263" s="509"/>
      <c r="W263" s="509"/>
      <c r="X263" s="509"/>
      <c r="Y263" s="509"/>
      <c r="Z263" s="509"/>
      <c r="AA263" s="509"/>
      <c r="AB263" s="509"/>
      <c r="AC263" s="509"/>
      <c r="AD263" s="509"/>
      <c r="AE263" s="509"/>
      <c r="AF263" s="509"/>
      <c r="AG263" s="509"/>
      <c r="AH263" s="509"/>
    </row>
    <row r="264" spans="2:34">
      <c r="B264" s="509"/>
      <c r="C264" s="509"/>
      <c r="D264" s="509"/>
      <c r="E264" s="509"/>
      <c r="F264" s="509"/>
      <c r="G264" s="509"/>
      <c r="H264" s="509"/>
      <c r="I264" s="509"/>
      <c r="J264" s="509"/>
      <c r="K264" s="509"/>
      <c r="L264" s="509"/>
      <c r="M264" s="509"/>
      <c r="N264" s="509"/>
      <c r="O264" s="509"/>
      <c r="P264" s="509"/>
      <c r="Q264" s="509"/>
      <c r="R264" s="509"/>
      <c r="S264" s="509"/>
      <c r="T264" s="509"/>
      <c r="U264" s="509"/>
      <c r="V264" s="509"/>
      <c r="W264" s="509"/>
      <c r="X264" s="509"/>
      <c r="Y264" s="509"/>
      <c r="Z264" s="509"/>
      <c r="AA264" s="509"/>
      <c r="AB264" s="509"/>
      <c r="AC264" s="509"/>
      <c r="AD264" s="509"/>
      <c r="AE264" s="509"/>
      <c r="AF264" s="509"/>
      <c r="AG264" s="509"/>
      <c r="AH264" s="509"/>
    </row>
    <row r="265" spans="2:34">
      <c r="B265" s="509"/>
      <c r="C265" s="509"/>
      <c r="D265" s="509"/>
      <c r="E265" s="509"/>
      <c r="F265" s="509"/>
      <c r="G265" s="509"/>
      <c r="H265" s="509"/>
      <c r="I265" s="509"/>
      <c r="J265" s="509"/>
      <c r="K265" s="509"/>
      <c r="L265" s="509"/>
      <c r="M265" s="509"/>
      <c r="N265" s="509"/>
      <c r="O265" s="509"/>
      <c r="P265" s="509"/>
      <c r="Q265" s="509"/>
      <c r="R265" s="509"/>
      <c r="S265" s="509"/>
      <c r="T265" s="509"/>
      <c r="U265" s="509"/>
      <c r="V265" s="509"/>
      <c r="W265" s="509"/>
      <c r="X265" s="509"/>
      <c r="Y265" s="509"/>
      <c r="Z265" s="509"/>
      <c r="AA265" s="509"/>
      <c r="AB265" s="509"/>
      <c r="AC265" s="509"/>
      <c r="AD265" s="509"/>
      <c r="AE265" s="509"/>
      <c r="AF265" s="509"/>
      <c r="AG265" s="509"/>
      <c r="AH265" s="509"/>
    </row>
    <row r="266" spans="2:34">
      <c r="B266" s="509"/>
      <c r="C266" s="509"/>
      <c r="D266" s="509"/>
      <c r="E266" s="509"/>
      <c r="F266" s="509"/>
      <c r="G266" s="509"/>
      <c r="H266" s="509"/>
      <c r="I266" s="509"/>
      <c r="J266" s="509"/>
      <c r="K266" s="509"/>
      <c r="L266" s="509"/>
      <c r="M266" s="509"/>
      <c r="N266" s="509"/>
      <c r="O266" s="509"/>
      <c r="P266" s="509"/>
      <c r="Q266" s="509"/>
      <c r="R266" s="509"/>
      <c r="S266" s="509"/>
      <c r="T266" s="509"/>
      <c r="U266" s="509"/>
      <c r="V266" s="509"/>
      <c r="W266" s="509"/>
      <c r="X266" s="509"/>
      <c r="Y266" s="509"/>
      <c r="Z266" s="509"/>
      <c r="AA266" s="509"/>
      <c r="AB266" s="509"/>
      <c r="AC266" s="509"/>
      <c r="AD266" s="509"/>
      <c r="AE266" s="509"/>
      <c r="AF266" s="509"/>
      <c r="AG266" s="509"/>
      <c r="AH266" s="509"/>
    </row>
    <row r="267" spans="2:34">
      <c r="B267" s="509"/>
      <c r="C267" s="509"/>
      <c r="D267" s="509"/>
      <c r="E267" s="509"/>
      <c r="F267" s="509"/>
      <c r="G267" s="509"/>
      <c r="H267" s="509"/>
      <c r="I267" s="509"/>
      <c r="J267" s="509"/>
      <c r="K267" s="509"/>
      <c r="L267" s="509"/>
      <c r="M267" s="509"/>
      <c r="N267" s="509"/>
      <c r="O267" s="509"/>
      <c r="P267" s="509"/>
      <c r="Q267" s="509"/>
      <c r="R267" s="509"/>
      <c r="S267" s="509"/>
      <c r="T267" s="509"/>
      <c r="U267" s="509"/>
      <c r="V267" s="509"/>
      <c r="W267" s="509"/>
      <c r="X267" s="509"/>
      <c r="Y267" s="509"/>
      <c r="Z267" s="509"/>
      <c r="AA267" s="509"/>
      <c r="AB267" s="509"/>
      <c r="AC267" s="509"/>
      <c r="AD267" s="509"/>
      <c r="AE267" s="509"/>
      <c r="AF267" s="509"/>
      <c r="AG267" s="509"/>
      <c r="AH267" s="509"/>
    </row>
    <row r="268" spans="2:34">
      <c r="B268" s="509"/>
      <c r="C268" s="509"/>
      <c r="D268" s="509"/>
      <c r="E268" s="509"/>
      <c r="F268" s="509"/>
      <c r="G268" s="509"/>
      <c r="H268" s="509"/>
      <c r="I268" s="509"/>
      <c r="J268" s="509"/>
      <c r="K268" s="509"/>
      <c r="L268" s="509"/>
      <c r="M268" s="509"/>
      <c r="N268" s="509"/>
      <c r="O268" s="509"/>
      <c r="P268" s="509"/>
      <c r="Q268" s="509"/>
      <c r="R268" s="509"/>
      <c r="S268" s="509"/>
      <c r="T268" s="509"/>
      <c r="U268" s="509"/>
      <c r="V268" s="509"/>
      <c r="W268" s="509"/>
      <c r="X268" s="509"/>
      <c r="Y268" s="509"/>
      <c r="Z268" s="509"/>
      <c r="AA268" s="509"/>
      <c r="AB268" s="509"/>
      <c r="AC268" s="509"/>
      <c r="AD268" s="509"/>
      <c r="AE268" s="509"/>
      <c r="AF268" s="509"/>
      <c r="AG268" s="509"/>
      <c r="AH268" s="509"/>
    </row>
    <row r="269" spans="2:34">
      <c r="B269" s="509"/>
      <c r="C269" s="509"/>
      <c r="D269" s="509"/>
      <c r="E269" s="509"/>
      <c r="F269" s="509"/>
      <c r="G269" s="509"/>
      <c r="H269" s="509"/>
      <c r="I269" s="509"/>
      <c r="J269" s="509"/>
      <c r="K269" s="509"/>
      <c r="L269" s="509"/>
      <c r="M269" s="509"/>
      <c r="N269" s="509"/>
      <c r="O269" s="509"/>
      <c r="P269" s="509"/>
      <c r="Q269" s="509"/>
      <c r="R269" s="509"/>
      <c r="S269" s="509"/>
      <c r="T269" s="509"/>
      <c r="U269" s="509"/>
      <c r="V269" s="509"/>
      <c r="W269" s="509"/>
      <c r="X269" s="509"/>
      <c r="Y269" s="509"/>
      <c r="Z269" s="509"/>
      <c r="AA269" s="509"/>
      <c r="AB269" s="509"/>
      <c r="AC269" s="509"/>
      <c r="AD269" s="509"/>
      <c r="AE269" s="509"/>
      <c r="AF269" s="509"/>
      <c r="AG269" s="509"/>
      <c r="AH269" s="509"/>
    </row>
    <row r="270" spans="2:34">
      <c r="B270" s="509"/>
      <c r="C270" s="509"/>
      <c r="D270" s="509"/>
      <c r="E270" s="509"/>
      <c r="F270" s="509"/>
      <c r="G270" s="509"/>
      <c r="H270" s="509"/>
      <c r="I270" s="509"/>
      <c r="J270" s="509"/>
      <c r="K270" s="509"/>
      <c r="L270" s="509"/>
      <c r="M270" s="509"/>
      <c r="N270" s="509"/>
      <c r="O270" s="509"/>
      <c r="P270" s="509"/>
      <c r="Q270" s="509"/>
      <c r="R270" s="509"/>
      <c r="S270" s="509"/>
      <c r="T270" s="509"/>
      <c r="U270" s="509"/>
      <c r="V270" s="509"/>
      <c r="W270" s="509"/>
      <c r="X270" s="509"/>
      <c r="Y270" s="509"/>
      <c r="Z270" s="509"/>
      <c r="AA270" s="509"/>
      <c r="AB270" s="509"/>
      <c r="AC270" s="509"/>
      <c r="AD270" s="509"/>
      <c r="AE270" s="509"/>
      <c r="AF270" s="509"/>
      <c r="AG270" s="509"/>
      <c r="AH270" s="509"/>
    </row>
    <row r="271" spans="2:34">
      <c r="B271" s="509"/>
      <c r="C271" s="509"/>
      <c r="D271" s="509"/>
      <c r="E271" s="509"/>
      <c r="F271" s="509"/>
      <c r="G271" s="509"/>
      <c r="H271" s="509"/>
      <c r="I271" s="509"/>
      <c r="J271" s="509"/>
      <c r="K271" s="509"/>
      <c r="L271" s="509"/>
      <c r="M271" s="509"/>
      <c r="N271" s="509"/>
      <c r="O271" s="509"/>
      <c r="P271" s="509"/>
      <c r="Q271" s="509"/>
      <c r="R271" s="509"/>
      <c r="S271" s="509"/>
      <c r="T271" s="509"/>
      <c r="U271" s="509"/>
      <c r="V271" s="509"/>
      <c r="W271" s="509"/>
      <c r="X271" s="509"/>
      <c r="Y271" s="509"/>
      <c r="Z271" s="509"/>
      <c r="AA271" s="509"/>
      <c r="AB271" s="509"/>
      <c r="AC271" s="509"/>
      <c r="AD271" s="509"/>
      <c r="AE271" s="509"/>
      <c r="AF271" s="509"/>
      <c r="AG271" s="509"/>
      <c r="AH271" s="509"/>
    </row>
    <row r="272" spans="2:34">
      <c r="B272" s="509"/>
      <c r="C272" s="509"/>
      <c r="D272" s="509"/>
      <c r="E272" s="509"/>
      <c r="F272" s="509"/>
      <c r="G272" s="509"/>
      <c r="H272" s="509"/>
      <c r="I272" s="509"/>
      <c r="J272" s="509"/>
      <c r="K272" s="509"/>
      <c r="L272" s="509"/>
      <c r="M272" s="509"/>
      <c r="N272" s="509"/>
      <c r="O272" s="509"/>
      <c r="P272" s="509"/>
      <c r="Q272" s="509"/>
      <c r="R272" s="509"/>
      <c r="S272" s="509"/>
      <c r="T272" s="509"/>
      <c r="U272" s="509"/>
      <c r="V272" s="509"/>
      <c r="W272" s="509"/>
      <c r="X272" s="509"/>
      <c r="Y272" s="509"/>
      <c r="Z272" s="509"/>
      <c r="AA272" s="509"/>
      <c r="AB272" s="509"/>
      <c r="AC272" s="509"/>
      <c r="AD272" s="509"/>
      <c r="AE272" s="509"/>
      <c r="AF272" s="509"/>
      <c r="AG272" s="509"/>
      <c r="AH272" s="509"/>
    </row>
    <row r="273" spans="2:34">
      <c r="B273" s="509"/>
      <c r="C273" s="509"/>
      <c r="D273" s="509"/>
      <c r="E273" s="509"/>
      <c r="F273" s="509"/>
      <c r="G273" s="509"/>
      <c r="H273" s="509"/>
      <c r="I273" s="509"/>
      <c r="J273" s="509"/>
      <c r="K273" s="509"/>
      <c r="L273" s="509"/>
      <c r="M273" s="509"/>
      <c r="N273" s="509"/>
      <c r="O273" s="509"/>
      <c r="P273" s="509"/>
      <c r="Q273" s="509"/>
      <c r="R273" s="509"/>
      <c r="S273" s="509"/>
      <c r="T273" s="509"/>
      <c r="U273" s="509"/>
      <c r="V273" s="509"/>
      <c r="W273" s="509"/>
      <c r="X273" s="509"/>
      <c r="Y273" s="509"/>
      <c r="Z273" s="509"/>
      <c r="AA273" s="509"/>
      <c r="AB273" s="509"/>
      <c r="AC273" s="509"/>
      <c r="AD273" s="509"/>
      <c r="AE273" s="509"/>
      <c r="AF273" s="509"/>
      <c r="AG273" s="509"/>
      <c r="AH273" s="509"/>
    </row>
    <row r="274" spans="2:34">
      <c r="B274" s="509"/>
      <c r="C274" s="509"/>
      <c r="D274" s="509"/>
      <c r="E274" s="509"/>
      <c r="F274" s="509"/>
      <c r="G274" s="509"/>
      <c r="H274" s="509"/>
      <c r="I274" s="509"/>
      <c r="J274" s="509"/>
      <c r="K274" s="509"/>
      <c r="L274" s="509"/>
      <c r="M274" s="509"/>
      <c r="N274" s="509"/>
      <c r="O274" s="509"/>
      <c r="P274" s="509"/>
      <c r="Q274" s="509"/>
      <c r="R274" s="509"/>
      <c r="S274" s="509"/>
      <c r="T274" s="509"/>
      <c r="U274" s="509"/>
      <c r="V274" s="509"/>
      <c r="W274" s="509"/>
      <c r="X274" s="509"/>
      <c r="Y274" s="509"/>
      <c r="Z274" s="509"/>
      <c r="AA274" s="509"/>
      <c r="AB274" s="509"/>
      <c r="AC274" s="509"/>
      <c r="AD274" s="509"/>
      <c r="AE274" s="509"/>
      <c r="AF274" s="509"/>
      <c r="AG274" s="509"/>
      <c r="AH274" s="509"/>
    </row>
    <row r="275" spans="2:34">
      <c r="B275" s="509"/>
      <c r="C275" s="509"/>
      <c r="D275" s="509"/>
      <c r="E275" s="509"/>
      <c r="F275" s="509"/>
      <c r="G275" s="509"/>
      <c r="H275" s="509"/>
      <c r="I275" s="509"/>
      <c r="J275" s="509"/>
      <c r="K275" s="509"/>
      <c r="L275" s="509"/>
      <c r="M275" s="509"/>
      <c r="N275" s="509"/>
      <c r="O275" s="509"/>
      <c r="P275" s="509"/>
      <c r="Q275" s="509"/>
      <c r="R275" s="509"/>
      <c r="S275" s="509"/>
      <c r="T275" s="509"/>
      <c r="U275" s="509"/>
      <c r="V275" s="509"/>
      <c r="W275" s="509"/>
      <c r="X275" s="509"/>
      <c r="Y275" s="509"/>
      <c r="Z275" s="509"/>
      <c r="AA275" s="509"/>
      <c r="AB275" s="509"/>
      <c r="AC275" s="509"/>
      <c r="AD275" s="509"/>
      <c r="AE275" s="509"/>
      <c r="AF275" s="509"/>
      <c r="AG275" s="509"/>
      <c r="AH275" s="509"/>
    </row>
    <row r="276" spans="2:34">
      <c r="B276" s="509"/>
      <c r="C276" s="509"/>
      <c r="D276" s="509"/>
      <c r="E276" s="509"/>
      <c r="F276" s="509"/>
      <c r="G276" s="509"/>
      <c r="H276" s="509"/>
      <c r="I276" s="509"/>
      <c r="J276" s="509"/>
      <c r="K276" s="509"/>
      <c r="L276" s="509"/>
      <c r="M276" s="509"/>
      <c r="N276" s="509"/>
      <c r="O276" s="509"/>
      <c r="P276" s="509"/>
      <c r="Q276" s="509"/>
      <c r="R276" s="509"/>
      <c r="S276" s="509"/>
      <c r="T276" s="509"/>
      <c r="U276" s="509"/>
      <c r="V276" s="509"/>
      <c r="W276" s="509"/>
      <c r="X276" s="509"/>
      <c r="Y276" s="509"/>
      <c r="Z276" s="509"/>
      <c r="AA276" s="509"/>
      <c r="AB276" s="509"/>
      <c r="AC276" s="509"/>
      <c r="AD276" s="509"/>
      <c r="AE276" s="509"/>
      <c r="AF276" s="509"/>
      <c r="AG276" s="509"/>
      <c r="AH276" s="509"/>
    </row>
    <row r="277" spans="2:34">
      <c r="B277" s="509"/>
      <c r="C277" s="509"/>
      <c r="D277" s="509"/>
      <c r="E277" s="509"/>
      <c r="F277" s="509"/>
      <c r="G277" s="509"/>
      <c r="H277" s="509"/>
      <c r="I277" s="509"/>
      <c r="J277" s="509"/>
      <c r="K277" s="509"/>
      <c r="L277" s="509"/>
      <c r="M277" s="509"/>
      <c r="N277" s="509"/>
      <c r="O277" s="509"/>
      <c r="P277" s="509"/>
      <c r="Q277" s="509"/>
      <c r="R277" s="509"/>
      <c r="S277" s="509"/>
      <c r="T277" s="509"/>
      <c r="U277" s="509"/>
      <c r="V277" s="509"/>
      <c r="W277" s="509"/>
      <c r="X277" s="509"/>
      <c r="Y277" s="509"/>
      <c r="Z277" s="509"/>
      <c r="AA277" s="509"/>
      <c r="AB277" s="509"/>
      <c r="AC277" s="509"/>
      <c r="AD277" s="509"/>
      <c r="AE277" s="509"/>
      <c r="AF277" s="509"/>
      <c r="AG277" s="509"/>
      <c r="AH277" s="509"/>
    </row>
    <row r="278" spans="2:34">
      <c r="B278" s="509"/>
      <c r="C278" s="509"/>
      <c r="D278" s="509"/>
      <c r="E278" s="509"/>
      <c r="F278" s="509"/>
      <c r="G278" s="509"/>
      <c r="H278" s="509"/>
      <c r="I278" s="509"/>
      <c r="J278" s="509"/>
      <c r="K278" s="509"/>
      <c r="L278" s="509"/>
      <c r="M278" s="509"/>
      <c r="N278" s="509"/>
      <c r="O278" s="509"/>
      <c r="P278" s="509"/>
      <c r="Q278" s="509"/>
      <c r="R278" s="509"/>
      <c r="S278" s="509"/>
      <c r="T278" s="509"/>
      <c r="U278" s="509"/>
      <c r="V278" s="509"/>
      <c r="W278" s="509"/>
      <c r="X278" s="509"/>
      <c r="Y278" s="509"/>
      <c r="Z278" s="509"/>
      <c r="AA278" s="509"/>
      <c r="AB278" s="509"/>
      <c r="AC278" s="509"/>
      <c r="AD278" s="509"/>
      <c r="AE278" s="509"/>
      <c r="AF278" s="509"/>
      <c r="AG278" s="509"/>
      <c r="AH278" s="509"/>
    </row>
    <row r="279" spans="2:34">
      <c r="B279" s="509"/>
      <c r="C279" s="509"/>
      <c r="D279" s="509"/>
      <c r="E279" s="509"/>
      <c r="F279" s="509"/>
      <c r="G279" s="509"/>
      <c r="H279" s="509"/>
      <c r="I279" s="509"/>
      <c r="J279" s="509"/>
      <c r="K279" s="509"/>
      <c r="L279" s="509"/>
      <c r="M279" s="509"/>
      <c r="N279" s="509"/>
      <c r="O279" s="509"/>
      <c r="P279" s="509"/>
      <c r="Q279" s="509"/>
      <c r="R279" s="509"/>
      <c r="S279" s="509"/>
      <c r="T279" s="509"/>
      <c r="U279" s="509"/>
      <c r="V279" s="509"/>
      <c r="W279" s="509"/>
      <c r="X279" s="509"/>
      <c r="Y279" s="509"/>
      <c r="Z279" s="509"/>
      <c r="AA279" s="509"/>
      <c r="AB279" s="509"/>
      <c r="AC279" s="509"/>
      <c r="AD279" s="509"/>
      <c r="AE279" s="509"/>
      <c r="AF279" s="509"/>
      <c r="AG279" s="509"/>
      <c r="AH279" s="509"/>
    </row>
    <row r="280" spans="2:34">
      <c r="B280" s="509"/>
      <c r="C280" s="509"/>
      <c r="D280" s="509"/>
      <c r="E280" s="509"/>
      <c r="F280" s="509"/>
      <c r="G280" s="509"/>
      <c r="H280" s="509"/>
      <c r="I280" s="509"/>
      <c r="J280" s="509"/>
      <c r="K280" s="509"/>
      <c r="L280" s="509"/>
      <c r="M280" s="509"/>
      <c r="N280" s="509"/>
      <c r="O280" s="509"/>
      <c r="P280" s="509"/>
      <c r="Q280" s="509"/>
      <c r="R280" s="509"/>
      <c r="S280" s="509"/>
      <c r="T280" s="509"/>
      <c r="U280" s="509"/>
      <c r="V280" s="509"/>
      <c r="W280" s="509"/>
      <c r="X280" s="509"/>
      <c r="Y280" s="509"/>
      <c r="Z280" s="509"/>
      <c r="AA280" s="509"/>
      <c r="AB280" s="509"/>
      <c r="AC280" s="509"/>
      <c r="AD280" s="509"/>
      <c r="AE280" s="509"/>
      <c r="AF280" s="509"/>
      <c r="AG280" s="509"/>
      <c r="AH280" s="509"/>
    </row>
    <row r="281" spans="2:34">
      <c r="B281" s="509"/>
      <c r="C281" s="509"/>
      <c r="D281" s="509"/>
      <c r="E281" s="509"/>
      <c r="F281" s="509"/>
      <c r="G281" s="509"/>
      <c r="H281" s="509"/>
      <c r="I281" s="509"/>
      <c r="J281" s="509"/>
      <c r="K281" s="509"/>
      <c r="L281" s="509"/>
      <c r="M281" s="509"/>
      <c r="N281" s="509"/>
      <c r="O281" s="509"/>
      <c r="P281" s="509"/>
      <c r="Q281" s="509"/>
      <c r="R281" s="509"/>
      <c r="S281" s="509"/>
      <c r="T281" s="509"/>
      <c r="U281" s="509"/>
      <c r="V281" s="509"/>
      <c r="W281" s="509"/>
      <c r="X281" s="509"/>
      <c r="Y281" s="509"/>
      <c r="Z281" s="509"/>
      <c r="AA281" s="509"/>
      <c r="AB281" s="509"/>
      <c r="AC281" s="509"/>
      <c r="AD281" s="509"/>
      <c r="AE281" s="509"/>
      <c r="AF281" s="509"/>
      <c r="AG281" s="509"/>
      <c r="AH281" s="509"/>
    </row>
    <row r="282" spans="2:34">
      <c r="B282" s="509"/>
      <c r="C282" s="509"/>
      <c r="D282" s="509"/>
      <c r="E282" s="509"/>
      <c r="F282" s="509"/>
      <c r="G282" s="509"/>
      <c r="H282" s="509"/>
      <c r="I282" s="509"/>
      <c r="J282" s="509"/>
      <c r="K282" s="509"/>
      <c r="L282" s="509"/>
      <c r="M282" s="509"/>
      <c r="N282" s="509"/>
      <c r="O282" s="509"/>
      <c r="P282" s="509"/>
      <c r="Q282" s="509"/>
      <c r="R282" s="509"/>
      <c r="S282" s="509"/>
      <c r="T282" s="509"/>
      <c r="U282" s="509"/>
      <c r="V282" s="509"/>
      <c r="W282" s="509"/>
      <c r="X282" s="509"/>
      <c r="Y282" s="509"/>
      <c r="Z282" s="509"/>
      <c r="AA282" s="509"/>
      <c r="AB282" s="509"/>
      <c r="AC282" s="509"/>
      <c r="AD282" s="509"/>
      <c r="AE282" s="509"/>
      <c r="AF282" s="509"/>
      <c r="AG282" s="509"/>
      <c r="AH282" s="509"/>
    </row>
    <row r="283" spans="2:34">
      <c r="B283" s="509"/>
      <c r="C283" s="509"/>
      <c r="D283" s="509"/>
      <c r="E283" s="509"/>
      <c r="F283" s="509"/>
      <c r="G283" s="509"/>
      <c r="H283" s="509"/>
      <c r="I283" s="509"/>
      <c r="J283" s="509"/>
      <c r="K283" s="509"/>
      <c r="L283" s="509"/>
      <c r="M283" s="509"/>
      <c r="N283" s="509"/>
      <c r="O283" s="509"/>
      <c r="P283" s="509"/>
      <c r="Q283" s="509"/>
      <c r="R283" s="509"/>
      <c r="S283" s="509"/>
      <c r="T283" s="509"/>
      <c r="U283" s="509"/>
      <c r="V283" s="509"/>
      <c r="W283" s="509"/>
      <c r="X283" s="509"/>
      <c r="Y283" s="509"/>
      <c r="Z283" s="509"/>
      <c r="AA283" s="509"/>
      <c r="AB283" s="509"/>
      <c r="AC283" s="509"/>
      <c r="AD283" s="509"/>
      <c r="AE283" s="509"/>
      <c r="AF283" s="509"/>
      <c r="AG283" s="509"/>
      <c r="AH283" s="509"/>
    </row>
    <row r="284" spans="2:34">
      <c r="B284" s="509"/>
      <c r="C284" s="509"/>
      <c r="D284" s="509"/>
      <c r="E284" s="509"/>
      <c r="F284" s="509"/>
      <c r="G284" s="509"/>
      <c r="H284" s="509"/>
      <c r="I284" s="509"/>
      <c r="J284" s="509"/>
      <c r="K284" s="509"/>
      <c r="L284" s="509"/>
      <c r="M284" s="509"/>
      <c r="N284" s="509"/>
      <c r="O284" s="509"/>
      <c r="P284" s="509"/>
      <c r="Q284" s="509"/>
      <c r="R284" s="509"/>
      <c r="S284" s="509"/>
      <c r="T284" s="509"/>
      <c r="U284" s="509"/>
      <c r="V284" s="509"/>
      <c r="W284" s="509"/>
      <c r="X284" s="509"/>
      <c r="Y284" s="509"/>
      <c r="Z284" s="509"/>
      <c r="AA284" s="509"/>
      <c r="AB284" s="509"/>
      <c r="AC284" s="509"/>
      <c r="AD284" s="509"/>
      <c r="AE284" s="509"/>
      <c r="AF284" s="509"/>
      <c r="AG284" s="509"/>
      <c r="AH284" s="509"/>
    </row>
    <row r="285" spans="2:34">
      <c r="B285" s="509"/>
      <c r="C285" s="509"/>
      <c r="D285" s="509"/>
      <c r="E285" s="509"/>
      <c r="F285" s="509"/>
      <c r="G285" s="509"/>
      <c r="H285" s="509"/>
      <c r="I285" s="509"/>
      <c r="J285" s="509"/>
      <c r="K285" s="509"/>
      <c r="L285" s="509"/>
      <c r="M285" s="509"/>
      <c r="N285" s="509"/>
      <c r="O285" s="509"/>
      <c r="P285" s="509"/>
      <c r="Q285" s="509"/>
      <c r="R285" s="509"/>
      <c r="S285" s="509"/>
      <c r="T285" s="509"/>
      <c r="U285" s="509"/>
      <c r="V285" s="509"/>
      <c r="W285" s="509"/>
      <c r="X285" s="509"/>
      <c r="Y285" s="509"/>
      <c r="Z285" s="509"/>
      <c r="AA285" s="509"/>
      <c r="AB285" s="509"/>
      <c r="AC285" s="509"/>
      <c r="AD285" s="509"/>
      <c r="AE285" s="509"/>
      <c r="AF285" s="509"/>
      <c r="AG285" s="509"/>
      <c r="AH285" s="509"/>
    </row>
    <row r="286" spans="2:34">
      <c r="B286" s="509"/>
      <c r="C286" s="509"/>
      <c r="D286" s="509"/>
      <c r="E286" s="509"/>
      <c r="F286" s="509"/>
      <c r="G286" s="509"/>
      <c r="H286" s="509"/>
      <c r="I286" s="509"/>
      <c r="J286" s="509"/>
      <c r="K286" s="509"/>
      <c r="L286" s="509"/>
      <c r="M286" s="509"/>
      <c r="N286" s="509"/>
      <c r="O286" s="509"/>
      <c r="P286" s="509"/>
      <c r="Q286" s="509"/>
      <c r="R286" s="509"/>
      <c r="S286" s="509"/>
      <c r="T286" s="509"/>
      <c r="U286" s="509"/>
      <c r="V286" s="509"/>
      <c r="W286" s="509"/>
      <c r="X286" s="509"/>
      <c r="Y286" s="509"/>
      <c r="Z286" s="509"/>
      <c r="AA286" s="509"/>
      <c r="AB286" s="509"/>
      <c r="AC286" s="509"/>
      <c r="AD286" s="509"/>
      <c r="AE286" s="509"/>
      <c r="AF286" s="509"/>
      <c r="AG286" s="509"/>
      <c r="AH286" s="509"/>
    </row>
    <row r="287" spans="2:34">
      <c r="B287" s="509"/>
      <c r="C287" s="509"/>
      <c r="D287" s="509"/>
      <c r="E287" s="509"/>
      <c r="F287" s="509"/>
      <c r="G287" s="509"/>
      <c r="H287" s="509"/>
      <c r="I287" s="509"/>
      <c r="J287" s="509"/>
      <c r="K287" s="509"/>
      <c r="L287" s="509"/>
      <c r="M287" s="509"/>
      <c r="N287" s="509"/>
      <c r="O287" s="509"/>
      <c r="P287" s="509"/>
      <c r="Q287" s="509"/>
      <c r="R287" s="509"/>
      <c r="S287" s="509"/>
      <c r="T287" s="509"/>
      <c r="U287" s="509"/>
      <c r="V287" s="509"/>
      <c r="W287" s="509"/>
      <c r="X287" s="509"/>
      <c r="Y287" s="509"/>
      <c r="Z287" s="509"/>
      <c r="AA287" s="509"/>
      <c r="AB287" s="509"/>
      <c r="AC287" s="509"/>
      <c r="AD287" s="509"/>
      <c r="AE287" s="509"/>
      <c r="AF287" s="509"/>
      <c r="AG287" s="509"/>
      <c r="AH287" s="509"/>
    </row>
    <row r="288" spans="2:34">
      <c r="B288" s="509"/>
      <c r="C288" s="509"/>
      <c r="D288" s="509"/>
      <c r="E288" s="509"/>
      <c r="F288" s="509"/>
      <c r="G288" s="509"/>
      <c r="H288" s="509"/>
      <c r="I288" s="509"/>
      <c r="J288" s="509"/>
      <c r="K288" s="509"/>
      <c r="L288" s="509"/>
      <c r="M288" s="509"/>
      <c r="N288" s="509"/>
      <c r="O288" s="509"/>
      <c r="P288" s="509"/>
      <c r="Q288" s="509"/>
      <c r="R288" s="509"/>
      <c r="S288" s="509"/>
      <c r="T288" s="509"/>
      <c r="U288" s="509"/>
      <c r="V288" s="509"/>
      <c r="W288" s="509"/>
      <c r="X288" s="509"/>
      <c r="Y288" s="509"/>
      <c r="Z288" s="509"/>
      <c r="AA288" s="509"/>
      <c r="AB288" s="509"/>
      <c r="AC288" s="509"/>
      <c r="AD288" s="509"/>
      <c r="AE288" s="509"/>
      <c r="AF288" s="509"/>
      <c r="AG288" s="509"/>
      <c r="AH288" s="509"/>
    </row>
    <row r="289" spans="2:34">
      <c r="B289" s="509"/>
      <c r="C289" s="509"/>
      <c r="D289" s="509"/>
      <c r="E289" s="509"/>
      <c r="F289" s="509"/>
      <c r="G289" s="509"/>
      <c r="H289" s="509"/>
      <c r="I289" s="509"/>
      <c r="J289" s="509"/>
      <c r="K289" s="509"/>
      <c r="L289" s="509"/>
      <c r="M289" s="509"/>
      <c r="N289" s="509"/>
      <c r="O289" s="509"/>
      <c r="P289" s="509"/>
      <c r="Q289" s="509"/>
      <c r="R289" s="509"/>
      <c r="S289" s="509"/>
      <c r="T289" s="509"/>
      <c r="U289" s="509"/>
      <c r="V289" s="509"/>
      <c r="W289" s="509"/>
      <c r="X289" s="509"/>
      <c r="Y289" s="509"/>
      <c r="Z289" s="509"/>
      <c r="AA289" s="509"/>
      <c r="AB289" s="509"/>
      <c r="AC289" s="509"/>
      <c r="AD289" s="509"/>
      <c r="AE289" s="509"/>
      <c r="AF289" s="509"/>
      <c r="AG289" s="509"/>
      <c r="AH289" s="509"/>
    </row>
    <row r="290" spans="2:34">
      <c r="B290" s="509"/>
      <c r="C290" s="509"/>
      <c r="D290" s="509"/>
      <c r="E290" s="509"/>
      <c r="F290" s="509"/>
      <c r="G290" s="509"/>
      <c r="H290" s="509"/>
      <c r="I290" s="509"/>
      <c r="J290" s="509"/>
      <c r="K290" s="509"/>
      <c r="L290" s="509"/>
      <c r="M290" s="509"/>
      <c r="N290" s="509"/>
      <c r="O290" s="509"/>
      <c r="P290" s="509"/>
      <c r="Q290" s="509"/>
      <c r="R290" s="509"/>
      <c r="S290" s="509"/>
      <c r="T290" s="509"/>
      <c r="U290" s="509"/>
      <c r="V290" s="509"/>
      <c r="W290" s="509"/>
      <c r="X290" s="509"/>
      <c r="Y290" s="509"/>
      <c r="Z290" s="509"/>
      <c r="AA290" s="509"/>
      <c r="AB290" s="509"/>
      <c r="AC290" s="509"/>
      <c r="AD290" s="509"/>
      <c r="AE290" s="509"/>
      <c r="AF290" s="509"/>
      <c r="AG290" s="509"/>
      <c r="AH290" s="509"/>
    </row>
    <row r="291" spans="2:34">
      <c r="B291" s="509"/>
      <c r="C291" s="509"/>
      <c r="D291" s="509"/>
      <c r="E291" s="509"/>
      <c r="F291" s="509"/>
      <c r="G291" s="509"/>
      <c r="H291" s="509"/>
      <c r="I291" s="509"/>
      <c r="J291" s="509"/>
      <c r="K291" s="509"/>
      <c r="L291" s="509"/>
      <c r="M291" s="509"/>
      <c r="N291" s="509"/>
      <c r="O291" s="509"/>
      <c r="P291" s="509"/>
      <c r="Q291" s="509"/>
      <c r="R291" s="509"/>
      <c r="S291" s="509"/>
      <c r="T291" s="509"/>
      <c r="U291" s="509"/>
      <c r="V291" s="509"/>
      <c r="W291" s="509"/>
      <c r="X291" s="509"/>
      <c r="Y291" s="509"/>
      <c r="Z291" s="509"/>
      <c r="AA291" s="509"/>
      <c r="AB291" s="509"/>
      <c r="AC291" s="509"/>
      <c r="AD291" s="509"/>
      <c r="AE291" s="509"/>
      <c r="AF291" s="509"/>
      <c r="AG291" s="509"/>
      <c r="AH291" s="509"/>
    </row>
    <row r="292" spans="2:34">
      <c r="B292" s="509"/>
      <c r="C292" s="509"/>
      <c r="D292" s="509"/>
      <c r="E292" s="509"/>
      <c r="F292" s="509"/>
      <c r="G292" s="509"/>
      <c r="H292" s="509"/>
      <c r="I292" s="509"/>
      <c r="J292" s="509"/>
      <c r="K292" s="509"/>
      <c r="L292" s="509"/>
      <c r="M292" s="509"/>
      <c r="N292" s="509"/>
      <c r="O292" s="509"/>
      <c r="P292" s="509"/>
      <c r="Q292" s="509"/>
      <c r="R292" s="509"/>
      <c r="S292" s="509"/>
      <c r="T292" s="509"/>
      <c r="U292" s="509"/>
      <c r="V292" s="509"/>
      <c r="W292" s="509"/>
      <c r="X292" s="509"/>
      <c r="Y292" s="509"/>
      <c r="Z292" s="509"/>
      <c r="AA292" s="509"/>
      <c r="AB292" s="509"/>
      <c r="AC292" s="509"/>
      <c r="AD292" s="509"/>
      <c r="AE292" s="509"/>
      <c r="AF292" s="509"/>
      <c r="AG292" s="509"/>
      <c r="AH292" s="509"/>
    </row>
    <row r="293" spans="2:34">
      <c r="B293" s="509"/>
      <c r="C293" s="509"/>
      <c r="D293" s="509"/>
      <c r="E293" s="509"/>
      <c r="F293" s="509"/>
      <c r="G293" s="509"/>
      <c r="H293" s="509"/>
      <c r="I293" s="509"/>
      <c r="J293" s="509"/>
      <c r="K293" s="509"/>
      <c r="L293" s="509"/>
      <c r="M293" s="509"/>
      <c r="N293" s="509"/>
      <c r="O293" s="509"/>
      <c r="P293" s="509"/>
      <c r="Q293" s="509"/>
      <c r="R293" s="509"/>
      <c r="S293" s="509"/>
      <c r="T293" s="509"/>
      <c r="U293" s="509"/>
      <c r="V293" s="509"/>
      <c r="W293" s="509"/>
      <c r="X293" s="509"/>
      <c r="Y293" s="509"/>
      <c r="Z293" s="509"/>
      <c r="AA293" s="509"/>
      <c r="AB293" s="509"/>
      <c r="AC293" s="509"/>
      <c r="AD293" s="509"/>
      <c r="AE293" s="509"/>
      <c r="AF293" s="509"/>
      <c r="AG293" s="509"/>
      <c r="AH293" s="509"/>
    </row>
  </sheetData>
  <mergeCells count="11">
    <mergeCell ref="Z7:AC7"/>
    <mergeCell ref="AD7:AG7"/>
    <mergeCell ref="A1:AG1"/>
    <mergeCell ref="A2:AG2"/>
    <mergeCell ref="A3:AG3"/>
    <mergeCell ref="B7:E7"/>
    <mergeCell ref="F7:I7"/>
    <mergeCell ref="J7:M7"/>
    <mergeCell ref="N7:Q7"/>
    <mergeCell ref="V7:Y7"/>
    <mergeCell ref="R7:U7"/>
  </mergeCells>
  <phoneticPr fontId="19" type="noConversion"/>
  <pageMargins left="0.39370078740157483" right="0.39370078740157483" top="0.39370078740157483" bottom="0.39370078740157483" header="0" footer="0"/>
  <pageSetup paperSize="5" scale="73" orientation="landscape"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G21"/>
  <sheetViews>
    <sheetView showGridLines="0" topLeftCell="A4" workbookViewId="0">
      <selection activeCell="L14" sqref="L14"/>
    </sheetView>
  </sheetViews>
  <sheetFormatPr baseColWidth="10" defaultRowHeight="12.75"/>
  <sheetData>
    <row r="5" spans="1:7">
      <c r="F5" s="174"/>
    </row>
    <row r="10" spans="1:7" ht="23.25">
      <c r="A10" s="173"/>
      <c r="B10" s="175"/>
      <c r="C10" s="176"/>
      <c r="D10" s="176"/>
      <c r="E10" s="176"/>
      <c r="F10" s="177"/>
      <c r="G10" s="1"/>
    </row>
    <row r="11" spans="1:7" ht="23.25">
      <c r="A11" s="173"/>
      <c r="B11" s="175"/>
      <c r="C11" s="176"/>
      <c r="D11" s="176"/>
      <c r="E11" s="176"/>
      <c r="F11" s="177"/>
      <c r="G11" s="1"/>
    </row>
    <row r="12" spans="1:7" ht="23.25">
      <c r="A12" s="173"/>
      <c r="B12" s="175"/>
      <c r="C12" s="176"/>
      <c r="D12" s="176"/>
      <c r="E12" s="176"/>
      <c r="F12" s="177"/>
      <c r="G12" s="1"/>
    </row>
    <row r="13" spans="1:7" ht="23.25">
      <c r="A13" s="173"/>
      <c r="B13" s="175"/>
      <c r="C13" s="176"/>
      <c r="D13" s="176"/>
      <c r="E13" s="176"/>
      <c r="F13" s="177"/>
      <c r="G13" s="1"/>
    </row>
    <row r="14" spans="1:7" ht="23.25">
      <c r="A14" s="173"/>
      <c r="B14" s="175"/>
      <c r="C14" s="176"/>
      <c r="D14" s="176"/>
      <c r="E14" s="176"/>
      <c r="F14" s="177"/>
      <c r="G14" s="1"/>
    </row>
    <row r="15" spans="1:7" ht="23.25">
      <c r="A15" s="178"/>
      <c r="B15" s="175"/>
      <c r="C15" s="176"/>
      <c r="D15" s="176"/>
      <c r="E15" s="176"/>
      <c r="F15" s="177"/>
      <c r="G15" s="1"/>
    </row>
    <row r="16" spans="1:7" ht="23.25">
      <c r="A16" s="178"/>
      <c r="B16" s="179"/>
      <c r="C16" s="179"/>
      <c r="D16" s="179"/>
      <c r="E16" s="179"/>
      <c r="F16" s="1"/>
      <c r="G16" s="1"/>
    </row>
    <row r="17" spans="1:7" ht="23.25">
      <c r="A17" s="178"/>
      <c r="B17" s="179"/>
      <c r="C17" s="179"/>
      <c r="D17" s="179"/>
      <c r="E17" s="179"/>
      <c r="F17" s="1"/>
      <c r="G17" s="1"/>
    </row>
    <row r="18" spans="1:7" ht="23.25">
      <c r="A18" s="173"/>
      <c r="B18" s="179"/>
      <c r="C18" s="179"/>
      <c r="D18" s="179"/>
      <c r="E18" s="179"/>
      <c r="F18" s="1"/>
      <c r="G18" s="1"/>
    </row>
    <row r="19" spans="1:7">
      <c r="A19" s="179"/>
      <c r="B19" s="179"/>
      <c r="C19" s="179"/>
      <c r="D19" s="179"/>
      <c r="E19" s="179"/>
      <c r="F19" s="1"/>
      <c r="G19" s="1"/>
    </row>
    <row r="20" spans="1:7">
      <c r="A20" s="2"/>
      <c r="B20" s="2"/>
      <c r="C20" s="2"/>
      <c r="D20" s="2"/>
      <c r="E20" s="2"/>
    </row>
    <row r="21" spans="1:7">
      <c r="A21" s="2"/>
      <c r="B21" s="2"/>
      <c r="C21" s="2"/>
      <c r="D21" s="2"/>
      <c r="E21" s="2"/>
    </row>
  </sheetData>
  <printOptions gridLinesSet="0"/>
  <pageMargins left="0.98425196850393704" right="0.78740157480314965" top="2.3622047244094491" bottom="0.98425196850393704" header="0.51181102362204722" footer="0.51181102362204722"/>
  <pageSetup paperSize="9" orientation="portrait" horizontalDpi="300" verticalDpi="300"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14"/>
  <sheetViews>
    <sheetView topLeftCell="D31" zoomScale="75" workbookViewId="0">
      <selection activeCell="V47" sqref="V47"/>
    </sheetView>
  </sheetViews>
  <sheetFormatPr baseColWidth="10" defaultColWidth="11.42578125" defaultRowHeight="12"/>
  <cols>
    <col min="1" max="1" width="26.85546875" style="208" customWidth="1"/>
    <col min="2" max="33" width="7.140625" style="208" customWidth="1"/>
    <col min="34" max="16384" width="11.42578125" style="208"/>
  </cols>
  <sheetData>
    <row r="1" spans="1:36">
      <c r="A1" s="1393" t="s">
        <v>996</v>
      </c>
      <c r="B1" s="1393"/>
      <c r="C1" s="1393"/>
      <c r="D1" s="1393"/>
      <c r="E1" s="1393"/>
      <c r="F1" s="1393"/>
      <c r="G1" s="1393"/>
      <c r="H1" s="1393"/>
      <c r="I1" s="1393"/>
      <c r="J1" s="1393"/>
      <c r="K1" s="1393"/>
      <c r="L1" s="1393"/>
      <c r="M1" s="1393"/>
      <c r="N1" s="1393"/>
      <c r="O1" s="1393"/>
      <c r="P1" s="1393"/>
      <c r="Q1" s="1393"/>
      <c r="R1" s="1393"/>
      <c r="S1" s="1393"/>
      <c r="T1" s="1393"/>
      <c r="U1" s="1393"/>
      <c r="V1" s="1393"/>
      <c r="W1" s="1393"/>
      <c r="X1" s="1393"/>
      <c r="Y1" s="1393"/>
      <c r="Z1" s="1393"/>
      <c r="AA1" s="1393"/>
      <c r="AB1" s="1393"/>
      <c r="AC1" s="1393"/>
      <c r="AD1" s="1393"/>
      <c r="AE1" s="1393"/>
      <c r="AF1" s="1393"/>
      <c r="AG1" s="1393"/>
    </row>
    <row r="2" spans="1:36">
      <c r="A2" s="1393" t="s">
        <v>1037</v>
      </c>
      <c r="B2" s="1393"/>
      <c r="C2" s="1393"/>
      <c r="D2" s="1393"/>
      <c r="E2" s="1393"/>
      <c r="F2" s="1393"/>
      <c r="G2" s="1393"/>
      <c r="H2" s="1393"/>
      <c r="I2" s="1393"/>
      <c r="J2" s="1393"/>
      <c r="K2" s="1393"/>
      <c r="L2" s="1393"/>
      <c r="M2" s="1393"/>
      <c r="N2" s="1393"/>
      <c r="O2" s="1393"/>
      <c r="P2" s="1393"/>
      <c r="Q2" s="1393"/>
      <c r="R2" s="1393"/>
      <c r="S2" s="1393"/>
      <c r="T2" s="1393"/>
      <c r="U2" s="1393"/>
      <c r="V2" s="1393"/>
      <c r="W2" s="1393"/>
      <c r="X2" s="1393"/>
      <c r="Y2" s="1393"/>
      <c r="Z2" s="1393"/>
      <c r="AA2" s="1393"/>
      <c r="AB2" s="1393"/>
      <c r="AC2" s="1393"/>
      <c r="AD2" s="1393"/>
      <c r="AE2" s="1393"/>
      <c r="AF2" s="1393"/>
      <c r="AG2" s="1393"/>
    </row>
    <row r="3" spans="1:36">
      <c r="A3" s="1393" t="s">
        <v>910</v>
      </c>
      <c r="B3" s="1393"/>
      <c r="C3" s="1393"/>
      <c r="D3" s="1393"/>
      <c r="E3" s="1393"/>
      <c r="F3" s="1393"/>
      <c r="G3" s="1393"/>
      <c r="H3" s="1393"/>
      <c r="I3" s="1393"/>
      <c r="J3" s="1393"/>
      <c r="K3" s="1393"/>
      <c r="L3" s="1393"/>
      <c r="M3" s="1393"/>
      <c r="N3" s="1393"/>
      <c r="O3" s="1393"/>
      <c r="P3" s="1393"/>
      <c r="Q3" s="1393"/>
      <c r="R3" s="1393"/>
      <c r="S3" s="1393"/>
      <c r="T3" s="1393"/>
      <c r="U3" s="1393"/>
      <c r="V3" s="1393"/>
      <c r="W3" s="1393"/>
      <c r="X3" s="1393"/>
      <c r="Y3" s="1393"/>
      <c r="Z3" s="1393"/>
      <c r="AA3" s="1393"/>
      <c r="AB3" s="1393"/>
      <c r="AC3" s="1393"/>
      <c r="AD3" s="1393"/>
      <c r="AE3" s="1393"/>
      <c r="AF3" s="1393"/>
      <c r="AG3" s="1393"/>
    </row>
    <row r="6" spans="1:36">
      <c r="A6" s="399" t="s">
        <v>998</v>
      </c>
    </row>
    <row r="7" spans="1:36" ht="18" customHeight="1">
      <c r="A7" s="339" t="s">
        <v>999</v>
      </c>
      <c r="B7" s="1419" t="s">
        <v>1000</v>
      </c>
      <c r="C7" s="1420"/>
      <c r="D7" s="1420"/>
      <c r="E7" s="1421"/>
      <c r="F7" s="1420" t="s">
        <v>916</v>
      </c>
      <c r="G7" s="1420"/>
      <c r="H7" s="1420"/>
      <c r="I7" s="1421"/>
      <c r="J7" s="1420" t="s">
        <v>1001</v>
      </c>
      <c r="K7" s="1420"/>
      <c r="L7" s="1420"/>
      <c r="M7" s="1420"/>
      <c r="N7" s="1419" t="s">
        <v>966</v>
      </c>
      <c r="O7" s="1420"/>
      <c r="P7" s="1420"/>
      <c r="Q7" s="1421"/>
      <c r="R7" s="1419" t="s">
        <v>1288</v>
      </c>
      <c r="S7" s="1420"/>
      <c r="T7" s="1420"/>
      <c r="U7" s="1421"/>
      <c r="V7" s="1388" t="s">
        <v>1040</v>
      </c>
      <c r="W7" s="1389"/>
      <c r="X7" s="1389"/>
      <c r="Y7" s="1390"/>
      <c r="Z7" s="1388" t="str">
        <f>+'49'!Z7</f>
        <v>CONS. LOS ANDES N°1 MUNICIPAL</v>
      </c>
      <c r="AA7" s="1389"/>
      <c r="AB7" s="1389"/>
      <c r="AC7" s="1390"/>
      <c r="AD7" s="1420"/>
      <c r="AE7" s="1420"/>
      <c r="AF7" s="1420"/>
      <c r="AG7" s="1421"/>
    </row>
    <row r="8" spans="1:36" ht="18" customHeight="1">
      <c r="A8" s="15"/>
      <c r="B8" s="537">
        <f>+'49'!B8</f>
        <v>2012</v>
      </c>
      <c r="C8" s="531">
        <f>+'49'!C8</f>
        <v>2013</v>
      </c>
      <c r="D8" s="531">
        <f>+'49'!D8</f>
        <v>2014</v>
      </c>
      <c r="E8" s="536">
        <f>+'49'!E8</f>
        <v>2015</v>
      </c>
      <c r="F8" s="531">
        <f>+'49'!F8</f>
        <v>2012</v>
      </c>
      <c r="G8" s="531">
        <f>+'49'!G8</f>
        <v>2013</v>
      </c>
      <c r="H8" s="531">
        <f>+'49'!H8</f>
        <v>2014</v>
      </c>
      <c r="I8" s="536">
        <f>+'49'!I8</f>
        <v>2015</v>
      </c>
      <c r="J8" s="531">
        <f>+'49'!J8</f>
        <v>2012</v>
      </c>
      <c r="K8" s="531">
        <f>+'49'!K8</f>
        <v>2013</v>
      </c>
      <c r="L8" s="531">
        <f>+'49'!L8</f>
        <v>2014</v>
      </c>
      <c r="M8" s="541">
        <f>+'49'!M8</f>
        <v>2015</v>
      </c>
      <c r="N8" s="542">
        <f>+'49'!N8</f>
        <v>2012</v>
      </c>
      <c r="O8" s="539">
        <f>+'49'!O8</f>
        <v>2013</v>
      </c>
      <c r="P8" s="539">
        <f>+'49'!P8</f>
        <v>2014</v>
      </c>
      <c r="Q8" s="540">
        <f>+'49'!Q8</f>
        <v>2015</v>
      </c>
      <c r="R8" s="359">
        <f>+N8</f>
        <v>2012</v>
      </c>
      <c r="S8" s="360">
        <f>+O8</f>
        <v>2013</v>
      </c>
      <c r="T8" s="360">
        <f>+P8</f>
        <v>2014</v>
      </c>
      <c r="U8" s="361">
        <f>+Q8</f>
        <v>2015</v>
      </c>
      <c r="V8" s="542">
        <f>+'49'!V8</f>
        <v>2012</v>
      </c>
      <c r="W8" s="539">
        <f>+'49'!W8</f>
        <v>2013</v>
      </c>
      <c r="X8" s="539">
        <f>+'49'!X8</f>
        <v>2014</v>
      </c>
      <c r="Y8" s="540">
        <f>+'49'!Y8</f>
        <v>2015</v>
      </c>
      <c r="Z8" s="531">
        <f>+'49'!Z8</f>
        <v>2012</v>
      </c>
      <c r="AA8" s="531">
        <f>+'49'!AA8</f>
        <v>2013</v>
      </c>
      <c r="AB8" s="531">
        <f>+'49'!AB8</f>
        <v>2014</v>
      </c>
      <c r="AC8" s="536">
        <f>+'49'!AC8</f>
        <v>2015</v>
      </c>
      <c r="AD8" s="531">
        <f>+'49'!AD8</f>
        <v>2012</v>
      </c>
      <c r="AE8" s="531">
        <f>+'49'!AE8</f>
        <v>2013</v>
      </c>
      <c r="AF8" s="531">
        <f>+'49'!AF8</f>
        <v>2014</v>
      </c>
      <c r="AG8" s="536">
        <f>+'49'!AG8</f>
        <v>2015</v>
      </c>
    </row>
    <row r="9" spans="1:36" ht="18" customHeight="1">
      <c r="A9" s="543" t="s">
        <v>1002</v>
      </c>
      <c r="B9" s="544">
        <v>1030</v>
      </c>
      <c r="C9" s="548">
        <v>1044</v>
      </c>
      <c r="D9" s="548">
        <v>1200</v>
      </c>
      <c r="E9" s="533">
        <v>1139</v>
      </c>
      <c r="F9" s="548">
        <v>1087</v>
      </c>
      <c r="G9" s="548">
        <v>1129</v>
      </c>
      <c r="H9" s="548">
        <v>1070</v>
      </c>
      <c r="I9" s="533">
        <v>707</v>
      </c>
      <c r="J9" s="1063"/>
      <c r="K9" s="1062"/>
      <c r="L9" s="1062"/>
      <c r="M9" s="545"/>
      <c r="N9" s="544"/>
      <c r="O9" s="544"/>
      <c r="P9" s="544"/>
      <c r="Q9" s="544"/>
      <c r="R9" s="546"/>
      <c r="S9" s="495"/>
      <c r="T9" s="495"/>
      <c r="U9" s="493"/>
      <c r="V9" s="546"/>
      <c r="W9" s="544"/>
      <c r="X9" s="544"/>
      <c r="Y9" s="545"/>
      <c r="Z9" s="544"/>
      <c r="AA9" s="544"/>
      <c r="AB9" s="544"/>
      <c r="AC9" s="545"/>
      <c r="AD9" s="548">
        <f>+N9+J9+F9+B9+V9</f>
        <v>2117</v>
      </c>
      <c r="AE9" s="548">
        <f t="shared" ref="AE9:AG10" si="0">+O9+K9+G9+C9+W9+AA9</f>
        <v>2173</v>
      </c>
      <c r="AF9" s="548">
        <f t="shared" si="0"/>
        <v>2270</v>
      </c>
      <c r="AG9" s="533">
        <f t="shared" si="0"/>
        <v>1846</v>
      </c>
    </row>
    <row r="10" spans="1:36" ht="18" customHeight="1">
      <c r="A10" s="547" t="s">
        <v>1003</v>
      </c>
      <c r="B10" s="548">
        <v>289</v>
      </c>
      <c r="C10" s="548">
        <v>324</v>
      </c>
      <c r="D10" s="548">
        <v>353</v>
      </c>
      <c r="E10" s="533">
        <v>343</v>
      </c>
      <c r="F10" s="548">
        <v>167</v>
      </c>
      <c r="G10" s="548">
        <v>116</v>
      </c>
      <c r="H10" s="548">
        <v>126</v>
      </c>
      <c r="I10" s="533">
        <v>151</v>
      </c>
      <c r="J10" s="549"/>
      <c r="K10" s="548"/>
      <c r="L10" s="548"/>
      <c r="M10" s="533"/>
      <c r="N10" s="548"/>
      <c r="O10" s="548"/>
      <c r="P10" s="548"/>
      <c r="Q10" s="548"/>
      <c r="R10" s="549"/>
      <c r="S10" s="370"/>
      <c r="T10" s="370"/>
      <c r="U10" s="492"/>
      <c r="V10" s="549"/>
      <c r="W10" s="548"/>
      <c r="X10" s="548"/>
      <c r="Y10" s="533"/>
      <c r="Z10" s="548"/>
      <c r="AA10" s="548"/>
      <c r="AB10" s="548"/>
      <c r="AC10" s="533"/>
      <c r="AD10" s="548">
        <f>+N10+J10+F10+B10+V10</f>
        <v>456</v>
      </c>
      <c r="AE10" s="548">
        <f t="shared" si="0"/>
        <v>440</v>
      </c>
      <c r="AF10" s="548">
        <f t="shared" si="0"/>
        <v>479</v>
      </c>
      <c r="AG10" s="533">
        <f t="shared" si="0"/>
        <v>494</v>
      </c>
      <c r="AH10" s="550"/>
      <c r="AI10" s="550"/>
      <c r="AJ10" s="550"/>
    </row>
    <row r="11" spans="1:36" ht="18" customHeight="1">
      <c r="A11" s="547" t="s">
        <v>1004</v>
      </c>
      <c r="B11" s="548"/>
      <c r="C11" s="548"/>
      <c r="D11" s="548"/>
      <c r="E11" s="533"/>
      <c r="F11" s="548"/>
      <c r="G11" s="548"/>
      <c r="H11" s="548"/>
      <c r="I11" s="533"/>
      <c r="J11" s="549"/>
      <c r="K11" s="548"/>
      <c r="L11" s="548"/>
      <c r="M11" s="533"/>
      <c r="N11" s="548"/>
      <c r="O11" s="548"/>
      <c r="P11" s="548"/>
      <c r="Q11" s="548"/>
      <c r="R11" s="549"/>
      <c r="S11" s="370"/>
      <c r="T11" s="370"/>
      <c r="U11" s="492"/>
      <c r="V11" s="549"/>
      <c r="W11" s="548"/>
      <c r="X11" s="548"/>
      <c r="Y11" s="533"/>
      <c r="Z11" s="548"/>
      <c r="AA11" s="548"/>
      <c r="AB11" s="548"/>
      <c r="AC11" s="533"/>
      <c r="AD11" s="548">
        <f t="shared" ref="AD11:AD35" si="1">+N11+J11+F11+B11+V11</f>
        <v>0</v>
      </c>
      <c r="AE11" s="548">
        <f t="shared" ref="AE11:AE35" si="2">+O11+K11+G11+C11+W11+AA11</f>
        <v>0</v>
      </c>
      <c r="AF11" s="548">
        <f t="shared" ref="AF11:AF35" si="3">+P11+L11+H11+D11+X11+AB11</f>
        <v>0</v>
      </c>
      <c r="AG11" s="533">
        <f t="shared" ref="AG11:AG35" si="4">+Q11+M11+I11+E11+Y11+AC11</f>
        <v>0</v>
      </c>
      <c r="AH11" s="550"/>
      <c r="AI11" s="550"/>
      <c r="AJ11" s="550"/>
    </row>
    <row r="12" spans="1:36" ht="18" customHeight="1">
      <c r="A12" s="94" t="s">
        <v>1005</v>
      </c>
      <c r="B12" s="548"/>
      <c r="C12" s="548"/>
      <c r="D12" s="548"/>
      <c r="E12" s="533"/>
      <c r="F12" s="548">
        <v>51</v>
      </c>
      <c r="G12" s="548">
        <v>35</v>
      </c>
      <c r="H12" s="548">
        <v>14</v>
      </c>
      <c r="I12" s="533">
        <v>15</v>
      </c>
      <c r="J12" s="549"/>
      <c r="K12" s="548"/>
      <c r="L12" s="548"/>
      <c r="M12" s="533"/>
      <c r="N12" s="548"/>
      <c r="O12" s="548"/>
      <c r="P12" s="548"/>
      <c r="Q12" s="548"/>
      <c r="R12" s="549"/>
      <c r="S12" s="370"/>
      <c r="T12" s="370"/>
      <c r="U12" s="492"/>
      <c r="V12" s="549"/>
      <c r="W12" s="548"/>
      <c r="X12" s="548"/>
      <c r="Y12" s="533"/>
      <c r="Z12" s="548"/>
      <c r="AA12" s="548"/>
      <c r="AB12" s="548"/>
      <c r="AC12" s="533"/>
      <c r="AD12" s="548">
        <f t="shared" si="1"/>
        <v>51</v>
      </c>
      <c r="AE12" s="548">
        <f t="shared" si="2"/>
        <v>35</v>
      </c>
      <c r="AF12" s="548">
        <f t="shared" si="3"/>
        <v>14</v>
      </c>
      <c r="AG12" s="533">
        <f t="shared" si="4"/>
        <v>15</v>
      </c>
      <c r="AH12" s="550"/>
      <c r="AI12" s="550"/>
      <c r="AJ12" s="550"/>
    </row>
    <row r="13" spans="1:36" ht="18" customHeight="1">
      <c r="A13" s="547" t="s">
        <v>1038</v>
      </c>
      <c r="B13" s="548">
        <v>231</v>
      </c>
      <c r="C13" s="548">
        <v>251</v>
      </c>
      <c r="D13" s="548">
        <v>265</v>
      </c>
      <c r="E13" s="533">
        <v>212</v>
      </c>
      <c r="F13" s="548">
        <v>8</v>
      </c>
      <c r="G13" s="548">
        <v>9</v>
      </c>
      <c r="H13" s="548">
        <v>8</v>
      </c>
      <c r="I13" s="533">
        <v>9</v>
      </c>
      <c r="J13" s="549"/>
      <c r="K13" s="548"/>
      <c r="L13" s="548"/>
      <c r="M13" s="533"/>
      <c r="N13" s="548"/>
      <c r="O13" s="548"/>
      <c r="P13" s="548"/>
      <c r="Q13" s="548"/>
      <c r="R13" s="549"/>
      <c r="S13" s="370"/>
      <c r="T13" s="370"/>
      <c r="U13" s="492"/>
      <c r="V13" s="549"/>
      <c r="W13" s="548"/>
      <c r="X13" s="548"/>
      <c r="Y13" s="533"/>
      <c r="Z13" s="548"/>
      <c r="AA13" s="548"/>
      <c r="AB13" s="548"/>
      <c r="AC13" s="533"/>
      <c r="AD13" s="548">
        <f t="shared" si="1"/>
        <v>239</v>
      </c>
      <c r="AE13" s="548">
        <f t="shared" si="2"/>
        <v>260</v>
      </c>
      <c r="AF13" s="548">
        <f t="shared" si="3"/>
        <v>273</v>
      </c>
      <c r="AG13" s="533">
        <f t="shared" si="4"/>
        <v>221</v>
      </c>
      <c r="AH13" s="550"/>
      <c r="AI13" s="550"/>
      <c r="AJ13" s="550"/>
    </row>
    <row r="14" spans="1:36" ht="18" customHeight="1">
      <c r="A14" s="532" t="s">
        <v>1007</v>
      </c>
      <c r="B14" s="548"/>
      <c r="C14" s="548"/>
      <c r="D14" s="548"/>
      <c r="E14" s="533"/>
      <c r="F14" s="548">
        <v>79</v>
      </c>
      <c r="G14" s="548">
        <v>29</v>
      </c>
      <c r="H14" s="548">
        <v>28</v>
      </c>
      <c r="I14" s="533">
        <v>53</v>
      </c>
      <c r="J14" s="549"/>
      <c r="K14" s="548"/>
      <c r="L14" s="548"/>
      <c r="M14" s="533"/>
      <c r="N14" s="548"/>
      <c r="O14" s="548"/>
      <c r="P14" s="548"/>
      <c r="Q14" s="548"/>
      <c r="R14" s="549"/>
      <c r="S14" s="370"/>
      <c r="T14" s="370"/>
      <c r="U14" s="492"/>
      <c r="V14" s="548"/>
      <c r="W14" s="548"/>
      <c r="X14" s="548"/>
      <c r="Y14" s="533"/>
      <c r="Z14" s="548"/>
      <c r="AA14" s="548"/>
      <c r="AB14" s="548"/>
      <c r="AC14" s="533"/>
      <c r="AD14" s="548">
        <f t="shared" si="1"/>
        <v>79</v>
      </c>
      <c r="AE14" s="548">
        <f t="shared" si="2"/>
        <v>29</v>
      </c>
      <c r="AF14" s="548">
        <f t="shared" si="3"/>
        <v>28</v>
      </c>
      <c r="AG14" s="533">
        <f t="shared" si="4"/>
        <v>53</v>
      </c>
      <c r="AH14" s="550"/>
      <c r="AI14" s="550"/>
      <c r="AJ14" s="550"/>
    </row>
    <row r="15" spans="1:36" ht="18" customHeight="1">
      <c r="A15" s="532" t="s">
        <v>1008</v>
      </c>
      <c r="B15" s="548">
        <v>9</v>
      </c>
      <c r="C15" s="548">
        <v>10</v>
      </c>
      <c r="D15" s="548">
        <v>22</v>
      </c>
      <c r="E15" s="533">
        <v>36</v>
      </c>
      <c r="F15" s="548">
        <v>6</v>
      </c>
      <c r="G15" s="548">
        <v>10</v>
      </c>
      <c r="H15" s="548">
        <v>8</v>
      </c>
      <c r="I15" s="533">
        <v>12</v>
      </c>
      <c r="J15" s="549"/>
      <c r="K15" s="548"/>
      <c r="L15" s="548"/>
      <c r="M15" s="533"/>
      <c r="N15" s="548"/>
      <c r="O15" s="548"/>
      <c r="P15" s="548"/>
      <c r="Q15" s="548"/>
      <c r="R15" s="549"/>
      <c r="S15" s="370"/>
      <c r="T15" s="370"/>
      <c r="U15" s="492"/>
      <c r="V15" s="548"/>
      <c r="W15" s="548"/>
      <c r="X15" s="548"/>
      <c r="Y15" s="533"/>
      <c r="Z15" s="548"/>
      <c r="AA15" s="548"/>
      <c r="AB15" s="548"/>
      <c r="AC15" s="533"/>
      <c r="AD15" s="548">
        <f t="shared" si="1"/>
        <v>15</v>
      </c>
      <c r="AE15" s="548">
        <f t="shared" si="2"/>
        <v>20</v>
      </c>
      <c r="AF15" s="548">
        <f t="shared" si="3"/>
        <v>30</v>
      </c>
      <c r="AG15" s="533">
        <f t="shared" si="4"/>
        <v>48</v>
      </c>
      <c r="AH15" s="550"/>
      <c r="AI15" s="550"/>
      <c r="AJ15" s="550"/>
    </row>
    <row r="16" spans="1:36" ht="18" customHeight="1">
      <c r="A16" s="532" t="s">
        <v>1009</v>
      </c>
      <c r="B16" s="548">
        <v>16</v>
      </c>
      <c r="C16" s="548">
        <v>10</v>
      </c>
      <c r="D16" s="548">
        <v>15</v>
      </c>
      <c r="E16" s="533">
        <v>10</v>
      </c>
      <c r="F16" s="548"/>
      <c r="G16" s="548"/>
      <c r="H16" s="548"/>
      <c r="I16" s="533"/>
      <c r="J16" s="549"/>
      <c r="K16" s="548"/>
      <c r="L16" s="548"/>
      <c r="M16" s="533"/>
      <c r="N16" s="548"/>
      <c r="O16" s="548"/>
      <c r="P16" s="548"/>
      <c r="Q16" s="548"/>
      <c r="R16" s="549"/>
      <c r="S16" s="370"/>
      <c r="T16" s="370"/>
      <c r="U16" s="492"/>
      <c r="V16" s="548"/>
      <c r="W16" s="548"/>
      <c r="X16" s="548"/>
      <c r="Y16" s="533"/>
      <c r="Z16" s="548"/>
      <c r="AA16" s="548"/>
      <c r="AB16" s="548"/>
      <c r="AC16" s="533"/>
      <c r="AD16" s="548">
        <f t="shared" si="1"/>
        <v>16</v>
      </c>
      <c r="AE16" s="548">
        <f t="shared" si="2"/>
        <v>10</v>
      </c>
      <c r="AF16" s="548">
        <f t="shared" si="3"/>
        <v>15</v>
      </c>
      <c r="AG16" s="533">
        <f t="shared" si="4"/>
        <v>10</v>
      </c>
      <c r="AH16" s="550"/>
      <c r="AI16" s="550"/>
      <c r="AJ16" s="550"/>
    </row>
    <row r="17" spans="1:36" ht="18" customHeight="1">
      <c r="A17" s="532" t="s">
        <v>1010</v>
      </c>
      <c r="B17" s="548">
        <v>24</v>
      </c>
      <c r="C17" s="548">
        <v>7</v>
      </c>
      <c r="D17" s="548">
        <v>22</v>
      </c>
      <c r="E17" s="533">
        <v>23</v>
      </c>
      <c r="F17" s="548"/>
      <c r="G17" s="548"/>
      <c r="H17" s="548"/>
      <c r="I17" s="533"/>
      <c r="J17" s="549"/>
      <c r="K17" s="548"/>
      <c r="L17" s="548"/>
      <c r="M17" s="533"/>
      <c r="N17" s="548"/>
      <c r="O17" s="548"/>
      <c r="P17" s="548"/>
      <c r="Q17" s="548"/>
      <c r="R17" s="549"/>
      <c r="S17" s="370"/>
      <c r="T17" s="370"/>
      <c r="U17" s="492"/>
      <c r="V17" s="548"/>
      <c r="W17" s="548"/>
      <c r="X17" s="548"/>
      <c r="Y17" s="533"/>
      <c r="Z17" s="548"/>
      <c r="AA17" s="548"/>
      <c r="AB17" s="548"/>
      <c r="AC17" s="533"/>
      <c r="AD17" s="548">
        <f t="shared" si="1"/>
        <v>24</v>
      </c>
      <c r="AE17" s="548">
        <f t="shared" si="2"/>
        <v>7</v>
      </c>
      <c r="AF17" s="548">
        <f t="shared" si="3"/>
        <v>22</v>
      </c>
      <c r="AG17" s="533">
        <f t="shared" si="4"/>
        <v>23</v>
      </c>
      <c r="AH17" s="550"/>
      <c r="AI17" s="550"/>
      <c r="AJ17" s="550"/>
    </row>
    <row r="18" spans="1:36" ht="18" customHeight="1">
      <c r="A18" s="532" t="s">
        <v>1011</v>
      </c>
      <c r="B18" s="548"/>
      <c r="C18" s="548"/>
      <c r="D18" s="548"/>
      <c r="E18" s="533"/>
      <c r="F18" s="548">
        <v>48</v>
      </c>
      <c r="G18" s="548">
        <v>23</v>
      </c>
      <c r="H18" s="548">
        <v>14</v>
      </c>
      <c r="I18" s="533">
        <v>37</v>
      </c>
      <c r="J18" s="549"/>
      <c r="K18" s="548"/>
      <c r="L18" s="548"/>
      <c r="M18" s="533"/>
      <c r="N18" s="548"/>
      <c r="O18" s="548"/>
      <c r="P18" s="548"/>
      <c r="Q18" s="548"/>
      <c r="R18" s="549"/>
      <c r="S18" s="370"/>
      <c r="T18" s="370"/>
      <c r="U18" s="492"/>
      <c r="V18" s="548"/>
      <c r="W18" s="548"/>
      <c r="X18" s="548"/>
      <c r="Y18" s="533"/>
      <c r="Z18" s="548"/>
      <c r="AA18" s="548"/>
      <c r="AB18" s="548"/>
      <c r="AC18" s="533"/>
      <c r="AD18" s="548">
        <f t="shared" si="1"/>
        <v>48</v>
      </c>
      <c r="AE18" s="548">
        <f t="shared" si="2"/>
        <v>23</v>
      </c>
      <c r="AF18" s="548">
        <f t="shared" si="3"/>
        <v>14</v>
      </c>
      <c r="AG18" s="533">
        <f t="shared" si="4"/>
        <v>37</v>
      </c>
      <c r="AH18" s="550"/>
      <c r="AI18" s="550"/>
      <c r="AJ18" s="550"/>
    </row>
    <row r="19" spans="1:36" ht="18" customHeight="1">
      <c r="A19" s="547" t="s">
        <v>1012</v>
      </c>
      <c r="B19" s="548"/>
      <c r="C19" s="548"/>
      <c r="D19" s="548"/>
      <c r="E19" s="533"/>
      <c r="F19" s="548">
        <v>743</v>
      </c>
      <c r="G19" s="548">
        <v>812</v>
      </c>
      <c r="H19" s="548">
        <v>720</v>
      </c>
      <c r="I19" s="533">
        <v>719</v>
      </c>
      <c r="J19" s="549"/>
      <c r="K19" s="548"/>
      <c r="L19" s="548"/>
      <c r="M19" s="533"/>
      <c r="N19" s="548"/>
      <c r="O19" s="548"/>
      <c r="P19" s="548"/>
      <c r="Q19" s="548"/>
      <c r="R19" s="549"/>
      <c r="S19" s="370"/>
      <c r="T19" s="370"/>
      <c r="U19" s="492"/>
      <c r="V19" s="548"/>
      <c r="W19" s="548"/>
      <c r="X19" s="548"/>
      <c r="Y19" s="533"/>
      <c r="Z19" s="548"/>
      <c r="AA19" s="548"/>
      <c r="AB19" s="548"/>
      <c r="AC19" s="533"/>
      <c r="AD19" s="548">
        <f t="shared" si="1"/>
        <v>743</v>
      </c>
      <c r="AE19" s="548">
        <f t="shared" si="2"/>
        <v>812</v>
      </c>
      <c r="AF19" s="548">
        <f t="shared" si="3"/>
        <v>720</v>
      </c>
      <c r="AG19" s="533">
        <f t="shared" si="4"/>
        <v>719</v>
      </c>
      <c r="AH19" s="550"/>
      <c r="AI19" s="550"/>
      <c r="AJ19" s="550"/>
    </row>
    <row r="20" spans="1:36" ht="18" customHeight="1">
      <c r="A20" s="547" t="s">
        <v>1013</v>
      </c>
      <c r="B20" s="548"/>
      <c r="C20" s="548"/>
      <c r="D20" s="548"/>
      <c r="E20" s="533"/>
      <c r="F20" s="548">
        <v>18</v>
      </c>
      <c r="G20" s="548">
        <v>71</v>
      </c>
      <c r="H20" s="548">
        <v>64</v>
      </c>
      <c r="I20" s="533">
        <v>61</v>
      </c>
      <c r="J20" s="549"/>
      <c r="K20" s="548"/>
      <c r="L20" s="548"/>
      <c r="M20" s="533"/>
      <c r="N20" s="548"/>
      <c r="O20" s="548"/>
      <c r="P20" s="548"/>
      <c r="Q20" s="548"/>
      <c r="R20" s="549"/>
      <c r="S20" s="370"/>
      <c r="T20" s="370"/>
      <c r="U20" s="492"/>
      <c r="V20" s="548"/>
      <c r="W20" s="548"/>
      <c r="X20" s="548"/>
      <c r="Y20" s="533"/>
      <c r="Z20" s="548"/>
      <c r="AA20" s="548"/>
      <c r="AB20" s="548"/>
      <c r="AC20" s="533"/>
      <c r="AD20" s="548">
        <f t="shared" si="1"/>
        <v>18</v>
      </c>
      <c r="AE20" s="548">
        <f t="shared" si="2"/>
        <v>71</v>
      </c>
      <c r="AF20" s="548">
        <f t="shared" si="3"/>
        <v>64</v>
      </c>
      <c r="AG20" s="533">
        <f t="shared" si="4"/>
        <v>61</v>
      </c>
      <c r="AH20" s="550"/>
      <c r="AI20" s="550"/>
      <c r="AJ20" s="550"/>
    </row>
    <row r="21" spans="1:36" ht="18" customHeight="1">
      <c r="A21" s="1053" t="s">
        <v>807</v>
      </c>
      <c r="B21" s="548"/>
      <c r="C21" s="548"/>
      <c r="D21" s="548"/>
      <c r="E21" s="533"/>
      <c r="F21" s="548">
        <v>11</v>
      </c>
      <c r="G21" s="548">
        <v>2</v>
      </c>
      <c r="H21" s="548">
        <v>11</v>
      </c>
      <c r="I21" s="533">
        <v>11</v>
      </c>
      <c r="J21" s="549"/>
      <c r="K21" s="548"/>
      <c r="L21" s="548"/>
      <c r="M21" s="533"/>
      <c r="N21" s="548"/>
      <c r="O21" s="548"/>
      <c r="P21" s="548"/>
      <c r="Q21" s="548"/>
      <c r="R21" s="549"/>
      <c r="S21" s="370"/>
      <c r="T21" s="370"/>
      <c r="U21" s="492"/>
      <c r="V21" s="548"/>
      <c r="W21" s="548"/>
      <c r="X21" s="548"/>
      <c r="Y21" s="533"/>
      <c r="Z21" s="548"/>
      <c r="AA21" s="548"/>
      <c r="AB21" s="548"/>
      <c r="AC21" s="533"/>
      <c r="AD21" s="548">
        <f>+N21+J21+F21+B21+V21</f>
        <v>11</v>
      </c>
      <c r="AE21" s="548">
        <f t="shared" si="2"/>
        <v>2</v>
      </c>
      <c r="AF21" s="548">
        <f t="shared" si="3"/>
        <v>11</v>
      </c>
      <c r="AG21" s="533">
        <f t="shared" si="4"/>
        <v>11</v>
      </c>
      <c r="AH21" s="550"/>
      <c r="AI21" s="550"/>
      <c r="AJ21" s="550"/>
    </row>
    <row r="22" spans="1:36" ht="18" customHeight="1">
      <c r="A22" s="547" t="s">
        <v>1014</v>
      </c>
      <c r="B22" s="548">
        <v>1393</v>
      </c>
      <c r="C22" s="548">
        <v>1577</v>
      </c>
      <c r="D22" s="548">
        <v>1455</v>
      </c>
      <c r="E22" s="533">
        <v>1569</v>
      </c>
      <c r="F22" s="548">
        <v>2</v>
      </c>
      <c r="G22" s="548">
        <v>1</v>
      </c>
      <c r="H22" s="548">
        <v>4</v>
      </c>
      <c r="I22" s="533">
        <v>1</v>
      </c>
      <c r="J22" s="549"/>
      <c r="K22" s="548"/>
      <c r="L22" s="548"/>
      <c r="M22" s="533"/>
      <c r="N22" s="548"/>
      <c r="O22" s="548"/>
      <c r="P22" s="548"/>
      <c r="Q22" s="548"/>
      <c r="R22" s="549"/>
      <c r="S22" s="370"/>
      <c r="T22" s="370"/>
      <c r="U22" s="492"/>
      <c r="V22" s="548"/>
      <c r="W22" s="548"/>
      <c r="X22" s="548"/>
      <c r="Y22" s="533"/>
      <c r="Z22" s="548"/>
      <c r="AA22" s="548"/>
      <c r="AB22" s="548"/>
      <c r="AC22" s="533"/>
      <c r="AD22" s="548">
        <f t="shared" si="1"/>
        <v>1395</v>
      </c>
      <c r="AE22" s="548">
        <f t="shared" si="2"/>
        <v>1578</v>
      </c>
      <c r="AF22" s="548">
        <f t="shared" si="3"/>
        <v>1459</v>
      </c>
      <c r="AG22" s="533">
        <f t="shared" si="4"/>
        <v>1570</v>
      </c>
      <c r="AH22" s="550"/>
      <c r="AI22" s="550"/>
      <c r="AJ22" s="550"/>
    </row>
    <row r="23" spans="1:36" ht="18" customHeight="1">
      <c r="A23" s="547" t="s">
        <v>1015</v>
      </c>
      <c r="B23" s="548"/>
      <c r="C23" s="548"/>
      <c r="D23" s="548"/>
      <c r="E23" s="533"/>
      <c r="F23" s="548"/>
      <c r="G23" s="548"/>
      <c r="H23" s="548"/>
      <c r="I23" s="533"/>
      <c r="J23" s="549"/>
      <c r="K23" s="548"/>
      <c r="L23" s="548"/>
      <c r="M23" s="533"/>
      <c r="N23" s="548">
        <v>1067</v>
      </c>
      <c r="O23" s="548">
        <v>729</v>
      </c>
      <c r="P23" s="548">
        <v>754</v>
      </c>
      <c r="Q23" s="548">
        <v>623</v>
      </c>
      <c r="R23" s="549">
        <v>27</v>
      </c>
      <c r="S23" s="370">
        <v>27</v>
      </c>
      <c r="T23" s="370">
        <v>14</v>
      </c>
      <c r="U23" s="492"/>
      <c r="V23" s="548"/>
      <c r="W23" s="548"/>
      <c r="X23" s="548"/>
      <c r="Y23" s="533"/>
      <c r="Z23" s="548"/>
      <c r="AA23" s="548"/>
      <c r="AB23" s="548"/>
      <c r="AC23" s="533"/>
      <c r="AD23" s="548">
        <f>+N23+J23+F23+B23+V23+R23</f>
        <v>1094</v>
      </c>
      <c r="AE23" s="548">
        <f>+O23+K23+G23+C23+S23+W23+AA23</f>
        <v>756</v>
      </c>
      <c r="AF23" s="548">
        <f>+P23+L23+H23+D23+T23+X23+AB23</f>
        <v>768</v>
      </c>
      <c r="AG23" s="533">
        <f>+Q23+M23+I23+E23+U23+Y23+AC23</f>
        <v>623</v>
      </c>
      <c r="AH23" s="550"/>
      <c r="AI23" s="550"/>
      <c r="AJ23" s="550"/>
    </row>
    <row r="24" spans="1:36" ht="18" customHeight="1">
      <c r="A24" s="547" t="s">
        <v>1016</v>
      </c>
      <c r="B24" s="548">
        <v>987</v>
      </c>
      <c r="C24" s="548">
        <v>706</v>
      </c>
      <c r="D24" s="548">
        <v>582</v>
      </c>
      <c r="E24" s="533">
        <v>646</v>
      </c>
      <c r="F24" s="548">
        <v>475</v>
      </c>
      <c r="G24" s="548">
        <v>313</v>
      </c>
      <c r="H24" s="548">
        <v>281</v>
      </c>
      <c r="I24" s="533">
        <v>215</v>
      </c>
      <c r="J24" s="549"/>
      <c r="K24" s="548"/>
      <c r="L24" s="548"/>
      <c r="M24" s="533"/>
      <c r="N24" s="548"/>
      <c r="O24" s="548"/>
      <c r="P24" s="548"/>
      <c r="Q24" s="548"/>
      <c r="R24" s="549"/>
      <c r="S24" s="370"/>
      <c r="T24" s="370"/>
      <c r="U24" s="492"/>
      <c r="V24" s="548"/>
      <c r="W24" s="548"/>
      <c r="X24" s="548"/>
      <c r="Y24" s="533"/>
      <c r="Z24" s="548"/>
      <c r="AA24" s="548"/>
      <c r="AB24" s="548"/>
      <c r="AC24" s="533"/>
      <c r="AD24" s="548">
        <f>+N24+J24+F24+B24+V24</f>
        <v>1462</v>
      </c>
      <c r="AE24" s="548">
        <f t="shared" si="2"/>
        <v>1019</v>
      </c>
      <c r="AF24" s="548">
        <f t="shared" si="3"/>
        <v>863</v>
      </c>
      <c r="AG24" s="533">
        <f t="shared" si="4"/>
        <v>861</v>
      </c>
      <c r="AH24" s="550"/>
      <c r="AI24" s="550"/>
      <c r="AJ24" s="550"/>
    </row>
    <row r="25" spans="1:36" ht="18" customHeight="1">
      <c r="A25" s="94" t="s">
        <v>1017</v>
      </c>
      <c r="B25" s="548"/>
      <c r="C25" s="548"/>
      <c r="D25" s="548"/>
      <c r="E25" s="533"/>
      <c r="F25" s="548">
        <v>22</v>
      </c>
      <c r="G25" s="548">
        <v>21</v>
      </c>
      <c r="H25" s="548">
        <v>21</v>
      </c>
      <c r="I25" s="533">
        <v>22</v>
      </c>
      <c r="J25" s="549"/>
      <c r="K25" s="548"/>
      <c r="L25" s="548"/>
      <c r="M25" s="533"/>
      <c r="N25" s="548"/>
      <c r="O25" s="548"/>
      <c r="P25" s="548"/>
      <c r="Q25" s="548"/>
      <c r="R25" s="549"/>
      <c r="S25" s="370"/>
      <c r="T25" s="370"/>
      <c r="U25" s="492"/>
      <c r="V25" s="548"/>
      <c r="W25" s="548"/>
      <c r="X25" s="548"/>
      <c r="Y25" s="533"/>
      <c r="Z25" s="548"/>
      <c r="AA25" s="548"/>
      <c r="AB25" s="548"/>
      <c r="AC25" s="533"/>
      <c r="AD25" s="548">
        <f t="shared" si="1"/>
        <v>22</v>
      </c>
      <c r="AE25" s="548">
        <f t="shared" si="2"/>
        <v>21</v>
      </c>
      <c r="AF25" s="548">
        <f t="shared" si="3"/>
        <v>21</v>
      </c>
      <c r="AG25" s="533">
        <f t="shared" si="4"/>
        <v>22</v>
      </c>
      <c r="AH25" s="550"/>
      <c r="AI25" s="550"/>
      <c r="AJ25" s="550"/>
    </row>
    <row r="26" spans="1:36" ht="18" customHeight="1">
      <c r="A26" s="1053" t="s">
        <v>1136</v>
      </c>
      <c r="B26" s="548"/>
      <c r="C26" s="548"/>
      <c r="D26" s="548"/>
      <c r="E26" s="533"/>
      <c r="F26" s="548"/>
      <c r="G26" s="548"/>
      <c r="H26" s="548"/>
      <c r="I26" s="533"/>
      <c r="J26" s="549"/>
      <c r="K26" s="548"/>
      <c r="L26" s="548"/>
      <c r="M26" s="533"/>
      <c r="N26" s="548"/>
      <c r="O26" s="548"/>
      <c r="P26" s="548"/>
      <c r="Q26" s="548"/>
      <c r="R26" s="549"/>
      <c r="S26" s="370"/>
      <c r="T26" s="370"/>
      <c r="U26" s="492"/>
      <c r="V26" s="548"/>
      <c r="W26" s="548"/>
      <c r="X26" s="548"/>
      <c r="Y26" s="533"/>
      <c r="Z26" s="548"/>
      <c r="AA26" s="548"/>
      <c r="AB26" s="548"/>
      <c r="AC26" s="533"/>
      <c r="AD26" s="548">
        <f>+N26+J26+F26+B26+V26</f>
        <v>0</v>
      </c>
      <c r="AE26" s="548">
        <f t="shared" si="2"/>
        <v>0</v>
      </c>
      <c r="AF26" s="548">
        <f t="shared" si="3"/>
        <v>0</v>
      </c>
      <c r="AG26" s="533">
        <f t="shared" si="4"/>
        <v>0</v>
      </c>
      <c r="AH26" s="550"/>
      <c r="AI26" s="550"/>
      <c r="AJ26" s="550"/>
    </row>
    <row r="27" spans="1:36" ht="18" customHeight="1">
      <c r="A27" s="94" t="s">
        <v>1018</v>
      </c>
      <c r="B27" s="548"/>
      <c r="C27" s="548"/>
      <c r="D27" s="548"/>
      <c r="E27" s="533"/>
      <c r="F27" s="548">
        <v>74</v>
      </c>
      <c r="G27" s="548">
        <v>83</v>
      </c>
      <c r="H27" s="548">
        <v>138</v>
      </c>
      <c r="I27" s="533">
        <v>118</v>
      </c>
      <c r="J27" s="549"/>
      <c r="K27" s="548"/>
      <c r="L27" s="548"/>
      <c r="M27" s="533"/>
      <c r="N27" s="548"/>
      <c r="O27" s="548"/>
      <c r="P27" s="548"/>
      <c r="Q27" s="548"/>
      <c r="R27" s="549"/>
      <c r="S27" s="370"/>
      <c r="T27" s="370"/>
      <c r="U27" s="492"/>
      <c r="V27" s="548"/>
      <c r="W27" s="548"/>
      <c r="X27" s="548"/>
      <c r="Y27" s="533"/>
      <c r="Z27" s="548"/>
      <c r="AA27" s="548"/>
      <c r="AB27" s="548"/>
      <c r="AC27" s="533"/>
      <c r="AD27" s="548">
        <f t="shared" si="1"/>
        <v>74</v>
      </c>
      <c r="AE27" s="548">
        <f t="shared" si="2"/>
        <v>83</v>
      </c>
      <c r="AF27" s="548">
        <f t="shared" si="3"/>
        <v>138</v>
      </c>
      <c r="AG27" s="533">
        <f t="shared" si="4"/>
        <v>118</v>
      </c>
      <c r="AH27" s="550"/>
      <c r="AI27" s="550"/>
      <c r="AJ27" s="550"/>
    </row>
    <row r="28" spans="1:36" ht="18" customHeight="1">
      <c r="A28" s="547" t="s">
        <v>1019</v>
      </c>
      <c r="B28" s="548">
        <v>75</v>
      </c>
      <c r="C28" s="548">
        <v>82</v>
      </c>
      <c r="D28" s="548">
        <v>89</v>
      </c>
      <c r="E28" s="533">
        <v>117</v>
      </c>
      <c r="F28" s="548"/>
      <c r="G28" s="548"/>
      <c r="H28" s="548"/>
      <c r="I28" s="533"/>
      <c r="J28" s="548"/>
      <c r="K28" s="548"/>
      <c r="L28" s="548"/>
      <c r="M28" s="533"/>
      <c r="N28" s="548"/>
      <c r="O28" s="548"/>
      <c r="P28" s="548"/>
      <c r="Q28" s="548"/>
      <c r="R28" s="549"/>
      <c r="S28" s="370"/>
      <c r="T28" s="370"/>
      <c r="U28" s="492"/>
      <c r="V28" s="548"/>
      <c r="W28" s="548"/>
      <c r="X28" s="548"/>
      <c r="Y28" s="533"/>
      <c r="Z28" s="548"/>
      <c r="AA28" s="548"/>
      <c r="AB28" s="548"/>
      <c r="AC28" s="533"/>
      <c r="AD28" s="548">
        <f t="shared" si="1"/>
        <v>75</v>
      </c>
      <c r="AE28" s="548">
        <f t="shared" si="2"/>
        <v>82</v>
      </c>
      <c r="AF28" s="548">
        <f t="shared" si="3"/>
        <v>89</v>
      </c>
      <c r="AG28" s="533">
        <f t="shared" si="4"/>
        <v>117</v>
      </c>
      <c r="AH28" s="550"/>
      <c r="AI28" s="550"/>
      <c r="AJ28" s="550"/>
    </row>
    <row r="29" spans="1:36" ht="18" customHeight="1">
      <c r="A29" s="547" t="s">
        <v>1020</v>
      </c>
      <c r="B29" s="548">
        <v>374</v>
      </c>
      <c r="C29" s="548">
        <v>265</v>
      </c>
      <c r="D29" s="548">
        <v>335</v>
      </c>
      <c r="E29" s="533">
        <v>355</v>
      </c>
      <c r="F29" s="548">
        <v>378</v>
      </c>
      <c r="G29" s="548">
        <v>332</v>
      </c>
      <c r="H29" s="548">
        <v>427</v>
      </c>
      <c r="I29" s="533">
        <v>351</v>
      </c>
      <c r="J29" s="548">
        <v>144</v>
      </c>
      <c r="K29" s="548">
        <v>70</v>
      </c>
      <c r="L29" s="548">
        <v>96</v>
      </c>
      <c r="M29" s="533">
        <v>112</v>
      </c>
      <c r="N29" s="548"/>
      <c r="O29" s="548"/>
      <c r="P29" s="548"/>
      <c r="Q29" s="548"/>
      <c r="R29" s="549"/>
      <c r="S29" s="370"/>
      <c r="T29" s="370"/>
      <c r="U29" s="492"/>
      <c r="V29" s="548"/>
      <c r="W29" s="548"/>
      <c r="X29" s="548"/>
      <c r="Y29" s="533"/>
      <c r="Z29" s="548"/>
      <c r="AA29" s="548"/>
      <c r="AB29" s="548"/>
      <c r="AC29" s="533"/>
      <c r="AD29" s="548">
        <f t="shared" si="1"/>
        <v>896</v>
      </c>
      <c r="AE29" s="548">
        <f t="shared" si="2"/>
        <v>667</v>
      </c>
      <c r="AF29" s="548">
        <f t="shared" si="3"/>
        <v>858</v>
      </c>
      <c r="AG29" s="533">
        <f t="shared" si="4"/>
        <v>818</v>
      </c>
      <c r="AH29" s="550"/>
      <c r="AI29" s="550"/>
      <c r="AJ29" s="550"/>
    </row>
    <row r="30" spans="1:36" ht="18" customHeight="1">
      <c r="A30" s="547" t="s">
        <v>1021</v>
      </c>
      <c r="B30" s="548">
        <v>211</v>
      </c>
      <c r="C30" s="548">
        <v>206</v>
      </c>
      <c r="D30" s="548">
        <v>194</v>
      </c>
      <c r="E30" s="533">
        <v>225</v>
      </c>
      <c r="F30" s="548">
        <v>163</v>
      </c>
      <c r="G30" s="548">
        <v>150</v>
      </c>
      <c r="H30" s="548">
        <v>103</v>
      </c>
      <c r="I30" s="533">
        <v>107</v>
      </c>
      <c r="J30" s="548">
        <v>49</v>
      </c>
      <c r="K30" s="548">
        <v>20</v>
      </c>
      <c r="L30" s="548"/>
      <c r="M30" s="533"/>
      <c r="N30" s="548"/>
      <c r="O30" s="548"/>
      <c r="P30" s="548"/>
      <c r="Q30" s="548"/>
      <c r="R30" s="549"/>
      <c r="S30" s="370"/>
      <c r="T30" s="370"/>
      <c r="U30" s="492"/>
      <c r="V30" s="548"/>
      <c r="W30" s="548"/>
      <c r="X30" s="548"/>
      <c r="Y30" s="533"/>
      <c r="Z30" s="548"/>
      <c r="AA30" s="548"/>
      <c r="AB30" s="548"/>
      <c r="AC30" s="533"/>
      <c r="AD30" s="548">
        <f t="shared" si="1"/>
        <v>423</v>
      </c>
      <c r="AE30" s="548">
        <f t="shared" si="2"/>
        <v>376</v>
      </c>
      <c r="AF30" s="548">
        <f t="shared" si="3"/>
        <v>297</v>
      </c>
      <c r="AG30" s="533">
        <f t="shared" si="4"/>
        <v>332</v>
      </c>
      <c r="AH30" s="550"/>
      <c r="AI30" s="550"/>
      <c r="AJ30" s="550"/>
    </row>
    <row r="31" spans="1:36" ht="18" customHeight="1">
      <c r="A31" s="547" t="s">
        <v>1022</v>
      </c>
      <c r="B31" s="548">
        <v>216</v>
      </c>
      <c r="C31" s="548">
        <v>208</v>
      </c>
      <c r="D31" s="548">
        <v>139</v>
      </c>
      <c r="E31" s="533">
        <v>202</v>
      </c>
      <c r="F31" s="548"/>
      <c r="G31" s="548"/>
      <c r="H31" s="548"/>
      <c r="I31" s="533"/>
      <c r="J31" s="549"/>
      <c r="K31" s="548"/>
      <c r="L31" s="548"/>
      <c r="M31" s="533"/>
      <c r="N31" s="548"/>
      <c r="O31" s="548"/>
      <c r="P31" s="548"/>
      <c r="Q31" s="548"/>
      <c r="R31" s="549"/>
      <c r="S31" s="370"/>
      <c r="T31" s="370"/>
      <c r="U31" s="492"/>
      <c r="V31" s="548"/>
      <c r="W31" s="548"/>
      <c r="X31" s="548"/>
      <c r="Y31" s="533"/>
      <c r="Z31" s="548">
        <v>51</v>
      </c>
      <c r="AA31" s="548">
        <v>1</v>
      </c>
      <c r="AB31" s="548"/>
      <c r="AC31" s="533">
        <v>42</v>
      </c>
      <c r="AD31" s="548">
        <f t="shared" si="1"/>
        <v>216</v>
      </c>
      <c r="AE31" s="548">
        <f t="shared" si="2"/>
        <v>209</v>
      </c>
      <c r="AF31" s="548">
        <f t="shared" si="3"/>
        <v>139</v>
      </c>
      <c r="AG31" s="533">
        <f t="shared" si="4"/>
        <v>244</v>
      </c>
      <c r="AH31" s="550"/>
      <c r="AI31" s="550"/>
      <c r="AJ31" s="550"/>
    </row>
    <row r="32" spans="1:36" ht="18" customHeight="1">
      <c r="A32" s="547" t="s">
        <v>1023</v>
      </c>
      <c r="B32" s="548">
        <v>335</v>
      </c>
      <c r="C32" s="548">
        <v>382</v>
      </c>
      <c r="D32" s="548">
        <v>371</v>
      </c>
      <c r="E32" s="533">
        <v>801</v>
      </c>
      <c r="F32" s="548"/>
      <c r="G32" s="548"/>
      <c r="H32" s="548"/>
      <c r="I32" s="533"/>
      <c r="J32" s="549"/>
      <c r="K32" s="548"/>
      <c r="L32" s="548"/>
      <c r="M32" s="533"/>
      <c r="N32" s="548"/>
      <c r="O32" s="548"/>
      <c r="P32" s="548"/>
      <c r="Q32" s="548"/>
      <c r="R32" s="549"/>
      <c r="S32" s="370"/>
      <c r="T32" s="370"/>
      <c r="U32" s="492"/>
      <c r="V32" s="548"/>
      <c r="W32" s="548"/>
      <c r="X32" s="548"/>
      <c r="Y32" s="533"/>
      <c r="Z32" s="548"/>
      <c r="AA32" s="548"/>
      <c r="AB32" s="548"/>
      <c r="AC32" s="533"/>
      <c r="AD32" s="548">
        <f t="shared" si="1"/>
        <v>335</v>
      </c>
      <c r="AE32" s="548">
        <f t="shared" si="2"/>
        <v>382</v>
      </c>
      <c r="AF32" s="548">
        <f t="shared" si="3"/>
        <v>371</v>
      </c>
      <c r="AG32" s="533">
        <f t="shared" si="4"/>
        <v>801</v>
      </c>
      <c r="AH32" s="550"/>
      <c r="AI32" s="550"/>
      <c r="AJ32" s="550"/>
    </row>
    <row r="33" spans="1:36" ht="18" customHeight="1">
      <c r="A33" s="547" t="s">
        <v>1024</v>
      </c>
      <c r="B33" s="548"/>
      <c r="C33" s="548"/>
      <c r="D33" s="548"/>
      <c r="E33" s="533"/>
      <c r="F33" s="548">
        <v>1294</v>
      </c>
      <c r="G33" s="548">
        <v>1172</v>
      </c>
      <c r="H33" s="548">
        <v>1324</v>
      </c>
      <c r="I33" s="533">
        <v>1189</v>
      </c>
      <c r="J33" s="549"/>
      <c r="K33" s="548"/>
      <c r="L33" s="548"/>
      <c r="M33" s="533"/>
      <c r="N33" s="548"/>
      <c r="O33" s="548"/>
      <c r="P33" s="548"/>
      <c r="Q33" s="548"/>
      <c r="R33" s="549"/>
      <c r="S33" s="370"/>
      <c r="T33" s="370"/>
      <c r="U33" s="492"/>
      <c r="V33" s="548"/>
      <c r="W33" s="548"/>
      <c r="X33" s="548"/>
      <c r="Y33" s="533"/>
      <c r="Z33" s="548"/>
      <c r="AA33" s="548"/>
      <c r="AB33" s="548"/>
      <c r="AC33" s="533"/>
      <c r="AD33" s="548">
        <f t="shared" si="1"/>
        <v>1294</v>
      </c>
      <c r="AE33" s="548">
        <f t="shared" si="2"/>
        <v>1172</v>
      </c>
      <c r="AF33" s="548">
        <f t="shared" si="3"/>
        <v>1324</v>
      </c>
      <c r="AG33" s="533">
        <f t="shared" si="4"/>
        <v>1189</v>
      </c>
      <c r="AH33" s="550"/>
      <c r="AI33" s="550"/>
      <c r="AJ33" s="550"/>
    </row>
    <row r="34" spans="1:36" ht="18" customHeight="1">
      <c r="A34" s="547" t="s">
        <v>1025</v>
      </c>
      <c r="B34" s="548">
        <v>6</v>
      </c>
      <c r="C34" s="548">
        <v>5</v>
      </c>
      <c r="D34" s="548">
        <v>1</v>
      </c>
      <c r="E34" s="533"/>
      <c r="F34" s="548">
        <v>114</v>
      </c>
      <c r="G34" s="548">
        <v>90</v>
      </c>
      <c r="H34" s="548">
        <v>68</v>
      </c>
      <c r="I34" s="533">
        <v>69</v>
      </c>
      <c r="J34" s="549"/>
      <c r="K34" s="548"/>
      <c r="L34" s="548"/>
      <c r="M34" s="533"/>
      <c r="N34" s="548"/>
      <c r="O34" s="548"/>
      <c r="P34" s="548"/>
      <c r="Q34" s="548"/>
      <c r="R34" s="549"/>
      <c r="S34" s="370"/>
      <c r="T34" s="370"/>
      <c r="U34" s="492"/>
      <c r="V34" s="548"/>
      <c r="W34" s="548"/>
      <c r="X34" s="548"/>
      <c r="Y34" s="533"/>
      <c r="Z34" s="548"/>
      <c r="AA34" s="548"/>
      <c r="AB34" s="548"/>
      <c r="AC34" s="533"/>
      <c r="AD34" s="548">
        <f t="shared" si="1"/>
        <v>120</v>
      </c>
      <c r="AE34" s="548">
        <f t="shared" si="2"/>
        <v>95</v>
      </c>
      <c r="AF34" s="548">
        <f t="shared" si="3"/>
        <v>69</v>
      </c>
      <c r="AG34" s="533">
        <f t="shared" si="4"/>
        <v>69</v>
      </c>
      <c r="AH34" s="550"/>
      <c r="AI34" s="550"/>
      <c r="AJ34" s="550"/>
    </row>
    <row r="35" spans="1:36" ht="18" customHeight="1">
      <c r="A35" s="547" t="s">
        <v>1026</v>
      </c>
      <c r="B35" s="548">
        <v>119</v>
      </c>
      <c r="C35" s="548">
        <v>93</v>
      </c>
      <c r="D35" s="548">
        <v>80</v>
      </c>
      <c r="E35" s="533">
        <v>68</v>
      </c>
      <c r="F35" s="548"/>
      <c r="G35" s="548"/>
      <c r="H35" s="548"/>
      <c r="I35" s="533"/>
      <c r="J35" s="549"/>
      <c r="K35" s="548"/>
      <c r="L35" s="548"/>
      <c r="M35" s="533"/>
      <c r="N35" s="548"/>
      <c r="O35" s="548"/>
      <c r="P35" s="548"/>
      <c r="Q35" s="548"/>
      <c r="R35" s="549"/>
      <c r="S35" s="370"/>
      <c r="T35" s="370"/>
      <c r="U35" s="492"/>
      <c r="V35" s="549"/>
      <c r="W35" s="548"/>
      <c r="X35" s="548"/>
      <c r="Y35" s="533"/>
      <c r="Z35" s="548"/>
      <c r="AA35" s="548"/>
      <c r="AB35" s="548"/>
      <c r="AC35" s="533"/>
      <c r="AD35" s="548">
        <f t="shared" si="1"/>
        <v>119</v>
      </c>
      <c r="AE35" s="548">
        <f t="shared" si="2"/>
        <v>93</v>
      </c>
      <c r="AF35" s="548">
        <f t="shared" si="3"/>
        <v>80</v>
      </c>
      <c r="AG35" s="533">
        <f t="shared" si="4"/>
        <v>68</v>
      </c>
      <c r="AH35" s="550"/>
      <c r="AI35" s="550"/>
      <c r="AJ35" s="550"/>
    </row>
    <row r="36" spans="1:36" ht="18" customHeight="1">
      <c r="A36" s="170" t="s">
        <v>863</v>
      </c>
      <c r="B36" s="373">
        <f t="shared" ref="B36:E36" si="5">SUM(B9:B35)</f>
        <v>5315</v>
      </c>
      <c r="C36" s="374">
        <f t="shared" si="5"/>
        <v>5170</v>
      </c>
      <c r="D36" s="374">
        <f t="shared" si="5"/>
        <v>5123</v>
      </c>
      <c r="E36" s="552">
        <f t="shared" si="5"/>
        <v>5746</v>
      </c>
      <c r="F36" s="373">
        <f t="shared" ref="F36:AG36" si="6">SUM(F9:F35)</f>
        <v>4740</v>
      </c>
      <c r="G36" s="374">
        <f t="shared" si="6"/>
        <v>4398</v>
      </c>
      <c r="H36" s="374">
        <f t="shared" si="6"/>
        <v>4429</v>
      </c>
      <c r="I36" s="552">
        <f t="shared" si="6"/>
        <v>3847</v>
      </c>
      <c r="J36" s="373">
        <f t="shared" si="6"/>
        <v>193</v>
      </c>
      <c r="K36" s="374">
        <f t="shared" si="6"/>
        <v>90</v>
      </c>
      <c r="L36" s="374">
        <f t="shared" si="6"/>
        <v>96</v>
      </c>
      <c r="M36" s="552">
        <f t="shared" si="6"/>
        <v>112</v>
      </c>
      <c r="N36" s="373">
        <f t="shared" si="6"/>
        <v>1067</v>
      </c>
      <c r="O36" s="374">
        <f t="shared" si="6"/>
        <v>729</v>
      </c>
      <c r="P36" s="374">
        <f>+P23</f>
        <v>754</v>
      </c>
      <c r="Q36" s="552">
        <f t="shared" si="6"/>
        <v>623</v>
      </c>
      <c r="R36" s="373">
        <f t="shared" si="6"/>
        <v>27</v>
      </c>
      <c r="S36" s="374">
        <f t="shared" si="6"/>
        <v>27</v>
      </c>
      <c r="T36" s="374">
        <f>+T23</f>
        <v>14</v>
      </c>
      <c r="U36" s="552">
        <f t="shared" si="6"/>
        <v>0</v>
      </c>
      <c r="V36" s="553">
        <f t="shared" si="6"/>
        <v>0</v>
      </c>
      <c r="W36" s="551">
        <f t="shared" si="6"/>
        <v>0</v>
      </c>
      <c r="X36" s="551">
        <f t="shared" si="6"/>
        <v>0</v>
      </c>
      <c r="Y36" s="552">
        <f t="shared" si="6"/>
        <v>0</v>
      </c>
      <c r="Z36" s="551">
        <f t="shared" si="6"/>
        <v>51</v>
      </c>
      <c r="AA36" s="551">
        <f t="shared" si="6"/>
        <v>1</v>
      </c>
      <c r="AB36" s="551">
        <f t="shared" si="6"/>
        <v>0</v>
      </c>
      <c r="AC36" s="552">
        <f t="shared" si="6"/>
        <v>42</v>
      </c>
      <c r="AD36" s="551">
        <f t="shared" si="6"/>
        <v>11342</v>
      </c>
      <c r="AE36" s="551">
        <f t="shared" si="6"/>
        <v>10415</v>
      </c>
      <c r="AF36" s="551">
        <f t="shared" si="6"/>
        <v>10416</v>
      </c>
      <c r="AG36" s="552">
        <f t="shared" si="6"/>
        <v>10370</v>
      </c>
      <c r="AH36" s="550"/>
      <c r="AI36" s="550"/>
      <c r="AJ36" s="550"/>
    </row>
    <row r="37" spans="1:36" ht="18" customHeight="1">
      <c r="B37" s="554"/>
      <c r="C37" s="554"/>
      <c r="D37" s="554"/>
      <c r="E37" s="554"/>
      <c r="F37" s="554"/>
      <c r="G37" s="554"/>
      <c r="H37" s="554"/>
      <c r="I37" s="554"/>
      <c r="J37" s="554"/>
      <c r="K37" s="554"/>
      <c r="L37" s="554"/>
      <c r="M37" s="554"/>
      <c r="N37" s="554"/>
      <c r="O37" s="554"/>
      <c r="P37" s="554"/>
      <c r="Q37" s="554"/>
      <c r="R37" s="548"/>
      <c r="S37" s="554"/>
      <c r="T37" s="554"/>
      <c r="U37" s="554"/>
      <c r="V37" s="554"/>
      <c r="W37" s="554"/>
      <c r="X37" s="554"/>
      <c r="Y37" s="554"/>
      <c r="Z37" s="554"/>
      <c r="AA37" s="554"/>
      <c r="AB37" s="554"/>
      <c r="AC37" s="554"/>
      <c r="AD37" s="554"/>
      <c r="AE37" s="554"/>
      <c r="AF37" s="554"/>
      <c r="AG37" s="554"/>
      <c r="AH37" s="550"/>
      <c r="AI37" s="550"/>
      <c r="AJ37" s="550"/>
    </row>
    <row r="38" spans="1:36" ht="18" customHeight="1">
      <c r="A38" s="511" t="s">
        <v>1027</v>
      </c>
      <c r="B38" s="554"/>
      <c r="C38" s="554"/>
      <c r="D38" s="554"/>
      <c r="E38" s="554"/>
      <c r="F38" s="551"/>
      <c r="G38" s="554"/>
      <c r="H38" s="554"/>
      <c r="I38" s="554"/>
      <c r="J38" s="554"/>
      <c r="K38" s="554"/>
      <c r="L38" s="554"/>
      <c r="M38" s="554"/>
      <c r="N38" s="554"/>
      <c r="O38" s="554"/>
      <c r="P38" s="554"/>
      <c r="Q38" s="554"/>
      <c r="R38" s="548"/>
      <c r="S38" s="554"/>
      <c r="T38" s="554"/>
      <c r="U38" s="554"/>
      <c r="V38" s="554"/>
      <c r="W38" s="554"/>
      <c r="X38" s="554"/>
      <c r="Y38" s="554"/>
      <c r="Z38" s="554"/>
      <c r="AA38" s="554"/>
      <c r="AB38" s="554"/>
      <c r="AC38" s="554"/>
      <c r="AD38" s="554"/>
      <c r="AE38" s="554"/>
      <c r="AF38" s="554"/>
      <c r="AG38" s="554"/>
      <c r="AH38" s="550"/>
      <c r="AI38" s="550"/>
      <c r="AJ38" s="550"/>
    </row>
    <row r="39" spans="1:36" ht="18" customHeight="1">
      <c r="A39" s="530" t="s">
        <v>1028</v>
      </c>
      <c r="B39" s="556">
        <v>152</v>
      </c>
      <c r="C39" s="556">
        <v>146</v>
      </c>
      <c r="D39" s="556">
        <v>68</v>
      </c>
      <c r="E39" s="557">
        <v>24</v>
      </c>
      <c r="F39" s="556">
        <v>353</v>
      </c>
      <c r="G39" s="556">
        <v>398</v>
      </c>
      <c r="H39" s="556">
        <v>299</v>
      </c>
      <c r="I39" s="556">
        <v>365</v>
      </c>
      <c r="J39" s="555"/>
      <c r="K39" s="556"/>
      <c r="L39" s="556"/>
      <c r="M39" s="557"/>
      <c r="N39" s="556"/>
      <c r="O39" s="556"/>
      <c r="P39" s="556"/>
      <c r="Q39" s="556"/>
      <c r="R39" s="555"/>
      <c r="S39" s="556"/>
      <c r="T39" s="556"/>
      <c r="U39" s="557"/>
      <c r="V39" s="555"/>
      <c r="W39" s="556"/>
      <c r="X39" s="556"/>
      <c r="Y39" s="557"/>
      <c r="Z39" s="556"/>
      <c r="AA39" s="556"/>
      <c r="AB39" s="556"/>
      <c r="AC39" s="556"/>
      <c r="AD39" s="555">
        <f t="shared" ref="AD39:AG40" si="7">+N39+J39+F39+B39</f>
        <v>505</v>
      </c>
      <c r="AE39" s="556">
        <f t="shared" si="7"/>
        <v>544</v>
      </c>
      <c r="AF39" s="556">
        <f t="shared" si="7"/>
        <v>367</v>
      </c>
      <c r="AG39" s="557">
        <f t="shared" si="7"/>
        <v>389</v>
      </c>
      <c r="AH39" s="550"/>
      <c r="AI39" s="550"/>
      <c r="AJ39" s="550"/>
    </row>
    <row r="40" spans="1:36" ht="18" customHeight="1">
      <c r="A40" s="532" t="s">
        <v>1029</v>
      </c>
      <c r="B40" s="548">
        <v>254</v>
      </c>
      <c r="C40" s="548">
        <v>205</v>
      </c>
      <c r="D40" s="548">
        <v>23</v>
      </c>
      <c r="E40" s="533">
        <v>0</v>
      </c>
      <c r="F40" s="548">
        <v>8</v>
      </c>
      <c r="G40" s="548">
        <v>8</v>
      </c>
      <c r="H40" s="548">
        <v>13</v>
      </c>
      <c r="I40" s="548">
        <v>7</v>
      </c>
      <c r="J40" s="549"/>
      <c r="K40" s="548"/>
      <c r="L40" s="548"/>
      <c r="M40" s="533"/>
      <c r="N40" s="548"/>
      <c r="O40" s="548"/>
      <c r="P40" s="548"/>
      <c r="Q40" s="548"/>
      <c r="R40" s="549"/>
      <c r="S40" s="548"/>
      <c r="T40" s="548"/>
      <c r="U40" s="533"/>
      <c r="V40" s="549"/>
      <c r="W40" s="548"/>
      <c r="X40" s="548"/>
      <c r="Y40" s="533"/>
      <c r="Z40" s="548"/>
      <c r="AA40" s="548"/>
      <c r="AB40" s="548"/>
      <c r="AC40" s="548"/>
      <c r="AD40" s="549">
        <f t="shared" si="7"/>
        <v>262</v>
      </c>
      <c r="AE40" s="548">
        <f t="shared" si="7"/>
        <v>213</v>
      </c>
      <c r="AF40" s="548">
        <f t="shared" si="7"/>
        <v>36</v>
      </c>
      <c r="AG40" s="533">
        <f t="shared" si="7"/>
        <v>7</v>
      </c>
      <c r="AH40" s="550"/>
      <c r="AI40" s="550"/>
      <c r="AJ40" s="550"/>
    </row>
    <row r="41" spans="1:36" ht="18" customHeight="1">
      <c r="A41" s="532" t="s">
        <v>1030</v>
      </c>
      <c r="B41" s="548">
        <v>174</v>
      </c>
      <c r="C41" s="548">
        <v>220</v>
      </c>
      <c r="D41" s="548">
        <v>186</v>
      </c>
      <c r="E41" s="533">
        <v>204</v>
      </c>
      <c r="F41" s="548">
        <v>172</v>
      </c>
      <c r="G41" s="548">
        <v>177</v>
      </c>
      <c r="H41" s="548">
        <v>201</v>
      </c>
      <c r="I41" s="548">
        <v>215</v>
      </c>
      <c r="J41" s="549"/>
      <c r="K41" s="548"/>
      <c r="L41" s="548"/>
      <c r="M41" s="533"/>
      <c r="N41" s="548"/>
      <c r="O41" s="548"/>
      <c r="P41" s="548"/>
      <c r="Q41" s="548"/>
      <c r="R41" s="549"/>
      <c r="S41" s="548"/>
      <c r="T41" s="548"/>
      <c r="U41" s="533"/>
      <c r="V41" s="549"/>
      <c r="W41" s="548"/>
      <c r="X41" s="548"/>
      <c r="Y41" s="533"/>
      <c r="Z41" s="548"/>
      <c r="AA41" s="548"/>
      <c r="AB41" s="548"/>
      <c r="AC41" s="548"/>
      <c r="AD41" s="549">
        <f t="shared" ref="AD41:AG43" si="8">+N41+J41+F41+B41</f>
        <v>346</v>
      </c>
      <c r="AE41" s="548">
        <f t="shared" si="8"/>
        <v>397</v>
      </c>
      <c r="AF41" s="548">
        <f t="shared" si="8"/>
        <v>387</v>
      </c>
      <c r="AG41" s="533">
        <f t="shared" si="8"/>
        <v>419</v>
      </c>
      <c r="AH41" s="550"/>
      <c r="AI41" s="550"/>
      <c r="AJ41" s="550"/>
    </row>
    <row r="42" spans="1:36" ht="18" customHeight="1">
      <c r="A42" s="532" t="s">
        <v>1031</v>
      </c>
      <c r="B42" s="548">
        <v>136</v>
      </c>
      <c r="C42" s="548">
        <v>106</v>
      </c>
      <c r="D42" s="548">
        <v>112</v>
      </c>
      <c r="E42" s="533">
        <v>90</v>
      </c>
      <c r="F42" s="548">
        <v>226</v>
      </c>
      <c r="G42" s="548">
        <v>198</v>
      </c>
      <c r="H42" s="548">
        <v>183</v>
      </c>
      <c r="I42" s="548">
        <v>249</v>
      </c>
      <c r="J42" s="549"/>
      <c r="K42" s="548"/>
      <c r="L42" s="548"/>
      <c r="M42" s="533"/>
      <c r="N42" s="548"/>
      <c r="O42" s="548"/>
      <c r="P42" s="548"/>
      <c r="Q42" s="548"/>
      <c r="R42" s="549"/>
      <c r="S42" s="548"/>
      <c r="T42" s="548"/>
      <c r="U42" s="533"/>
      <c r="V42" s="549"/>
      <c r="W42" s="548"/>
      <c r="X42" s="548"/>
      <c r="Y42" s="533"/>
      <c r="Z42" s="548"/>
      <c r="AA42" s="548"/>
      <c r="AB42" s="548"/>
      <c r="AC42" s="548"/>
      <c r="AD42" s="549">
        <f t="shared" si="8"/>
        <v>362</v>
      </c>
      <c r="AE42" s="548">
        <f t="shared" si="8"/>
        <v>304</v>
      </c>
      <c r="AF42" s="548">
        <f t="shared" si="8"/>
        <v>295</v>
      </c>
      <c r="AG42" s="533">
        <f t="shared" si="8"/>
        <v>339</v>
      </c>
      <c r="AH42" s="550"/>
      <c r="AI42" s="550"/>
      <c r="AJ42" s="550"/>
    </row>
    <row r="43" spans="1:36" ht="18" customHeight="1">
      <c r="A43" s="532" t="s">
        <v>1032</v>
      </c>
      <c r="B43" s="548">
        <v>231</v>
      </c>
      <c r="C43" s="548">
        <v>270</v>
      </c>
      <c r="D43" s="548">
        <v>301</v>
      </c>
      <c r="E43" s="533">
        <v>412</v>
      </c>
      <c r="F43" s="548"/>
      <c r="G43" s="548"/>
      <c r="H43" s="548"/>
      <c r="I43" s="548"/>
      <c r="J43" s="549"/>
      <c r="K43" s="548"/>
      <c r="L43" s="548"/>
      <c r="M43" s="533"/>
      <c r="N43" s="548"/>
      <c r="O43" s="548"/>
      <c r="P43" s="548"/>
      <c r="Q43" s="548"/>
      <c r="R43" s="549"/>
      <c r="S43" s="548"/>
      <c r="T43" s="548"/>
      <c r="U43" s="533"/>
      <c r="V43" s="549"/>
      <c r="W43" s="548"/>
      <c r="X43" s="548"/>
      <c r="Y43" s="533"/>
      <c r="Z43" s="548"/>
      <c r="AA43" s="548"/>
      <c r="AB43" s="548"/>
      <c r="AC43" s="548"/>
      <c r="AD43" s="549">
        <f t="shared" si="8"/>
        <v>231</v>
      </c>
      <c r="AE43" s="548">
        <f t="shared" si="8"/>
        <v>270</v>
      </c>
      <c r="AF43" s="548">
        <f t="shared" si="8"/>
        <v>301</v>
      </c>
      <c r="AG43" s="533">
        <f t="shared" si="8"/>
        <v>412</v>
      </c>
      <c r="AH43" s="550"/>
      <c r="AI43" s="550"/>
      <c r="AJ43" s="550"/>
    </row>
    <row r="44" spans="1:36" ht="18" customHeight="1">
      <c r="A44" s="532" t="s">
        <v>1033</v>
      </c>
      <c r="B44" s="548">
        <v>901</v>
      </c>
      <c r="C44" s="548">
        <v>1157</v>
      </c>
      <c r="D44" s="548">
        <v>1050</v>
      </c>
      <c r="E44" s="533">
        <v>965</v>
      </c>
      <c r="F44" s="548">
        <v>1336</v>
      </c>
      <c r="G44" s="548">
        <v>1089</v>
      </c>
      <c r="H44" s="548">
        <v>1107</v>
      </c>
      <c r="I44" s="548">
        <v>1135</v>
      </c>
      <c r="J44" s="549"/>
      <c r="K44" s="548"/>
      <c r="L44" s="548"/>
      <c r="M44" s="533"/>
      <c r="N44" s="548"/>
      <c r="O44" s="548"/>
      <c r="P44" s="548"/>
      <c r="Q44" s="548"/>
      <c r="R44" s="549"/>
      <c r="S44" s="548"/>
      <c r="T44" s="548"/>
      <c r="U44" s="533"/>
      <c r="V44" s="549"/>
      <c r="W44" s="548"/>
      <c r="X44" s="548"/>
      <c r="Y44" s="533"/>
      <c r="Z44" s="548"/>
      <c r="AA44" s="548"/>
      <c r="AB44" s="548"/>
      <c r="AC44" s="548"/>
      <c r="AD44" s="549">
        <f>+N44+J44+F44+B44</f>
        <v>2237</v>
      </c>
      <c r="AE44" s="548">
        <f>+O44+K44+G44+C44</f>
        <v>2246</v>
      </c>
      <c r="AF44" s="548">
        <f t="shared" ref="AF44:AG46" si="9">+P44+L44+H44+D44</f>
        <v>2157</v>
      </c>
      <c r="AG44" s="533">
        <f t="shared" si="9"/>
        <v>2100</v>
      </c>
      <c r="AH44" s="550"/>
      <c r="AI44" s="550"/>
      <c r="AJ44" s="550"/>
    </row>
    <row r="45" spans="1:36" ht="18" customHeight="1">
      <c r="A45" s="532" t="s">
        <v>1034</v>
      </c>
      <c r="B45" s="370">
        <v>40</v>
      </c>
      <c r="C45" s="370">
        <v>49</v>
      </c>
      <c r="D45" s="370"/>
      <c r="E45" s="492">
        <v>46</v>
      </c>
      <c r="F45" s="370"/>
      <c r="G45" s="370"/>
      <c r="H45" s="370"/>
      <c r="I45" s="370"/>
      <c r="J45" s="369"/>
      <c r="K45" s="370"/>
      <c r="L45" s="370"/>
      <c r="M45" s="492"/>
      <c r="N45" s="370"/>
      <c r="O45" s="370"/>
      <c r="P45" s="370"/>
      <c r="Q45" s="370"/>
      <c r="R45" s="369"/>
      <c r="S45" s="370"/>
      <c r="T45" s="370"/>
      <c r="U45" s="492"/>
      <c r="V45" s="369"/>
      <c r="W45" s="370"/>
      <c r="X45" s="370"/>
      <c r="Y45" s="492"/>
      <c r="Z45" s="370"/>
      <c r="AA45" s="370"/>
      <c r="AB45" s="370"/>
      <c r="AC45" s="370"/>
      <c r="AD45" s="369">
        <f t="shared" ref="AD45:AE47" si="10">+N45+J45+F45+B45</f>
        <v>40</v>
      </c>
      <c r="AE45" s="370">
        <f t="shared" si="10"/>
        <v>49</v>
      </c>
      <c r="AF45" s="370">
        <f t="shared" si="9"/>
        <v>0</v>
      </c>
      <c r="AG45" s="492">
        <f t="shared" si="9"/>
        <v>46</v>
      </c>
      <c r="AH45" s="550"/>
      <c r="AI45" s="550"/>
      <c r="AJ45" s="550"/>
    </row>
    <row r="46" spans="1:36" ht="18" customHeight="1">
      <c r="A46" s="532" t="s">
        <v>1035</v>
      </c>
      <c r="B46" s="548">
        <v>245</v>
      </c>
      <c r="C46" s="548">
        <v>342</v>
      </c>
      <c r="D46" s="548">
        <v>223</v>
      </c>
      <c r="E46" s="533">
        <v>303</v>
      </c>
      <c r="F46" s="548"/>
      <c r="G46" s="548"/>
      <c r="H46" s="548"/>
      <c r="I46" s="548"/>
      <c r="J46" s="549"/>
      <c r="K46" s="548"/>
      <c r="L46" s="548"/>
      <c r="M46" s="533"/>
      <c r="N46" s="548"/>
      <c r="O46" s="548"/>
      <c r="P46" s="548"/>
      <c r="Q46" s="548"/>
      <c r="R46" s="549"/>
      <c r="S46" s="548"/>
      <c r="T46" s="548"/>
      <c r="U46" s="533"/>
      <c r="V46" s="549"/>
      <c r="W46" s="548"/>
      <c r="X46" s="548"/>
      <c r="Y46" s="533"/>
      <c r="Z46" s="548"/>
      <c r="AA46" s="548"/>
      <c r="AB46" s="548"/>
      <c r="AC46" s="548"/>
      <c r="AD46" s="369">
        <f t="shared" si="10"/>
        <v>245</v>
      </c>
      <c r="AE46" s="370">
        <f t="shared" si="10"/>
        <v>342</v>
      </c>
      <c r="AF46" s="370">
        <f t="shared" si="9"/>
        <v>223</v>
      </c>
      <c r="AG46" s="492">
        <f t="shared" si="9"/>
        <v>303</v>
      </c>
      <c r="AH46" s="550"/>
      <c r="AI46" s="550"/>
      <c r="AJ46" s="550"/>
    </row>
    <row r="47" spans="1:36" ht="18" customHeight="1">
      <c r="A47" s="534" t="s">
        <v>1036</v>
      </c>
      <c r="B47" s="551">
        <v>608</v>
      </c>
      <c r="C47" s="551">
        <v>723</v>
      </c>
      <c r="D47" s="551">
        <v>785</v>
      </c>
      <c r="E47" s="552">
        <v>690</v>
      </c>
      <c r="F47" s="551">
        <v>134</v>
      </c>
      <c r="G47" s="551">
        <v>164</v>
      </c>
      <c r="H47" s="551">
        <v>180</v>
      </c>
      <c r="I47" s="551">
        <v>151</v>
      </c>
      <c r="J47" s="553"/>
      <c r="K47" s="551"/>
      <c r="L47" s="551"/>
      <c r="M47" s="552"/>
      <c r="N47" s="551">
        <v>17</v>
      </c>
      <c r="O47" s="551">
        <v>21</v>
      </c>
      <c r="P47" s="551">
        <v>4</v>
      </c>
      <c r="Q47" s="551"/>
      <c r="R47" s="553">
        <v>1</v>
      </c>
      <c r="S47" s="551">
        <v>1</v>
      </c>
      <c r="T47" s="551"/>
      <c r="U47" s="552">
        <v>25</v>
      </c>
      <c r="V47" s="553"/>
      <c r="W47" s="551"/>
      <c r="X47" s="551"/>
      <c r="Y47" s="552"/>
      <c r="Z47" s="551"/>
      <c r="AA47" s="551"/>
      <c r="AB47" s="551"/>
      <c r="AC47" s="551"/>
      <c r="AD47" s="553">
        <f t="shared" si="10"/>
        <v>759</v>
      </c>
      <c r="AE47" s="551">
        <f t="shared" si="10"/>
        <v>908</v>
      </c>
      <c r="AF47" s="551">
        <f>+P47+L47+H47+D47+T47</f>
        <v>969</v>
      </c>
      <c r="AG47" s="552">
        <f>+Q47+M47+I47+E47+U47</f>
        <v>866</v>
      </c>
      <c r="AH47" s="550"/>
      <c r="AI47" s="550"/>
      <c r="AJ47" s="550"/>
    </row>
    <row r="48" spans="1:36">
      <c r="B48" s="550"/>
      <c r="C48" s="550"/>
      <c r="D48" s="550"/>
      <c r="E48" s="550"/>
      <c r="F48" s="550"/>
      <c r="G48" s="550"/>
      <c r="H48" s="550"/>
      <c r="I48" s="550"/>
      <c r="J48" s="550"/>
      <c r="K48" s="550"/>
      <c r="L48" s="550"/>
      <c r="M48" s="550"/>
      <c r="N48" s="550"/>
      <c r="O48" s="550"/>
      <c r="P48" s="550"/>
      <c r="Q48" s="550"/>
      <c r="R48" s="550"/>
      <c r="S48" s="550"/>
      <c r="T48" s="550"/>
      <c r="U48" s="550"/>
      <c r="V48" s="550"/>
      <c r="W48" s="550"/>
      <c r="X48" s="550"/>
      <c r="Y48" s="550"/>
      <c r="Z48" s="550"/>
      <c r="AA48" s="550"/>
      <c r="AB48" s="550"/>
      <c r="AC48" s="550"/>
      <c r="AD48" s="550"/>
      <c r="AE48" s="550"/>
      <c r="AF48" s="550"/>
      <c r="AG48" s="550"/>
      <c r="AH48" s="550"/>
      <c r="AI48" s="550"/>
      <c r="AJ48" s="550"/>
    </row>
    <row r="49" spans="2:36">
      <c r="B49" s="550"/>
      <c r="C49" s="550"/>
      <c r="D49" s="550"/>
      <c r="E49" s="550"/>
      <c r="F49" s="550"/>
      <c r="G49" s="550"/>
      <c r="H49" s="550"/>
      <c r="I49" s="550"/>
      <c r="J49" s="550"/>
      <c r="K49" s="550"/>
      <c r="L49" s="550"/>
      <c r="M49" s="550"/>
      <c r="N49" s="550"/>
      <c r="O49" s="550"/>
      <c r="P49" s="550"/>
      <c r="Q49" s="550"/>
      <c r="R49" s="550"/>
      <c r="S49" s="550"/>
      <c r="T49" s="550"/>
      <c r="U49" s="550"/>
      <c r="V49" s="550"/>
      <c r="W49" s="550"/>
      <c r="X49" s="550"/>
      <c r="Y49" s="550"/>
      <c r="Z49" s="550"/>
      <c r="AA49" s="550"/>
      <c r="AB49" s="550"/>
      <c r="AC49" s="550"/>
      <c r="AD49" s="550"/>
      <c r="AE49" s="550"/>
      <c r="AF49" s="550"/>
      <c r="AG49" s="550"/>
      <c r="AH49" s="550"/>
      <c r="AI49" s="550"/>
      <c r="AJ49" s="550"/>
    </row>
    <row r="50" spans="2:36">
      <c r="B50" s="550"/>
      <c r="C50" s="550"/>
      <c r="D50" s="550"/>
      <c r="E50" s="550"/>
      <c r="F50" s="550"/>
      <c r="G50" s="550"/>
      <c r="H50" s="550"/>
      <c r="I50" s="550"/>
      <c r="J50" s="550"/>
      <c r="K50" s="550"/>
      <c r="L50" s="550"/>
      <c r="M50" s="550"/>
      <c r="N50" s="550"/>
      <c r="O50" s="550"/>
      <c r="P50" s="550"/>
      <c r="Q50" s="550"/>
      <c r="R50" s="550"/>
      <c r="S50" s="550"/>
      <c r="T50" s="550"/>
      <c r="U50" s="550"/>
      <c r="V50" s="550"/>
      <c r="W50" s="550"/>
      <c r="X50" s="550"/>
      <c r="Y50" s="550"/>
      <c r="Z50" s="550"/>
      <c r="AA50" s="550"/>
      <c r="AB50" s="550"/>
      <c r="AC50" s="550"/>
      <c r="AD50" s="550"/>
      <c r="AE50" s="550"/>
      <c r="AF50" s="550"/>
      <c r="AG50" s="550"/>
      <c r="AH50" s="550"/>
      <c r="AI50" s="550"/>
      <c r="AJ50" s="550"/>
    </row>
    <row r="51" spans="2:36">
      <c r="B51" s="550"/>
      <c r="C51" s="550"/>
      <c r="D51" s="550"/>
      <c r="E51" s="550"/>
      <c r="F51" s="550"/>
      <c r="G51" s="550"/>
      <c r="H51" s="550"/>
      <c r="I51" s="550"/>
      <c r="J51" s="550"/>
      <c r="K51" s="550"/>
      <c r="L51" s="550"/>
      <c r="M51" s="550"/>
      <c r="N51" s="550"/>
      <c r="O51" s="550"/>
      <c r="P51" s="550"/>
      <c r="Q51" s="550"/>
      <c r="R51" s="550"/>
      <c r="S51" s="550"/>
      <c r="T51" s="550"/>
      <c r="U51" s="550"/>
      <c r="V51" s="550"/>
      <c r="W51" s="550"/>
      <c r="X51" s="550"/>
      <c r="Y51" s="550"/>
      <c r="Z51" s="550"/>
      <c r="AA51" s="550"/>
      <c r="AB51" s="550"/>
      <c r="AC51" s="550"/>
      <c r="AD51" s="550"/>
      <c r="AE51" s="550"/>
      <c r="AF51" s="550"/>
      <c r="AG51" s="550"/>
      <c r="AH51" s="550"/>
      <c r="AI51" s="550"/>
      <c r="AJ51" s="550"/>
    </row>
    <row r="52" spans="2:36">
      <c r="B52" s="550"/>
      <c r="C52" s="550"/>
      <c r="D52" s="550"/>
      <c r="E52" s="550"/>
      <c r="F52" s="550"/>
      <c r="G52" s="550"/>
      <c r="H52" s="550"/>
      <c r="I52" s="550"/>
      <c r="J52" s="550"/>
      <c r="K52" s="550"/>
      <c r="L52" s="550"/>
      <c r="M52" s="550"/>
      <c r="N52" s="550"/>
      <c r="O52" s="550"/>
      <c r="P52" s="550"/>
      <c r="Q52" s="550"/>
      <c r="R52" s="550"/>
      <c r="S52" s="550"/>
      <c r="T52" s="550"/>
      <c r="U52" s="550"/>
      <c r="V52" s="550"/>
      <c r="W52" s="550"/>
      <c r="X52" s="550"/>
      <c r="Y52" s="550"/>
      <c r="Z52" s="550"/>
      <c r="AA52" s="550"/>
      <c r="AB52" s="550"/>
      <c r="AC52" s="550"/>
      <c r="AD52" s="550"/>
      <c r="AE52" s="550"/>
      <c r="AF52" s="550"/>
      <c r="AG52" s="550"/>
      <c r="AH52" s="550"/>
      <c r="AI52" s="550"/>
      <c r="AJ52" s="550"/>
    </row>
    <row r="53" spans="2:36">
      <c r="B53" s="550"/>
      <c r="C53" s="550"/>
      <c r="D53" s="550"/>
      <c r="E53" s="550"/>
      <c r="F53" s="550"/>
      <c r="G53" s="550"/>
      <c r="H53" s="550"/>
      <c r="I53" s="550"/>
      <c r="J53" s="550"/>
      <c r="K53" s="550"/>
      <c r="L53" s="550"/>
      <c r="M53" s="550"/>
      <c r="N53" s="550"/>
      <c r="O53" s="550"/>
      <c r="P53" s="550"/>
      <c r="Q53" s="550"/>
      <c r="R53" s="550"/>
      <c r="S53" s="550"/>
      <c r="T53" s="550"/>
      <c r="U53" s="550"/>
      <c r="V53" s="550"/>
      <c r="W53" s="550"/>
      <c r="X53" s="550"/>
      <c r="Y53" s="550"/>
      <c r="Z53" s="550"/>
      <c r="AA53" s="550"/>
      <c r="AB53" s="550"/>
      <c r="AC53" s="550"/>
      <c r="AD53" s="550"/>
      <c r="AE53" s="550"/>
      <c r="AF53" s="550"/>
      <c r="AG53" s="550"/>
      <c r="AH53" s="550"/>
      <c r="AI53" s="550"/>
      <c r="AJ53" s="550"/>
    </row>
    <row r="54" spans="2:36">
      <c r="B54" s="550"/>
      <c r="C54" s="550"/>
      <c r="D54" s="550"/>
      <c r="E54" s="550"/>
      <c r="F54" s="550"/>
      <c r="G54" s="550"/>
      <c r="H54" s="550"/>
      <c r="I54" s="550"/>
      <c r="J54" s="550"/>
      <c r="K54" s="550"/>
      <c r="L54" s="550"/>
      <c r="M54" s="550"/>
      <c r="N54" s="550"/>
      <c r="O54" s="550"/>
      <c r="P54" s="550"/>
      <c r="Q54" s="550"/>
      <c r="R54" s="550"/>
      <c r="S54" s="550"/>
      <c r="T54" s="550"/>
      <c r="U54" s="550"/>
      <c r="V54" s="550"/>
      <c r="W54" s="550"/>
      <c r="X54" s="550"/>
      <c r="Y54" s="550"/>
      <c r="Z54" s="550"/>
      <c r="AA54" s="550"/>
      <c r="AB54" s="550"/>
      <c r="AC54" s="550"/>
      <c r="AD54" s="550"/>
      <c r="AE54" s="550"/>
      <c r="AF54" s="550"/>
      <c r="AG54" s="550"/>
      <c r="AH54" s="550"/>
      <c r="AI54" s="550"/>
      <c r="AJ54" s="550"/>
    </row>
    <row r="55" spans="2:36">
      <c r="B55" s="550"/>
      <c r="C55" s="550"/>
      <c r="D55" s="550"/>
      <c r="E55" s="550"/>
      <c r="F55" s="550"/>
      <c r="G55" s="550"/>
      <c r="H55" s="550"/>
      <c r="I55" s="550"/>
      <c r="J55" s="550"/>
      <c r="K55" s="550"/>
      <c r="L55" s="550"/>
      <c r="M55" s="550"/>
      <c r="N55" s="550"/>
      <c r="O55" s="550"/>
      <c r="P55" s="550"/>
      <c r="Q55" s="550"/>
      <c r="R55" s="550"/>
      <c r="S55" s="550"/>
      <c r="T55" s="550"/>
      <c r="U55" s="550"/>
      <c r="V55" s="550"/>
      <c r="W55" s="550"/>
      <c r="X55" s="550"/>
      <c r="Y55" s="550"/>
      <c r="Z55" s="550"/>
      <c r="AA55" s="550"/>
      <c r="AB55" s="550"/>
      <c r="AC55" s="550"/>
      <c r="AD55" s="550"/>
      <c r="AE55" s="550"/>
      <c r="AF55" s="550"/>
      <c r="AG55" s="550"/>
      <c r="AH55" s="550"/>
      <c r="AI55" s="550"/>
      <c r="AJ55" s="550"/>
    </row>
    <row r="56" spans="2:36">
      <c r="B56" s="550"/>
      <c r="C56" s="550"/>
      <c r="D56" s="550"/>
      <c r="E56" s="550"/>
      <c r="F56" s="550"/>
      <c r="G56" s="550"/>
      <c r="H56" s="550"/>
      <c r="I56" s="550"/>
      <c r="J56" s="550"/>
      <c r="K56" s="550"/>
      <c r="L56" s="550"/>
      <c r="M56" s="550"/>
      <c r="N56" s="550"/>
      <c r="O56" s="550"/>
      <c r="P56" s="550"/>
      <c r="Q56" s="550"/>
      <c r="R56" s="550"/>
      <c r="S56" s="550"/>
      <c r="T56" s="550"/>
      <c r="U56" s="550"/>
      <c r="V56" s="550"/>
      <c r="W56" s="550"/>
      <c r="X56" s="550"/>
      <c r="Y56" s="550"/>
      <c r="Z56" s="550"/>
      <c r="AA56" s="550"/>
      <c r="AB56" s="550"/>
      <c r="AC56" s="550"/>
      <c r="AD56" s="550"/>
      <c r="AE56" s="550"/>
      <c r="AF56" s="550"/>
      <c r="AG56" s="550"/>
      <c r="AH56" s="550"/>
      <c r="AI56" s="550"/>
      <c r="AJ56" s="550"/>
    </row>
    <row r="57" spans="2:36">
      <c r="B57" s="550"/>
      <c r="C57" s="550"/>
      <c r="D57" s="550"/>
      <c r="E57" s="550"/>
      <c r="F57" s="550"/>
      <c r="G57" s="550"/>
      <c r="H57" s="550"/>
      <c r="I57" s="550"/>
      <c r="J57" s="550"/>
      <c r="K57" s="550"/>
      <c r="L57" s="550"/>
      <c r="M57" s="550"/>
      <c r="N57" s="550"/>
      <c r="O57" s="550"/>
      <c r="P57" s="550"/>
      <c r="Q57" s="550"/>
      <c r="R57" s="550"/>
      <c r="S57" s="550"/>
      <c r="T57" s="550"/>
      <c r="U57" s="550"/>
      <c r="V57" s="550"/>
      <c r="W57" s="550"/>
      <c r="X57" s="550"/>
      <c r="Y57" s="550"/>
      <c r="Z57" s="550"/>
      <c r="AA57" s="550"/>
      <c r="AB57" s="550"/>
      <c r="AC57" s="550"/>
      <c r="AD57" s="550"/>
      <c r="AE57" s="550"/>
      <c r="AF57" s="550"/>
      <c r="AG57" s="550"/>
      <c r="AH57" s="550"/>
      <c r="AI57" s="550"/>
      <c r="AJ57" s="550"/>
    </row>
    <row r="58" spans="2:36">
      <c r="B58" s="550"/>
      <c r="C58" s="550"/>
      <c r="D58" s="550"/>
      <c r="E58" s="550"/>
      <c r="F58" s="550"/>
      <c r="G58" s="550"/>
      <c r="H58" s="550"/>
      <c r="I58" s="550"/>
      <c r="J58" s="550"/>
      <c r="K58" s="550"/>
      <c r="L58" s="550"/>
      <c r="M58" s="550"/>
      <c r="N58" s="550"/>
      <c r="O58" s="550"/>
      <c r="P58" s="550"/>
      <c r="Q58" s="550"/>
      <c r="R58" s="550"/>
      <c r="S58" s="550"/>
      <c r="T58" s="550"/>
      <c r="U58" s="550"/>
      <c r="V58" s="550"/>
      <c r="W58" s="550"/>
      <c r="X58" s="550"/>
      <c r="Y58" s="550"/>
      <c r="Z58" s="550"/>
      <c r="AA58" s="550"/>
      <c r="AB58" s="550"/>
      <c r="AC58" s="550"/>
      <c r="AD58" s="550"/>
      <c r="AE58" s="550"/>
      <c r="AF58" s="550"/>
      <c r="AG58" s="550"/>
      <c r="AH58" s="550"/>
      <c r="AI58" s="550"/>
      <c r="AJ58" s="550"/>
    </row>
    <row r="59" spans="2:36">
      <c r="B59" s="550"/>
      <c r="C59" s="550"/>
      <c r="D59" s="550"/>
      <c r="E59" s="550"/>
      <c r="F59" s="550"/>
      <c r="G59" s="550"/>
      <c r="H59" s="550"/>
      <c r="I59" s="550"/>
      <c r="J59" s="550"/>
      <c r="K59" s="550"/>
      <c r="L59" s="550"/>
      <c r="M59" s="550"/>
      <c r="N59" s="550"/>
      <c r="O59" s="550"/>
      <c r="P59" s="550"/>
      <c r="Q59" s="550"/>
      <c r="R59" s="550"/>
      <c r="S59" s="550"/>
      <c r="T59" s="550"/>
      <c r="U59" s="550"/>
      <c r="V59" s="550"/>
      <c r="W59" s="550"/>
      <c r="X59" s="550"/>
      <c r="Y59" s="550"/>
      <c r="Z59" s="550"/>
      <c r="AA59" s="550"/>
      <c r="AB59" s="550"/>
      <c r="AC59" s="550"/>
      <c r="AD59" s="550"/>
      <c r="AE59" s="550"/>
      <c r="AF59" s="550"/>
      <c r="AG59" s="550"/>
      <c r="AH59" s="550"/>
      <c r="AI59" s="550"/>
      <c r="AJ59" s="550"/>
    </row>
    <row r="60" spans="2:36">
      <c r="B60" s="550"/>
      <c r="C60" s="550"/>
      <c r="D60" s="550"/>
      <c r="E60" s="550"/>
      <c r="F60" s="550"/>
      <c r="G60" s="550"/>
      <c r="H60" s="550"/>
      <c r="I60" s="550"/>
      <c r="J60" s="550"/>
      <c r="K60" s="550"/>
      <c r="L60" s="550"/>
      <c r="M60" s="550"/>
      <c r="N60" s="550"/>
      <c r="O60" s="550"/>
      <c r="P60" s="550"/>
      <c r="Q60" s="550"/>
      <c r="R60" s="550"/>
      <c r="S60" s="550"/>
      <c r="T60" s="550"/>
      <c r="U60" s="550"/>
      <c r="V60" s="550"/>
      <c r="W60" s="550"/>
      <c r="X60" s="550"/>
      <c r="Y60" s="550"/>
      <c r="Z60" s="550"/>
      <c r="AA60" s="550"/>
      <c r="AB60" s="550"/>
      <c r="AC60" s="550"/>
      <c r="AD60" s="550"/>
      <c r="AE60" s="550"/>
      <c r="AF60" s="550"/>
      <c r="AG60" s="550"/>
      <c r="AH60" s="550"/>
      <c r="AI60" s="550"/>
      <c r="AJ60" s="550"/>
    </row>
    <row r="61" spans="2:36">
      <c r="B61" s="550"/>
      <c r="C61" s="550"/>
      <c r="D61" s="550"/>
      <c r="E61" s="550"/>
      <c r="F61" s="550"/>
      <c r="G61" s="550"/>
      <c r="H61" s="550"/>
      <c r="I61" s="550"/>
      <c r="J61" s="550"/>
      <c r="K61" s="550"/>
      <c r="L61" s="550"/>
      <c r="M61" s="550"/>
      <c r="N61" s="550"/>
      <c r="O61" s="550"/>
      <c r="P61" s="550"/>
      <c r="Q61" s="550"/>
      <c r="R61" s="550"/>
      <c r="S61" s="550"/>
      <c r="T61" s="550"/>
      <c r="U61" s="550"/>
      <c r="V61" s="550"/>
      <c r="W61" s="550"/>
      <c r="X61" s="550"/>
      <c r="Y61" s="550"/>
      <c r="Z61" s="550"/>
      <c r="AA61" s="550"/>
      <c r="AB61" s="550"/>
      <c r="AC61" s="550"/>
      <c r="AD61" s="550"/>
      <c r="AE61" s="550"/>
      <c r="AF61" s="550"/>
      <c r="AG61" s="550"/>
      <c r="AH61" s="550"/>
      <c r="AI61" s="550"/>
      <c r="AJ61" s="550"/>
    </row>
    <row r="62" spans="2:36">
      <c r="B62" s="550"/>
      <c r="C62" s="550"/>
      <c r="D62" s="550"/>
      <c r="E62" s="550"/>
      <c r="F62" s="550"/>
      <c r="G62" s="550"/>
      <c r="H62" s="550"/>
      <c r="I62" s="550"/>
      <c r="J62" s="550"/>
      <c r="K62" s="550"/>
      <c r="L62" s="550"/>
      <c r="M62" s="550"/>
      <c r="N62" s="550"/>
      <c r="O62" s="550"/>
      <c r="P62" s="550"/>
      <c r="Q62" s="550"/>
      <c r="R62" s="550"/>
      <c r="S62" s="550"/>
      <c r="T62" s="550"/>
      <c r="U62" s="550"/>
      <c r="V62" s="550"/>
      <c r="W62" s="550"/>
      <c r="X62" s="550"/>
      <c r="Y62" s="550"/>
      <c r="Z62" s="550"/>
      <c r="AA62" s="550"/>
      <c r="AB62" s="550"/>
      <c r="AC62" s="550"/>
      <c r="AD62" s="550"/>
      <c r="AE62" s="550"/>
      <c r="AF62" s="550"/>
      <c r="AG62" s="550"/>
      <c r="AH62" s="550"/>
      <c r="AI62" s="550"/>
      <c r="AJ62" s="550"/>
    </row>
    <row r="63" spans="2:36">
      <c r="B63" s="550"/>
      <c r="C63" s="550"/>
      <c r="D63" s="550"/>
      <c r="E63" s="550"/>
      <c r="F63" s="550"/>
      <c r="G63" s="550"/>
      <c r="H63" s="550"/>
      <c r="I63" s="550"/>
      <c r="J63" s="550"/>
      <c r="K63" s="550"/>
      <c r="L63" s="550"/>
      <c r="M63" s="550"/>
      <c r="N63" s="550"/>
      <c r="O63" s="550"/>
      <c r="P63" s="550"/>
      <c r="Q63" s="550"/>
      <c r="R63" s="550"/>
      <c r="S63" s="550"/>
      <c r="T63" s="550"/>
      <c r="U63" s="550"/>
      <c r="V63" s="550"/>
      <c r="W63" s="550"/>
      <c r="X63" s="550"/>
      <c r="Y63" s="550"/>
      <c r="Z63" s="550"/>
      <c r="AA63" s="550"/>
      <c r="AB63" s="550"/>
      <c r="AC63" s="550"/>
      <c r="AD63" s="550"/>
      <c r="AE63" s="550"/>
      <c r="AF63" s="550"/>
      <c r="AG63" s="550"/>
      <c r="AH63" s="550"/>
      <c r="AI63" s="550"/>
      <c r="AJ63" s="550"/>
    </row>
    <row r="64" spans="2:36">
      <c r="B64" s="550"/>
      <c r="C64" s="550"/>
      <c r="D64" s="550"/>
      <c r="E64" s="550"/>
      <c r="F64" s="550"/>
      <c r="G64" s="550"/>
      <c r="H64" s="550"/>
      <c r="I64" s="550"/>
      <c r="J64" s="550"/>
      <c r="K64" s="550"/>
      <c r="L64" s="550"/>
      <c r="M64" s="550"/>
      <c r="N64" s="550"/>
      <c r="O64" s="550"/>
      <c r="P64" s="550"/>
      <c r="Q64" s="550"/>
      <c r="R64" s="550"/>
      <c r="S64" s="550"/>
      <c r="T64" s="550"/>
      <c r="U64" s="550"/>
      <c r="V64" s="550"/>
      <c r="W64" s="550"/>
      <c r="X64" s="550"/>
      <c r="Y64" s="550"/>
      <c r="Z64" s="550"/>
      <c r="AA64" s="550"/>
      <c r="AB64" s="550"/>
      <c r="AC64" s="550"/>
      <c r="AD64" s="550"/>
      <c r="AE64" s="550"/>
      <c r="AF64" s="550"/>
      <c r="AG64" s="550"/>
      <c r="AH64" s="550"/>
      <c r="AI64" s="550"/>
      <c r="AJ64" s="550"/>
    </row>
    <row r="65" spans="2:36">
      <c r="B65" s="550"/>
      <c r="C65" s="550"/>
      <c r="D65" s="550"/>
      <c r="E65" s="550"/>
      <c r="F65" s="550"/>
      <c r="G65" s="550"/>
      <c r="H65" s="550"/>
      <c r="I65" s="550"/>
      <c r="J65" s="550"/>
      <c r="K65" s="550"/>
      <c r="L65" s="550"/>
      <c r="M65" s="550"/>
      <c r="N65" s="550"/>
      <c r="O65" s="550"/>
      <c r="P65" s="550"/>
      <c r="Q65" s="550"/>
      <c r="R65" s="550"/>
      <c r="S65" s="550"/>
      <c r="T65" s="550"/>
      <c r="U65" s="550"/>
      <c r="V65" s="550"/>
      <c r="W65" s="550"/>
      <c r="X65" s="550"/>
      <c r="Y65" s="550"/>
      <c r="Z65" s="550"/>
      <c r="AA65" s="550"/>
      <c r="AB65" s="550"/>
      <c r="AC65" s="550"/>
      <c r="AD65" s="550"/>
      <c r="AE65" s="550"/>
      <c r="AF65" s="550"/>
      <c r="AG65" s="550"/>
      <c r="AH65" s="550"/>
      <c r="AI65" s="550"/>
      <c r="AJ65" s="550"/>
    </row>
    <row r="66" spans="2:36">
      <c r="B66" s="550"/>
      <c r="C66" s="550"/>
      <c r="D66" s="550"/>
      <c r="E66" s="550"/>
      <c r="F66" s="550"/>
      <c r="G66" s="550"/>
      <c r="H66" s="550"/>
      <c r="I66" s="550"/>
      <c r="J66" s="550"/>
      <c r="K66" s="550"/>
      <c r="L66" s="550"/>
      <c r="M66" s="550"/>
      <c r="N66" s="550"/>
      <c r="O66" s="550"/>
      <c r="P66" s="550"/>
      <c r="Q66" s="550"/>
      <c r="R66" s="550"/>
      <c r="S66" s="550"/>
      <c r="T66" s="550"/>
      <c r="U66" s="550"/>
      <c r="V66" s="550"/>
      <c r="W66" s="550"/>
      <c r="X66" s="550"/>
      <c r="Y66" s="550"/>
      <c r="Z66" s="550"/>
      <c r="AA66" s="550"/>
      <c r="AB66" s="550"/>
      <c r="AC66" s="550"/>
      <c r="AD66" s="550"/>
      <c r="AE66" s="550"/>
      <c r="AF66" s="550"/>
      <c r="AG66" s="550"/>
      <c r="AH66" s="550"/>
      <c r="AI66" s="550"/>
      <c r="AJ66" s="550"/>
    </row>
    <row r="67" spans="2:36">
      <c r="B67" s="550"/>
      <c r="C67" s="550"/>
      <c r="D67" s="550"/>
      <c r="E67" s="550"/>
      <c r="F67" s="550"/>
      <c r="G67" s="550"/>
      <c r="H67" s="550"/>
      <c r="I67" s="550"/>
      <c r="J67" s="550"/>
      <c r="K67" s="550"/>
      <c r="L67" s="550"/>
      <c r="M67" s="550"/>
      <c r="N67" s="550"/>
      <c r="O67" s="550"/>
      <c r="P67" s="550"/>
      <c r="Q67" s="550"/>
      <c r="R67" s="550"/>
      <c r="S67" s="550"/>
      <c r="T67" s="550"/>
      <c r="U67" s="550"/>
      <c r="V67" s="550"/>
      <c r="W67" s="550"/>
      <c r="X67" s="550"/>
      <c r="Y67" s="550"/>
      <c r="Z67" s="550"/>
      <c r="AA67" s="550"/>
      <c r="AB67" s="550"/>
      <c r="AC67" s="550"/>
      <c r="AD67" s="550"/>
      <c r="AE67" s="550"/>
      <c r="AF67" s="550"/>
      <c r="AG67" s="550"/>
      <c r="AH67" s="550"/>
      <c r="AI67" s="550"/>
      <c r="AJ67" s="550"/>
    </row>
    <row r="68" spans="2:36">
      <c r="B68" s="550"/>
      <c r="C68" s="550"/>
      <c r="D68" s="550"/>
      <c r="E68" s="550"/>
      <c r="F68" s="550"/>
      <c r="G68" s="550"/>
      <c r="H68" s="550"/>
      <c r="I68" s="550"/>
      <c r="J68" s="550"/>
      <c r="K68" s="550"/>
      <c r="L68" s="550"/>
      <c r="M68" s="550"/>
      <c r="N68" s="550"/>
      <c r="O68" s="550"/>
      <c r="P68" s="550"/>
      <c r="Q68" s="550"/>
      <c r="R68" s="550"/>
      <c r="S68" s="550"/>
      <c r="T68" s="550"/>
      <c r="U68" s="550"/>
      <c r="V68" s="550"/>
      <c r="W68" s="550"/>
      <c r="X68" s="550"/>
      <c r="Y68" s="550"/>
      <c r="Z68" s="550"/>
      <c r="AA68" s="550"/>
      <c r="AB68" s="550"/>
      <c r="AC68" s="550"/>
      <c r="AD68" s="550"/>
      <c r="AE68" s="550"/>
      <c r="AF68" s="550"/>
      <c r="AG68" s="550"/>
      <c r="AH68" s="550"/>
      <c r="AI68" s="550"/>
      <c r="AJ68" s="550"/>
    </row>
    <row r="69" spans="2:36">
      <c r="B69" s="550"/>
      <c r="C69" s="550"/>
      <c r="D69" s="550"/>
      <c r="E69" s="550"/>
      <c r="F69" s="550"/>
      <c r="G69" s="550"/>
      <c r="H69" s="550"/>
      <c r="I69" s="550"/>
      <c r="J69" s="550"/>
      <c r="K69" s="550"/>
      <c r="L69" s="550"/>
      <c r="M69" s="550"/>
      <c r="N69" s="550"/>
      <c r="O69" s="550"/>
      <c r="P69" s="550"/>
      <c r="Q69" s="550"/>
      <c r="R69" s="550"/>
      <c r="S69" s="550"/>
      <c r="T69" s="550"/>
      <c r="U69" s="550"/>
      <c r="V69" s="550"/>
      <c r="W69" s="550"/>
      <c r="X69" s="550"/>
      <c r="Y69" s="550"/>
      <c r="Z69" s="550"/>
      <c r="AA69" s="550"/>
      <c r="AB69" s="550"/>
      <c r="AC69" s="550"/>
      <c r="AD69" s="550"/>
      <c r="AE69" s="550"/>
      <c r="AF69" s="550"/>
      <c r="AG69" s="550"/>
      <c r="AH69" s="550"/>
      <c r="AI69" s="550"/>
      <c r="AJ69" s="550"/>
    </row>
    <row r="70" spans="2:36">
      <c r="B70" s="550"/>
      <c r="C70" s="550"/>
      <c r="D70" s="550"/>
      <c r="E70" s="550"/>
      <c r="F70" s="550"/>
      <c r="G70" s="550"/>
      <c r="H70" s="550"/>
      <c r="I70" s="550"/>
      <c r="J70" s="550"/>
      <c r="K70" s="550"/>
      <c r="L70" s="550"/>
      <c r="M70" s="550"/>
      <c r="N70" s="550"/>
      <c r="O70" s="550"/>
      <c r="P70" s="550"/>
      <c r="Q70" s="550"/>
      <c r="R70" s="550"/>
      <c r="S70" s="550"/>
      <c r="T70" s="550"/>
      <c r="U70" s="550"/>
      <c r="V70" s="550"/>
      <c r="W70" s="550"/>
      <c r="X70" s="550"/>
      <c r="Y70" s="550"/>
      <c r="Z70" s="550"/>
      <c r="AA70" s="550"/>
      <c r="AB70" s="550"/>
      <c r="AC70" s="550"/>
      <c r="AD70" s="550"/>
      <c r="AE70" s="550"/>
      <c r="AF70" s="550"/>
      <c r="AG70" s="550"/>
      <c r="AH70" s="550"/>
      <c r="AI70" s="550"/>
      <c r="AJ70" s="550"/>
    </row>
    <row r="71" spans="2:36">
      <c r="B71" s="550"/>
      <c r="C71" s="550"/>
      <c r="D71" s="550"/>
      <c r="E71" s="550"/>
      <c r="F71" s="550"/>
      <c r="G71" s="550"/>
      <c r="H71" s="550"/>
      <c r="I71" s="550"/>
      <c r="J71" s="550"/>
      <c r="K71" s="550"/>
      <c r="L71" s="550"/>
      <c r="M71" s="550"/>
      <c r="N71" s="550"/>
      <c r="O71" s="550"/>
      <c r="P71" s="550"/>
      <c r="Q71" s="550"/>
      <c r="R71" s="550"/>
      <c r="S71" s="550"/>
      <c r="T71" s="550"/>
      <c r="U71" s="550"/>
      <c r="V71" s="550"/>
      <c r="W71" s="550"/>
      <c r="X71" s="550"/>
      <c r="Y71" s="550"/>
      <c r="Z71" s="550"/>
      <c r="AA71" s="550"/>
      <c r="AB71" s="550"/>
      <c r="AC71" s="550"/>
      <c r="AD71" s="550"/>
      <c r="AE71" s="550"/>
      <c r="AF71" s="550"/>
      <c r="AG71" s="550"/>
      <c r="AH71" s="550"/>
      <c r="AI71" s="550"/>
      <c r="AJ71" s="550"/>
    </row>
    <row r="72" spans="2:36">
      <c r="B72" s="550"/>
      <c r="C72" s="550"/>
      <c r="D72" s="550"/>
      <c r="E72" s="550"/>
      <c r="F72" s="550"/>
      <c r="G72" s="550"/>
      <c r="H72" s="550"/>
      <c r="I72" s="550"/>
      <c r="J72" s="550"/>
      <c r="K72" s="550"/>
      <c r="L72" s="550"/>
      <c r="M72" s="550"/>
      <c r="N72" s="550"/>
      <c r="O72" s="550"/>
      <c r="P72" s="550"/>
      <c r="Q72" s="550"/>
      <c r="R72" s="550"/>
      <c r="S72" s="550"/>
      <c r="T72" s="550"/>
      <c r="U72" s="550"/>
      <c r="V72" s="550"/>
      <c r="W72" s="550"/>
      <c r="X72" s="550"/>
      <c r="Y72" s="550"/>
      <c r="Z72" s="550"/>
      <c r="AA72" s="550"/>
      <c r="AB72" s="550"/>
      <c r="AC72" s="550"/>
      <c r="AD72" s="550"/>
      <c r="AE72" s="550"/>
      <c r="AF72" s="550"/>
      <c r="AG72" s="550"/>
      <c r="AH72" s="550"/>
      <c r="AI72" s="550"/>
      <c r="AJ72" s="550"/>
    </row>
    <row r="73" spans="2:36">
      <c r="B73" s="550"/>
      <c r="C73" s="550"/>
      <c r="D73" s="550"/>
      <c r="E73" s="550"/>
      <c r="F73" s="550"/>
      <c r="G73" s="550"/>
      <c r="H73" s="550"/>
      <c r="I73" s="550"/>
      <c r="J73" s="550"/>
      <c r="K73" s="550"/>
      <c r="L73" s="550"/>
      <c r="M73" s="550"/>
      <c r="N73" s="550"/>
      <c r="O73" s="550"/>
      <c r="P73" s="550"/>
      <c r="Q73" s="550"/>
      <c r="R73" s="550"/>
      <c r="S73" s="550"/>
      <c r="T73" s="550"/>
      <c r="U73" s="550"/>
      <c r="V73" s="550"/>
      <c r="W73" s="550"/>
      <c r="X73" s="550"/>
      <c r="Y73" s="550"/>
      <c r="Z73" s="550"/>
      <c r="AA73" s="550"/>
      <c r="AB73" s="550"/>
      <c r="AC73" s="550"/>
      <c r="AD73" s="550"/>
      <c r="AE73" s="550"/>
      <c r="AF73" s="550"/>
      <c r="AG73" s="550"/>
      <c r="AH73" s="550"/>
      <c r="AI73" s="550"/>
      <c r="AJ73" s="550"/>
    </row>
    <row r="74" spans="2:36">
      <c r="B74" s="550"/>
      <c r="C74" s="550"/>
      <c r="D74" s="550"/>
      <c r="E74" s="550"/>
      <c r="F74" s="550"/>
      <c r="G74" s="550"/>
      <c r="H74" s="550"/>
      <c r="I74" s="550"/>
      <c r="J74" s="550"/>
      <c r="K74" s="550"/>
      <c r="L74" s="550"/>
      <c r="M74" s="550"/>
      <c r="N74" s="550"/>
      <c r="O74" s="550"/>
      <c r="P74" s="550"/>
      <c r="Q74" s="550"/>
      <c r="R74" s="550"/>
      <c r="S74" s="550"/>
      <c r="T74" s="550"/>
      <c r="U74" s="550"/>
      <c r="V74" s="550"/>
      <c r="W74" s="550"/>
      <c r="X74" s="550"/>
      <c r="Y74" s="550"/>
      <c r="Z74" s="550"/>
      <c r="AA74" s="550"/>
      <c r="AB74" s="550"/>
      <c r="AC74" s="550"/>
      <c r="AD74" s="550"/>
      <c r="AE74" s="550"/>
      <c r="AF74" s="550"/>
      <c r="AG74" s="550"/>
      <c r="AH74" s="550"/>
      <c r="AI74" s="550"/>
      <c r="AJ74" s="550"/>
    </row>
    <row r="75" spans="2:36">
      <c r="B75" s="550"/>
      <c r="C75" s="550"/>
      <c r="D75" s="550"/>
      <c r="E75" s="550"/>
      <c r="F75" s="550"/>
      <c r="G75" s="550"/>
      <c r="H75" s="550"/>
      <c r="I75" s="550"/>
      <c r="J75" s="550"/>
      <c r="K75" s="550"/>
      <c r="L75" s="550"/>
      <c r="M75" s="550"/>
      <c r="N75" s="550"/>
      <c r="O75" s="550"/>
      <c r="P75" s="550"/>
      <c r="Q75" s="550"/>
      <c r="R75" s="550"/>
      <c r="S75" s="550"/>
      <c r="T75" s="550"/>
      <c r="U75" s="550"/>
      <c r="V75" s="550"/>
      <c r="W75" s="550"/>
      <c r="X75" s="550"/>
      <c r="Y75" s="550"/>
      <c r="Z75" s="550"/>
      <c r="AA75" s="550"/>
      <c r="AB75" s="550"/>
      <c r="AC75" s="550"/>
      <c r="AD75" s="550"/>
      <c r="AE75" s="550"/>
      <c r="AF75" s="550"/>
      <c r="AG75" s="550"/>
      <c r="AH75" s="550"/>
      <c r="AI75" s="550"/>
      <c r="AJ75" s="550"/>
    </row>
    <row r="76" spans="2:36">
      <c r="B76" s="550"/>
      <c r="C76" s="550"/>
      <c r="D76" s="550"/>
      <c r="E76" s="550"/>
      <c r="F76" s="550"/>
      <c r="G76" s="550"/>
      <c r="H76" s="550"/>
      <c r="I76" s="550"/>
      <c r="J76" s="550"/>
      <c r="K76" s="550"/>
      <c r="L76" s="550"/>
      <c r="M76" s="550"/>
      <c r="N76" s="550"/>
      <c r="O76" s="550"/>
      <c r="P76" s="550"/>
      <c r="Q76" s="550"/>
      <c r="R76" s="550"/>
      <c r="S76" s="550"/>
      <c r="T76" s="550"/>
      <c r="U76" s="550"/>
      <c r="V76" s="550"/>
      <c r="W76" s="550"/>
      <c r="X76" s="550"/>
      <c r="Y76" s="550"/>
      <c r="Z76" s="550"/>
      <c r="AA76" s="550"/>
      <c r="AB76" s="550"/>
      <c r="AC76" s="550"/>
      <c r="AD76" s="550"/>
      <c r="AE76" s="550"/>
      <c r="AF76" s="550"/>
      <c r="AG76" s="550"/>
      <c r="AH76" s="550"/>
      <c r="AI76" s="550"/>
      <c r="AJ76" s="550"/>
    </row>
    <row r="77" spans="2:36">
      <c r="B77" s="550"/>
      <c r="C77" s="550"/>
      <c r="D77" s="550"/>
      <c r="E77" s="550"/>
      <c r="F77" s="550"/>
      <c r="G77" s="550"/>
      <c r="H77" s="550"/>
      <c r="I77" s="550"/>
      <c r="J77" s="550"/>
      <c r="K77" s="550"/>
      <c r="L77" s="550"/>
      <c r="M77" s="550"/>
      <c r="N77" s="550"/>
      <c r="O77" s="550"/>
      <c r="P77" s="550"/>
      <c r="Q77" s="550"/>
      <c r="R77" s="550"/>
      <c r="S77" s="550"/>
      <c r="T77" s="550"/>
      <c r="U77" s="550"/>
      <c r="V77" s="550"/>
      <c r="W77" s="550"/>
      <c r="X77" s="550"/>
      <c r="Y77" s="550"/>
      <c r="Z77" s="550"/>
      <c r="AA77" s="550"/>
      <c r="AB77" s="550"/>
      <c r="AC77" s="550"/>
      <c r="AD77" s="550"/>
      <c r="AE77" s="550"/>
      <c r="AF77" s="550"/>
      <c r="AG77" s="550"/>
      <c r="AH77" s="550"/>
      <c r="AI77" s="550"/>
      <c r="AJ77" s="550"/>
    </row>
    <row r="78" spans="2:36">
      <c r="B78" s="550"/>
      <c r="C78" s="550"/>
      <c r="D78" s="550"/>
      <c r="E78" s="550"/>
      <c r="F78" s="550"/>
      <c r="G78" s="550"/>
      <c r="H78" s="550"/>
      <c r="I78" s="550"/>
      <c r="J78" s="550"/>
      <c r="K78" s="550"/>
      <c r="L78" s="550"/>
      <c r="M78" s="550"/>
      <c r="N78" s="550"/>
      <c r="O78" s="550"/>
      <c r="P78" s="550"/>
      <c r="Q78" s="550"/>
      <c r="R78" s="550"/>
      <c r="S78" s="550"/>
      <c r="T78" s="550"/>
      <c r="U78" s="550"/>
      <c r="V78" s="550"/>
      <c r="W78" s="550"/>
      <c r="X78" s="550"/>
      <c r="Y78" s="550"/>
      <c r="Z78" s="550"/>
      <c r="AA78" s="550"/>
      <c r="AB78" s="550"/>
      <c r="AC78" s="550"/>
      <c r="AD78" s="550"/>
      <c r="AE78" s="550"/>
      <c r="AF78" s="550"/>
      <c r="AG78" s="550"/>
      <c r="AH78" s="550"/>
      <c r="AI78" s="550"/>
      <c r="AJ78" s="550"/>
    </row>
    <row r="79" spans="2:36">
      <c r="B79" s="550"/>
      <c r="C79" s="550"/>
      <c r="D79" s="550"/>
      <c r="E79" s="550"/>
      <c r="F79" s="550"/>
      <c r="G79" s="550"/>
      <c r="H79" s="550"/>
      <c r="I79" s="550"/>
      <c r="J79" s="550"/>
      <c r="K79" s="550"/>
      <c r="L79" s="550"/>
      <c r="M79" s="550"/>
      <c r="N79" s="550"/>
      <c r="O79" s="550"/>
      <c r="P79" s="550"/>
      <c r="Q79" s="550"/>
      <c r="R79" s="550"/>
      <c r="S79" s="550"/>
      <c r="T79" s="550"/>
      <c r="U79" s="550"/>
      <c r="V79" s="550"/>
      <c r="W79" s="550"/>
      <c r="X79" s="550"/>
      <c r="Y79" s="550"/>
      <c r="Z79" s="550"/>
      <c r="AA79" s="550"/>
      <c r="AB79" s="550"/>
      <c r="AC79" s="550"/>
      <c r="AD79" s="550"/>
      <c r="AE79" s="550"/>
      <c r="AF79" s="550"/>
      <c r="AG79" s="550"/>
      <c r="AH79" s="550"/>
      <c r="AI79" s="550"/>
      <c r="AJ79" s="550"/>
    </row>
    <row r="80" spans="2:36">
      <c r="B80" s="550"/>
      <c r="C80" s="550"/>
      <c r="D80" s="550"/>
      <c r="E80" s="550"/>
      <c r="F80" s="550"/>
      <c r="G80" s="550"/>
      <c r="H80" s="550"/>
      <c r="I80" s="550"/>
      <c r="J80" s="550"/>
      <c r="K80" s="550"/>
      <c r="L80" s="550"/>
      <c r="M80" s="550"/>
      <c r="N80" s="550"/>
      <c r="O80" s="550"/>
      <c r="P80" s="550"/>
      <c r="Q80" s="550"/>
      <c r="R80" s="550"/>
      <c r="S80" s="550"/>
      <c r="T80" s="550"/>
      <c r="U80" s="550"/>
      <c r="V80" s="550"/>
      <c r="W80" s="550"/>
      <c r="X80" s="550"/>
      <c r="Y80" s="550"/>
      <c r="Z80" s="550"/>
      <c r="AA80" s="550"/>
      <c r="AB80" s="550"/>
      <c r="AC80" s="550"/>
      <c r="AD80" s="550"/>
      <c r="AE80" s="550"/>
      <c r="AF80" s="550"/>
      <c r="AG80" s="550"/>
      <c r="AH80" s="550"/>
      <c r="AI80" s="550"/>
      <c r="AJ80" s="550"/>
    </row>
    <row r="81" spans="2:36">
      <c r="B81" s="550"/>
      <c r="C81" s="550"/>
      <c r="D81" s="550"/>
      <c r="E81" s="550"/>
      <c r="F81" s="550"/>
      <c r="G81" s="550"/>
      <c r="H81" s="550"/>
      <c r="I81" s="550"/>
      <c r="J81" s="550"/>
      <c r="K81" s="550"/>
      <c r="L81" s="550"/>
      <c r="M81" s="550"/>
      <c r="N81" s="550"/>
      <c r="O81" s="550"/>
      <c r="P81" s="550"/>
      <c r="Q81" s="550"/>
      <c r="R81" s="550"/>
      <c r="S81" s="550"/>
      <c r="T81" s="550"/>
      <c r="U81" s="550"/>
      <c r="V81" s="550"/>
      <c r="W81" s="550"/>
      <c r="X81" s="550"/>
      <c r="Y81" s="550"/>
      <c r="Z81" s="550"/>
      <c r="AA81" s="550"/>
      <c r="AB81" s="550"/>
      <c r="AC81" s="550"/>
      <c r="AD81" s="550"/>
      <c r="AE81" s="550"/>
      <c r="AF81" s="550"/>
      <c r="AG81" s="550"/>
      <c r="AH81" s="550"/>
      <c r="AI81" s="550"/>
      <c r="AJ81" s="550"/>
    </row>
    <row r="82" spans="2:36">
      <c r="B82" s="550"/>
      <c r="C82" s="550"/>
      <c r="D82" s="550"/>
      <c r="E82" s="550"/>
      <c r="F82" s="550"/>
      <c r="G82" s="550"/>
      <c r="H82" s="550"/>
      <c r="I82" s="550"/>
      <c r="J82" s="550"/>
      <c r="K82" s="550"/>
      <c r="L82" s="550"/>
      <c r="M82" s="550"/>
      <c r="N82" s="550"/>
      <c r="O82" s="550"/>
      <c r="P82" s="550"/>
      <c r="Q82" s="550"/>
      <c r="R82" s="550"/>
      <c r="S82" s="550"/>
      <c r="T82" s="550"/>
      <c r="U82" s="550"/>
      <c r="V82" s="550"/>
      <c r="W82" s="550"/>
      <c r="X82" s="550"/>
      <c r="Y82" s="550"/>
      <c r="Z82" s="550"/>
      <c r="AA82" s="550"/>
      <c r="AB82" s="550"/>
      <c r="AC82" s="550"/>
      <c r="AD82" s="550"/>
      <c r="AE82" s="550"/>
      <c r="AF82" s="550"/>
      <c r="AG82" s="550"/>
      <c r="AH82" s="550"/>
      <c r="AI82" s="550"/>
      <c r="AJ82" s="550"/>
    </row>
    <row r="83" spans="2:36">
      <c r="B83" s="550"/>
      <c r="C83" s="550"/>
      <c r="D83" s="550"/>
      <c r="E83" s="550"/>
      <c r="F83" s="550"/>
      <c r="G83" s="550"/>
      <c r="H83" s="550"/>
      <c r="I83" s="550"/>
      <c r="J83" s="550"/>
      <c r="K83" s="550"/>
      <c r="L83" s="550"/>
      <c r="M83" s="550"/>
      <c r="N83" s="550"/>
      <c r="O83" s="550"/>
      <c r="P83" s="550"/>
      <c r="Q83" s="550"/>
      <c r="R83" s="550"/>
      <c r="S83" s="550"/>
      <c r="T83" s="550"/>
      <c r="U83" s="550"/>
      <c r="V83" s="550"/>
      <c r="W83" s="550"/>
      <c r="X83" s="550"/>
      <c r="Y83" s="550"/>
      <c r="Z83" s="550"/>
      <c r="AA83" s="550"/>
      <c r="AB83" s="550"/>
      <c r="AC83" s="550"/>
      <c r="AD83" s="550"/>
      <c r="AE83" s="550"/>
      <c r="AF83" s="550"/>
      <c r="AG83" s="550"/>
      <c r="AH83" s="550"/>
      <c r="AI83" s="550"/>
      <c r="AJ83" s="550"/>
    </row>
    <row r="84" spans="2:36">
      <c r="B84" s="550"/>
      <c r="C84" s="550"/>
      <c r="D84" s="550"/>
      <c r="E84" s="550"/>
      <c r="F84" s="550"/>
      <c r="G84" s="550"/>
      <c r="H84" s="550"/>
      <c r="I84" s="550"/>
      <c r="J84" s="550"/>
      <c r="K84" s="550"/>
      <c r="L84" s="550"/>
      <c r="M84" s="550"/>
      <c r="N84" s="550"/>
      <c r="O84" s="550"/>
      <c r="P84" s="550"/>
      <c r="Q84" s="550"/>
      <c r="R84" s="550"/>
      <c r="S84" s="550"/>
      <c r="T84" s="550"/>
      <c r="U84" s="550"/>
      <c r="V84" s="550"/>
      <c r="W84" s="550"/>
      <c r="X84" s="550"/>
      <c r="Y84" s="550"/>
      <c r="Z84" s="550"/>
      <c r="AA84" s="550"/>
      <c r="AB84" s="550"/>
      <c r="AC84" s="550"/>
      <c r="AD84" s="550"/>
      <c r="AE84" s="550"/>
      <c r="AF84" s="550"/>
      <c r="AG84" s="550"/>
      <c r="AH84" s="550"/>
      <c r="AI84" s="550"/>
      <c r="AJ84" s="550"/>
    </row>
    <row r="85" spans="2:36">
      <c r="B85" s="550"/>
      <c r="C85" s="550"/>
      <c r="D85" s="550"/>
      <c r="E85" s="550"/>
      <c r="F85" s="550"/>
      <c r="G85" s="550"/>
      <c r="H85" s="550"/>
      <c r="I85" s="550"/>
      <c r="J85" s="550"/>
      <c r="K85" s="550"/>
      <c r="L85" s="550"/>
      <c r="M85" s="550"/>
      <c r="N85" s="550"/>
      <c r="O85" s="550"/>
      <c r="P85" s="550"/>
      <c r="Q85" s="550"/>
      <c r="R85" s="550"/>
      <c r="S85" s="550"/>
      <c r="T85" s="550"/>
      <c r="U85" s="550"/>
      <c r="V85" s="550"/>
      <c r="W85" s="550"/>
      <c r="X85" s="550"/>
      <c r="Y85" s="550"/>
      <c r="Z85" s="550"/>
      <c r="AA85" s="550"/>
      <c r="AB85" s="550"/>
      <c r="AC85" s="550"/>
      <c r="AD85" s="550"/>
      <c r="AE85" s="550"/>
      <c r="AF85" s="550"/>
      <c r="AG85" s="550"/>
      <c r="AH85" s="550"/>
      <c r="AI85" s="550"/>
      <c r="AJ85" s="550"/>
    </row>
    <row r="86" spans="2:36">
      <c r="B86" s="550"/>
      <c r="C86" s="550"/>
      <c r="D86" s="550"/>
      <c r="E86" s="550"/>
      <c r="F86" s="550"/>
      <c r="G86" s="550"/>
      <c r="H86" s="550"/>
      <c r="I86" s="550"/>
      <c r="J86" s="550"/>
      <c r="K86" s="550"/>
      <c r="L86" s="550"/>
      <c r="M86" s="550"/>
      <c r="N86" s="550"/>
      <c r="O86" s="550"/>
      <c r="P86" s="550"/>
      <c r="Q86" s="550"/>
      <c r="R86" s="550"/>
      <c r="S86" s="550"/>
      <c r="T86" s="550"/>
      <c r="U86" s="550"/>
      <c r="V86" s="550"/>
      <c r="W86" s="550"/>
      <c r="X86" s="550"/>
      <c r="Y86" s="550"/>
      <c r="Z86" s="550"/>
      <c r="AA86" s="550"/>
      <c r="AB86" s="550"/>
      <c r="AC86" s="550"/>
      <c r="AD86" s="550"/>
      <c r="AE86" s="550"/>
      <c r="AF86" s="550"/>
      <c r="AG86" s="550"/>
      <c r="AH86" s="550"/>
      <c r="AI86" s="550"/>
      <c r="AJ86" s="550"/>
    </row>
    <row r="87" spans="2:36">
      <c r="B87" s="550"/>
      <c r="C87" s="550"/>
      <c r="D87" s="550"/>
      <c r="E87" s="550"/>
      <c r="F87" s="550"/>
      <c r="G87" s="550"/>
      <c r="H87" s="550"/>
      <c r="I87" s="550"/>
      <c r="J87" s="550"/>
      <c r="K87" s="550"/>
      <c r="L87" s="550"/>
      <c r="M87" s="550"/>
      <c r="N87" s="550"/>
      <c r="O87" s="550"/>
      <c r="P87" s="550"/>
      <c r="Q87" s="550"/>
      <c r="R87" s="550"/>
      <c r="S87" s="550"/>
      <c r="T87" s="550"/>
      <c r="U87" s="550"/>
      <c r="V87" s="550"/>
      <c r="W87" s="550"/>
      <c r="X87" s="550"/>
      <c r="Y87" s="550"/>
      <c r="Z87" s="550"/>
      <c r="AA87" s="550"/>
      <c r="AB87" s="550"/>
      <c r="AC87" s="550"/>
      <c r="AD87" s="550"/>
      <c r="AE87" s="550"/>
      <c r="AF87" s="550"/>
      <c r="AG87" s="550"/>
      <c r="AH87" s="550"/>
      <c r="AI87" s="550"/>
      <c r="AJ87" s="550"/>
    </row>
    <row r="88" spans="2:36">
      <c r="B88" s="550"/>
      <c r="C88" s="550"/>
      <c r="D88" s="550"/>
      <c r="E88" s="550"/>
      <c r="F88" s="550"/>
      <c r="G88" s="550"/>
      <c r="H88" s="550"/>
      <c r="I88" s="550"/>
      <c r="J88" s="550"/>
      <c r="K88" s="550"/>
      <c r="L88" s="550"/>
      <c r="M88" s="550"/>
      <c r="N88" s="550"/>
      <c r="O88" s="550"/>
      <c r="P88" s="550"/>
      <c r="Q88" s="550"/>
      <c r="R88" s="550"/>
      <c r="S88" s="550"/>
      <c r="T88" s="550"/>
      <c r="U88" s="550"/>
      <c r="V88" s="550"/>
      <c r="W88" s="550"/>
      <c r="X88" s="550"/>
      <c r="Y88" s="550"/>
      <c r="Z88" s="550"/>
      <c r="AA88" s="550"/>
      <c r="AB88" s="550"/>
      <c r="AC88" s="550"/>
      <c r="AD88" s="550"/>
      <c r="AE88" s="550"/>
      <c r="AF88" s="550"/>
      <c r="AG88" s="550"/>
      <c r="AH88" s="550"/>
      <c r="AI88" s="550"/>
      <c r="AJ88" s="550"/>
    </row>
    <row r="89" spans="2:36">
      <c r="B89" s="550"/>
      <c r="C89" s="550"/>
      <c r="D89" s="550"/>
      <c r="E89" s="550"/>
      <c r="F89" s="550"/>
      <c r="G89" s="550"/>
      <c r="H89" s="550"/>
      <c r="I89" s="550"/>
      <c r="J89" s="550"/>
      <c r="K89" s="550"/>
      <c r="L89" s="550"/>
      <c r="M89" s="550"/>
      <c r="N89" s="550"/>
      <c r="O89" s="550"/>
      <c r="P89" s="550"/>
      <c r="Q89" s="550"/>
      <c r="R89" s="550"/>
      <c r="S89" s="550"/>
      <c r="T89" s="550"/>
      <c r="U89" s="550"/>
      <c r="V89" s="550"/>
      <c r="W89" s="550"/>
      <c r="X89" s="550"/>
      <c r="Y89" s="550"/>
      <c r="Z89" s="550"/>
      <c r="AA89" s="550"/>
      <c r="AB89" s="550"/>
      <c r="AC89" s="550"/>
      <c r="AD89" s="550"/>
      <c r="AE89" s="550"/>
      <c r="AF89" s="550"/>
      <c r="AG89" s="550"/>
      <c r="AH89" s="550"/>
      <c r="AI89" s="550"/>
      <c r="AJ89" s="550"/>
    </row>
    <row r="90" spans="2:36">
      <c r="B90" s="550"/>
      <c r="C90" s="550"/>
      <c r="D90" s="550"/>
      <c r="E90" s="550"/>
      <c r="F90" s="550"/>
      <c r="G90" s="550"/>
      <c r="H90" s="550"/>
      <c r="I90" s="550"/>
      <c r="J90" s="550"/>
      <c r="K90" s="550"/>
      <c r="L90" s="550"/>
      <c r="M90" s="550"/>
      <c r="N90" s="550"/>
      <c r="O90" s="550"/>
      <c r="P90" s="550"/>
      <c r="Q90" s="550"/>
      <c r="R90" s="550"/>
      <c r="S90" s="550"/>
      <c r="T90" s="550"/>
      <c r="U90" s="550"/>
      <c r="V90" s="550"/>
      <c r="W90" s="550"/>
      <c r="X90" s="550"/>
      <c r="Y90" s="550"/>
      <c r="Z90" s="550"/>
      <c r="AA90" s="550"/>
      <c r="AB90" s="550"/>
      <c r="AC90" s="550"/>
      <c r="AD90" s="550"/>
      <c r="AE90" s="550"/>
      <c r="AF90" s="550"/>
      <c r="AG90" s="550"/>
      <c r="AH90" s="550"/>
      <c r="AI90" s="550"/>
      <c r="AJ90" s="550"/>
    </row>
    <row r="91" spans="2:36">
      <c r="B91" s="550"/>
      <c r="C91" s="550"/>
      <c r="D91" s="550"/>
      <c r="E91" s="550"/>
      <c r="F91" s="550"/>
      <c r="G91" s="550"/>
      <c r="H91" s="550"/>
      <c r="I91" s="550"/>
      <c r="J91" s="550"/>
      <c r="K91" s="550"/>
      <c r="L91" s="550"/>
      <c r="M91" s="550"/>
      <c r="N91" s="550"/>
      <c r="O91" s="550"/>
      <c r="P91" s="550"/>
      <c r="Q91" s="550"/>
      <c r="R91" s="550"/>
      <c r="S91" s="550"/>
      <c r="T91" s="550"/>
      <c r="U91" s="550"/>
      <c r="V91" s="550"/>
      <c r="W91" s="550"/>
      <c r="X91" s="550"/>
      <c r="Y91" s="550"/>
      <c r="Z91" s="550"/>
      <c r="AA91" s="550"/>
      <c r="AB91" s="550"/>
      <c r="AC91" s="550"/>
      <c r="AD91" s="550"/>
      <c r="AE91" s="550"/>
      <c r="AF91" s="550"/>
      <c r="AG91" s="550"/>
      <c r="AH91" s="550"/>
      <c r="AI91" s="550"/>
      <c r="AJ91" s="550"/>
    </row>
    <row r="92" spans="2:36">
      <c r="B92" s="550"/>
      <c r="C92" s="550"/>
      <c r="D92" s="550"/>
      <c r="E92" s="550"/>
      <c r="F92" s="550"/>
      <c r="G92" s="550"/>
      <c r="H92" s="550"/>
      <c r="I92" s="550"/>
      <c r="J92" s="550"/>
      <c r="K92" s="550"/>
      <c r="L92" s="550"/>
      <c r="M92" s="550"/>
      <c r="N92" s="550"/>
      <c r="O92" s="550"/>
      <c r="P92" s="550"/>
      <c r="Q92" s="550"/>
      <c r="R92" s="550"/>
      <c r="S92" s="550"/>
      <c r="T92" s="550"/>
      <c r="U92" s="550"/>
      <c r="V92" s="550"/>
      <c r="W92" s="550"/>
      <c r="X92" s="550"/>
      <c r="Y92" s="550"/>
      <c r="Z92" s="550"/>
      <c r="AA92" s="550"/>
      <c r="AB92" s="550"/>
      <c r="AC92" s="550"/>
      <c r="AD92" s="550"/>
      <c r="AE92" s="550"/>
      <c r="AF92" s="550"/>
      <c r="AG92" s="550"/>
      <c r="AH92" s="550"/>
      <c r="AI92" s="550"/>
      <c r="AJ92" s="550"/>
    </row>
    <row r="93" spans="2:36">
      <c r="B93" s="550"/>
      <c r="C93" s="550"/>
      <c r="D93" s="550"/>
      <c r="E93" s="550"/>
      <c r="F93" s="550"/>
      <c r="G93" s="550"/>
      <c r="H93" s="550"/>
      <c r="I93" s="550"/>
      <c r="J93" s="550"/>
      <c r="K93" s="550"/>
      <c r="L93" s="550"/>
      <c r="M93" s="550"/>
      <c r="N93" s="550"/>
      <c r="O93" s="550"/>
      <c r="P93" s="550"/>
      <c r="Q93" s="550"/>
      <c r="R93" s="550"/>
      <c r="S93" s="550"/>
      <c r="T93" s="550"/>
      <c r="U93" s="550"/>
      <c r="V93" s="550"/>
      <c r="W93" s="550"/>
      <c r="X93" s="550"/>
      <c r="Y93" s="550"/>
      <c r="Z93" s="550"/>
      <c r="AA93" s="550"/>
      <c r="AB93" s="550"/>
      <c r="AC93" s="550"/>
      <c r="AD93" s="550"/>
      <c r="AE93" s="550"/>
      <c r="AF93" s="550"/>
      <c r="AG93" s="550"/>
      <c r="AH93" s="550"/>
      <c r="AI93" s="550"/>
      <c r="AJ93" s="550"/>
    </row>
    <row r="94" spans="2:36">
      <c r="B94" s="550"/>
      <c r="C94" s="550"/>
      <c r="D94" s="550"/>
      <c r="E94" s="550"/>
      <c r="F94" s="550"/>
      <c r="G94" s="550"/>
      <c r="H94" s="550"/>
      <c r="I94" s="550"/>
      <c r="J94" s="550"/>
      <c r="K94" s="550"/>
      <c r="L94" s="550"/>
      <c r="M94" s="550"/>
      <c r="N94" s="550"/>
      <c r="O94" s="550"/>
      <c r="P94" s="550"/>
      <c r="Q94" s="550"/>
      <c r="R94" s="550"/>
      <c r="S94" s="550"/>
      <c r="T94" s="550"/>
      <c r="U94" s="550"/>
      <c r="V94" s="550"/>
      <c r="W94" s="550"/>
      <c r="X94" s="550"/>
      <c r="Y94" s="550"/>
      <c r="Z94" s="550"/>
      <c r="AA94" s="550"/>
      <c r="AB94" s="550"/>
      <c r="AC94" s="550"/>
      <c r="AD94" s="550"/>
      <c r="AE94" s="550"/>
      <c r="AF94" s="550"/>
      <c r="AG94" s="550"/>
      <c r="AH94" s="550"/>
      <c r="AI94" s="550"/>
      <c r="AJ94" s="550"/>
    </row>
    <row r="95" spans="2:36">
      <c r="B95" s="550"/>
      <c r="C95" s="550"/>
      <c r="D95" s="550"/>
      <c r="E95" s="550"/>
      <c r="F95" s="550"/>
      <c r="G95" s="550"/>
      <c r="H95" s="550"/>
      <c r="I95" s="550"/>
      <c r="J95" s="550"/>
      <c r="K95" s="550"/>
      <c r="L95" s="550"/>
      <c r="M95" s="550"/>
      <c r="N95" s="550"/>
      <c r="O95" s="550"/>
      <c r="P95" s="550"/>
      <c r="Q95" s="550"/>
      <c r="R95" s="550"/>
      <c r="S95" s="550"/>
      <c r="T95" s="550"/>
      <c r="U95" s="550"/>
      <c r="V95" s="550"/>
      <c r="W95" s="550"/>
      <c r="X95" s="550"/>
      <c r="Y95" s="550"/>
      <c r="Z95" s="550"/>
      <c r="AA95" s="550"/>
      <c r="AB95" s="550"/>
      <c r="AC95" s="550"/>
      <c r="AD95" s="550"/>
      <c r="AE95" s="550"/>
      <c r="AF95" s="550"/>
      <c r="AG95" s="550"/>
      <c r="AH95" s="550"/>
      <c r="AI95" s="550"/>
      <c r="AJ95" s="550"/>
    </row>
    <row r="96" spans="2:36">
      <c r="B96" s="550"/>
      <c r="C96" s="550"/>
      <c r="D96" s="550"/>
      <c r="E96" s="550"/>
      <c r="F96" s="550"/>
      <c r="G96" s="550"/>
      <c r="H96" s="550"/>
      <c r="I96" s="550"/>
      <c r="J96" s="550"/>
      <c r="K96" s="550"/>
      <c r="L96" s="550"/>
      <c r="M96" s="550"/>
      <c r="N96" s="550"/>
      <c r="O96" s="550"/>
      <c r="P96" s="550"/>
      <c r="Q96" s="550"/>
      <c r="R96" s="550"/>
      <c r="S96" s="550"/>
      <c r="T96" s="550"/>
      <c r="U96" s="550"/>
      <c r="V96" s="550"/>
      <c r="W96" s="550"/>
      <c r="X96" s="550"/>
      <c r="Y96" s="550"/>
      <c r="Z96" s="550"/>
      <c r="AA96" s="550"/>
      <c r="AB96" s="550"/>
      <c r="AC96" s="550"/>
      <c r="AD96" s="550"/>
      <c r="AE96" s="550"/>
      <c r="AF96" s="550"/>
      <c r="AG96" s="550"/>
      <c r="AH96" s="550"/>
      <c r="AI96" s="550"/>
      <c r="AJ96" s="550"/>
    </row>
    <row r="97" spans="2:36">
      <c r="B97" s="550"/>
      <c r="C97" s="550"/>
      <c r="D97" s="550"/>
      <c r="E97" s="550"/>
      <c r="F97" s="550"/>
      <c r="G97" s="550"/>
      <c r="H97" s="550"/>
      <c r="I97" s="550"/>
      <c r="J97" s="550"/>
      <c r="K97" s="550"/>
      <c r="L97" s="550"/>
      <c r="M97" s="550"/>
      <c r="N97" s="550"/>
      <c r="O97" s="550"/>
      <c r="P97" s="550"/>
      <c r="Q97" s="550"/>
      <c r="R97" s="550"/>
      <c r="S97" s="550"/>
      <c r="T97" s="550"/>
      <c r="U97" s="550"/>
      <c r="V97" s="550"/>
      <c r="W97" s="550"/>
      <c r="X97" s="550"/>
      <c r="Y97" s="550"/>
      <c r="Z97" s="550"/>
      <c r="AA97" s="550"/>
      <c r="AB97" s="550"/>
      <c r="AC97" s="550"/>
      <c r="AD97" s="550"/>
      <c r="AE97" s="550"/>
      <c r="AF97" s="550"/>
      <c r="AG97" s="550"/>
      <c r="AH97" s="550"/>
      <c r="AI97" s="550"/>
      <c r="AJ97" s="550"/>
    </row>
    <row r="98" spans="2:36">
      <c r="B98" s="550"/>
      <c r="C98" s="550"/>
      <c r="D98" s="550"/>
      <c r="E98" s="550"/>
      <c r="F98" s="550"/>
      <c r="G98" s="550"/>
      <c r="H98" s="550"/>
      <c r="I98" s="550"/>
      <c r="J98" s="550"/>
      <c r="K98" s="550"/>
      <c r="L98" s="550"/>
      <c r="M98" s="550"/>
      <c r="N98" s="550"/>
      <c r="O98" s="550"/>
      <c r="P98" s="550"/>
      <c r="Q98" s="550"/>
      <c r="R98" s="550"/>
      <c r="S98" s="550"/>
      <c r="T98" s="550"/>
      <c r="U98" s="550"/>
      <c r="V98" s="550"/>
      <c r="W98" s="550"/>
      <c r="X98" s="550"/>
      <c r="Y98" s="550"/>
      <c r="Z98" s="550"/>
      <c r="AA98" s="550"/>
      <c r="AB98" s="550"/>
      <c r="AC98" s="550"/>
      <c r="AD98" s="550"/>
      <c r="AE98" s="550"/>
      <c r="AF98" s="550"/>
      <c r="AG98" s="550"/>
      <c r="AH98" s="550"/>
      <c r="AI98" s="550"/>
      <c r="AJ98" s="550"/>
    </row>
    <row r="99" spans="2:36">
      <c r="B99" s="550"/>
      <c r="C99" s="550"/>
      <c r="D99" s="550"/>
      <c r="E99" s="550"/>
      <c r="F99" s="550"/>
      <c r="G99" s="550"/>
      <c r="H99" s="550"/>
      <c r="I99" s="550"/>
      <c r="J99" s="550"/>
      <c r="K99" s="550"/>
      <c r="L99" s="550"/>
      <c r="M99" s="550"/>
      <c r="N99" s="550"/>
      <c r="O99" s="550"/>
      <c r="P99" s="550"/>
      <c r="Q99" s="550"/>
      <c r="R99" s="550"/>
      <c r="S99" s="550"/>
      <c r="T99" s="550"/>
      <c r="U99" s="550"/>
      <c r="V99" s="550"/>
      <c r="W99" s="550"/>
      <c r="X99" s="550"/>
      <c r="Y99" s="550"/>
      <c r="Z99" s="550"/>
      <c r="AA99" s="550"/>
      <c r="AB99" s="550"/>
      <c r="AC99" s="550"/>
      <c r="AD99" s="550"/>
      <c r="AE99" s="550"/>
      <c r="AF99" s="550"/>
      <c r="AG99" s="550"/>
      <c r="AH99" s="550"/>
      <c r="AI99" s="550"/>
      <c r="AJ99" s="550"/>
    </row>
    <row r="100" spans="2:36">
      <c r="B100" s="550"/>
      <c r="C100" s="550"/>
      <c r="D100" s="550"/>
      <c r="E100" s="550"/>
      <c r="F100" s="550"/>
      <c r="G100" s="550"/>
      <c r="H100" s="550"/>
      <c r="I100" s="550"/>
      <c r="J100" s="550"/>
      <c r="K100" s="550"/>
      <c r="L100" s="550"/>
      <c r="M100" s="550"/>
      <c r="N100" s="550"/>
      <c r="O100" s="550"/>
      <c r="P100" s="550"/>
      <c r="Q100" s="550"/>
      <c r="R100" s="550"/>
      <c r="S100" s="550"/>
      <c r="T100" s="550"/>
      <c r="U100" s="550"/>
      <c r="V100" s="550"/>
      <c r="W100" s="550"/>
      <c r="X100" s="550"/>
      <c r="Y100" s="550"/>
      <c r="Z100" s="550"/>
      <c r="AA100" s="550"/>
      <c r="AB100" s="550"/>
      <c r="AC100" s="550"/>
      <c r="AD100" s="550"/>
      <c r="AE100" s="550"/>
      <c r="AF100" s="550"/>
      <c r="AG100" s="550"/>
      <c r="AH100" s="550"/>
      <c r="AI100" s="550"/>
      <c r="AJ100" s="550"/>
    </row>
    <row r="101" spans="2:36">
      <c r="B101" s="550"/>
      <c r="C101" s="550"/>
      <c r="D101" s="550"/>
      <c r="E101" s="550"/>
      <c r="F101" s="550"/>
      <c r="G101" s="550"/>
      <c r="H101" s="550"/>
      <c r="I101" s="550"/>
      <c r="J101" s="550"/>
      <c r="K101" s="550"/>
      <c r="L101" s="550"/>
      <c r="M101" s="550"/>
      <c r="N101" s="550"/>
      <c r="O101" s="550"/>
      <c r="P101" s="550"/>
      <c r="Q101" s="550"/>
      <c r="R101" s="550"/>
      <c r="S101" s="550"/>
      <c r="T101" s="550"/>
      <c r="U101" s="550"/>
      <c r="V101" s="550"/>
      <c r="W101" s="550"/>
      <c r="X101" s="550"/>
      <c r="Y101" s="550"/>
      <c r="Z101" s="550"/>
      <c r="AA101" s="550"/>
      <c r="AB101" s="550"/>
      <c r="AC101" s="550"/>
      <c r="AD101" s="550"/>
      <c r="AE101" s="550"/>
      <c r="AF101" s="550"/>
      <c r="AG101" s="550"/>
      <c r="AH101" s="550"/>
      <c r="AI101" s="550"/>
      <c r="AJ101" s="550"/>
    </row>
    <row r="102" spans="2:36">
      <c r="B102" s="550"/>
      <c r="C102" s="550"/>
      <c r="D102" s="550"/>
      <c r="E102" s="550"/>
      <c r="F102" s="550"/>
      <c r="G102" s="550"/>
      <c r="H102" s="550"/>
      <c r="I102" s="550"/>
      <c r="J102" s="550"/>
      <c r="K102" s="550"/>
      <c r="L102" s="550"/>
      <c r="M102" s="550"/>
      <c r="N102" s="550"/>
      <c r="O102" s="550"/>
      <c r="P102" s="550"/>
      <c r="Q102" s="550"/>
      <c r="R102" s="550"/>
      <c r="S102" s="550"/>
      <c r="T102" s="550"/>
      <c r="U102" s="550"/>
      <c r="V102" s="550"/>
      <c r="W102" s="550"/>
      <c r="X102" s="550"/>
      <c r="Y102" s="550"/>
      <c r="Z102" s="550"/>
      <c r="AA102" s="550"/>
      <c r="AB102" s="550"/>
      <c r="AC102" s="550"/>
      <c r="AD102" s="550"/>
      <c r="AE102" s="550"/>
      <c r="AF102" s="550"/>
      <c r="AG102" s="550"/>
      <c r="AH102" s="550"/>
      <c r="AI102" s="550"/>
      <c r="AJ102" s="550"/>
    </row>
    <row r="103" spans="2:36">
      <c r="B103" s="550"/>
      <c r="C103" s="550"/>
      <c r="D103" s="550"/>
      <c r="E103" s="550"/>
      <c r="F103" s="550"/>
      <c r="G103" s="550"/>
      <c r="H103" s="550"/>
      <c r="I103" s="550"/>
      <c r="J103" s="550"/>
      <c r="K103" s="550"/>
      <c r="L103" s="550"/>
      <c r="M103" s="550"/>
      <c r="N103" s="550"/>
      <c r="O103" s="550"/>
      <c r="P103" s="550"/>
      <c r="Q103" s="550"/>
      <c r="R103" s="550"/>
      <c r="S103" s="550"/>
      <c r="T103" s="550"/>
      <c r="U103" s="550"/>
      <c r="V103" s="550"/>
      <c r="W103" s="550"/>
      <c r="X103" s="550"/>
      <c r="Y103" s="550"/>
      <c r="Z103" s="550"/>
      <c r="AA103" s="550"/>
      <c r="AB103" s="550"/>
      <c r="AC103" s="550"/>
      <c r="AD103" s="550"/>
      <c r="AE103" s="550"/>
      <c r="AF103" s="550"/>
      <c r="AG103" s="550"/>
      <c r="AH103" s="550"/>
      <c r="AI103" s="550"/>
      <c r="AJ103" s="550"/>
    </row>
    <row r="104" spans="2:36">
      <c r="B104" s="550"/>
      <c r="C104" s="550"/>
      <c r="D104" s="550"/>
      <c r="E104" s="550"/>
      <c r="F104" s="550"/>
      <c r="G104" s="550"/>
      <c r="H104" s="550"/>
      <c r="I104" s="550"/>
      <c r="J104" s="550"/>
      <c r="K104" s="550"/>
      <c r="L104" s="550"/>
      <c r="M104" s="550"/>
      <c r="N104" s="550"/>
      <c r="O104" s="550"/>
      <c r="P104" s="550"/>
      <c r="Q104" s="550"/>
      <c r="R104" s="550"/>
      <c r="S104" s="550"/>
      <c r="T104" s="550"/>
      <c r="U104" s="550"/>
      <c r="V104" s="550"/>
      <c r="W104" s="550"/>
      <c r="X104" s="550"/>
      <c r="Y104" s="550"/>
      <c r="Z104" s="550"/>
      <c r="AA104" s="550"/>
      <c r="AB104" s="550"/>
      <c r="AC104" s="550"/>
      <c r="AD104" s="550"/>
      <c r="AE104" s="550"/>
      <c r="AF104" s="550"/>
      <c r="AG104" s="550"/>
      <c r="AH104" s="550"/>
      <c r="AI104" s="550"/>
      <c r="AJ104" s="550"/>
    </row>
    <row r="105" spans="2:36">
      <c r="B105" s="550"/>
      <c r="C105" s="550"/>
      <c r="D105" s="550"/>
      <c r="E105" s="550"/>
      <c r="F105" s="550"/>
      <c r="G105" s="550"/>
      <c r="H105" s="550"/>
      <c r="I105" s="550"/>
      <c r="J105" s="550"/>
      <c r="K105" s="550"/>
      <c r="L105" s="550"/>
      <c r="M105" s="550"/>
      <c r="N105" s="550"/>
      <c r="O105" s="550"/>
      <c r="P105" s="550"/>
      <c r="Q105" s="550"/>
      <c r="R105" s="550"/>
      <c r="S105" s="550"/>
      <c r="T105" s="550"/>
      <c r="U105" s="550"/>
      <c r="V105" s="550"/>
      <c r="W105" s="550"/>
      <c r="X105" s="550"/>
      <c r="Y105" s="550"/>
      <c r="Z105" s="550"/>
      <c r="AA105" s="550"/>
      <c r="AB105" s="550"/>
      <c r="AC105" s="550"/>
      <c r="AD105" s="550"/>
      <c r="AE105" s="550"/>
      <c r="AF105" s="550"/>
      <c r="AG105" s="550"/>
      <c r="AH105" s="550"/>
      <c r="AI105" s="550"/>
      <c r="AJ105" s="550"/>
    </row>
    <row r="106" spans="2:36">
      <c r="B106" s="550"/>
      <c r="C106" s="550"/>
      <c r="D106" s="550"/>
      <c r="E106" s="550"/>
      <c r="F106" s="550"/>
      <c r="G106" s="550"/>
      <c r="H106" s="550"/>
      <c r="I106" s="550"/>
      <c r="J106" s="550"/>
      <c r="K106" s="550"/>
      <c r="L106" s="550"/>
      <c r="M106" s="550"/>
      <c r="N106" s="550"/>
      <c r="O106" s="550"/>
      <c r="P106" s="550"/>
      <c r="Q106" s="550"/>
      <c r="R106" s="550"/>
      <c r="S106" s="550"/>
      <c r="T106" s="550"/>
      <c r="U106" s="550"/>
      <c r="V106" s="550"/>
      <c r="W106" s="550"/>
      <c r="X106" s="550"/>
      <c r="Y106" s="550"/>
      <c r="Z106" s="550"/>
      <c r="AA106" s="550"/>
      <c r="AB106" s="550"/>
      <c r="AC106" s="550"/>
      <c r="AD106" s="550"/>
      <c r="AE106" s="550"/>
      <c r="AF106" s="550"/>
      <c r="AG106" s="550"/>
      <c r="AH106" s="550"/>
      <c r="AI106" s="550"/>
      <c r="AJ106" s="550"/>
    </row>
    <row r="107" spans="2:36">
      <c r="B107" s="550"/>
      <c r="C107" s="550"/>
      <c r="D107" s="550"/>
      <c r="E107" s="550"/>
      <c r="F107" s="550"/>
      <c r="G107" s="550"/>
      <c r="H107" s="550"/>
      <c r="I107" s="550"/>
      <c r="J107" s="550"/>
      <c r="K107" s="550"/>
      <c r="L107" s="550"/>
      <c r="M107" s="550"/>
      <c r="N107" s="550"/>
      <c r="O107" s="550"/>
      <c r="P107" s="550"/>
      <c r="Q107" s="550"/>
      <c r="R107" s="550"/>
      <c r="S107" s="550"/>
      <c r="T107" s="550"/>
      <c r="U107" s="550"/>
      <c r="V107" s="550"/>
      <c r="W107" s="550"/>
      <c r="X107" s="550"/>
      <c r="Y107" s="550"/>
      <c r="Z107" s="550"/>
      <c r="AA107" s="550"/>
      <c r="AB107" s="550"/>
      <c r="AC107" s="550"/>
      <c r="AD107" s="550"/>
      <c r="AE107" s="550"/>
      <c r="AF107" s="550"/>
      <c r="AG107" s="550"/>
      <c r="AH107" s="550"/>
      <c r="AI107" s="550"/>
      <c r="AJ107" s="550"/>
    </row>
    <row r="108" spans="2:36">
      <c r="B108" s="550"/>
      <c r="C108" s="550"/>
      <c r="D108" s="550"/>
      <c r="E108" s="550"/>
      <c r="F108" s="550"/>
      <c r="G108" s="550"/>
      <c r="H108" s="550"/>
      <c r="I108" s="550"/>
      <c r="J108" s="550"/>
      <c r="K108" s="550"/>
      <c r="L108" s="550"/>
      <c r="M108" s="550"/>
      <c r="N108" s="550"/>
      <c r="O108" s="550"/>
      <c r="P108" s="550"/>
      <c r="Q108" s="550"/>
      <c r="R108" s="550"/>
      <c r="S108" s="550"/>
      <c r="T108" s="550"/>
      <c r="U108" s="550"/>
      <c r="V108" s="550"/>
      <c r="W108" s="550"/>
      <c r="X108" s="550"/>
      <c r="Y108" s="550"/>
      <c r="Z108" s="550"/>
      <c r="AA108" s="550"/>
      <c r="AB108" s="550"/>
      <c r="AC108" s="550"/>
      <c r="AD108" s="550"/>
      <c r="AE108" s="550"/>
      <c r="AF108" s="550"/>
      <c r="AG108" s="550"/>
      <c r="AH108" s="550"/>
      <c r="AI108" s="550"/>
      <c r="AJ108" s="550"/>
    </row>
    <row r="109" spans="2:36">
      <c r="B109" s="550"/>
      <c r="C109" s="550"/>
      <c r="D109" s="550"/>
      <c r="E109" s="550"/>
      <c r="F109" s="550"/>
      <c r="G109" s="550"/>
      <c r="H109" s="550"/>
      <c r="I109" s="550"/>
      <c r="J109" s="550"/>
      <c r="K109" s="550"/>
      <c r="L109" s="550"/>
      <c r="M109" s="550"/>
      <c r="N109" s="550"/>
      <c r="O109" s="550"/>
      <c r="P109" s="550"/>
      <c r="Q109" s="550"/>
      <c r="R109" s="550"/>
      <c r="S109" s="550"/>
      <c r="T109" s="550"/>
      <c r="U109" s="550"/>
      <c r="V109" s="550"/>
      <c r="W109" s="550"/>
      <c r="X109" s="550"/>
      <c r="Y109" s="550"/>
      <c r="Z109" s="550"/>
      <c r="AA109" s="550"/>
      <c r="AB109" s="550"/>
      <c r="AC109" s="550"/>
      <c r="AD109" s="550"/>
      <c r="AE109" s="550"/>
      <c r="AF109" s="550"/>
      <c r="AG109" s="550"/>
      <c r="AH109" s="550"/>
      <c r="AI109" s="550"/>
      <c r="AJ109" s="550"/>
    </row>
    <row r="110" spans="2:36">
      <c r="B110" s="550"/>
      <c r="C110" s="550"/>
      <c r="D110" s="550"/>
      <c r="E110" s="550"/>
      <c r="F110" s="550"/>
      <c r="G110" s="550"/>
      <c r="H110" s="550"/>
      <c r="I110" s="550"/>
      <c r="J110" s="550"/>
      <c r="K110" s="550"/>
      <c r="L110" s="550"/>
      <c r="M110" s="550"/>
      <c r="N110" s="550"/>
      <c r="O110" s="550"/>
      <c r="P110" s="550"/>
      <c r="Q110" s="550"/>
      <c r="R110" s="550"/>
      <c r="S110" s="550"/>
      <c r="T110" s="550"/>
      <c r="U110" s="550"/>
      <c r="V110" s="550"/>
      <c r="W110" s="550"/>
      <c r="X110" s="550"/>
      <c r="Y110" s="550"/>
      <c r="Z110" s="550"/>
      <c r="AA110" s="550"/>
      <c r="AB110" s="550"/>
      <c r="AC110" s="550"/>
      <c r="AD110" s="550"/>
      <c r="AE110" s="550"/>
      <c r="AF110" s="550"/>
      <c r="AG110" s="550"/>
      <c r="AH110" s="550"/>
      <c r="AI110" s="550"/>
      <c r="AJ110" s="550"/>
    </row>
    <row r="111" spans="2:36">
      <c r="B111" s="550"/>
      <c r="C111" s="550"/>
      <c r="D111" s="550"/>
      <c r="E111" s="550"/>
      <c r="F111" s="550"/>
      <c r="G111" s="550"/>
      <c r="H111" s="550"/>
      <c r="I111" s="550"/>
      <c r="J111" s="550"/>
      <c r="K111" s="550"/>
      <c r="L111" s="550"/>
      <c r="M111" s="550"/>
      <c r="N111" s="550"/>
      <c r="O111" s="550"/>
      <c r="P111" s="550"/>
      <c r="Q111" s="550"/>
      <c r="R111" s="550"/>
      <c r="S111" s="550"/>
      <c r="T111" s="550"/>
      <c r="U111" s="550"/>
      <c r="V111" s="550"/>
      <c r="W111" s="550"/>
      <c r="X111" s="550"/>
      <c r="Y111" s="550"/>
      <c r="Z111" s="550"/>
      <c r="AA111" s="550"/>
      <c r="AB111" s="550"/>
      <c r="AC111" s="550"/>
      <c r="AD111" s="550"/>
      <c r="AE111" s="550"/>
      <c r="AF111" s="550"/>
      <c r="AG111" s="550"/>
      <c r="AH111" s="550"/>
      <c r="AI111" s="550"/>
      <c r="AJ111" s="550"/>
    </row>
    <row r="112" spans="2:36">
      <c r="B112" s="550"/>
      <c r="C112" s="550"/>
      <c r="D112" s="550"/>
      <c r="E112" s="550"/>
      <c r="F112" s="550"/>
      <c r="G112" s="550"/>
      <c r="H112" s="550"/>
      <c r="I112" s="550"/>
      <c r="J112" s="550"/>
      <c r="K112" s="550"/>
      <c r="L112" s="550"/>
      <c r="M112" s="550"/>
      <c r="N112" s="550"/>
      <c r="O112" s="550"/>
      <c r="P112" s="550"/>
      <c r="Q112" s="550"/>
      <c r="R112" s="550"/>
      <c r="S112" s="550"/>
      <c r="T112" s="550"/>
      <c r="U112" s="550"/>
      <c r="V112" s="550"/>
      <c r="W112" s="550"/>
      <c r="X112" s="550"/>
      <c r="Y112" s="550"/>
      <c r="Z112" s="550"/>
      <c r="AA112" s="550"/>
      <c r="AB112" s="550"/>
      <c r="AC112" s="550"/>
      <c r="AD112" s="550"/>
      <c r="AE112" s="550"/>
      <c r="AF112" s="550"/>
      <c r="AG112" s="550"/>
      <c r="AH112" s="550"/>
      <c r="AI112" s="550"/>
      <c r="AJ112" s="550"/>
    </row>
    <row r="113" spans="2:36">
      <c r="B113" s="550"/>
      <c r="C113" s="550"/>
      <c r="D113" s="550"/>
      <c r="E113" s="550"/>
      <c r="F113" s="550"/>
      <c r="G113" s="550"/>
      <c r="H113" s="550"/>
      <c r="I113" s="550"/>
      <c r="J113" s="550"/>
      <c r="K113" s="550"/>
      <c r="L113" s="550"/>
      <c r="M113" s="550"/>
      <c r="N113" s="550"/>
      <c r="O113" s="550"/>
      <c r="P113" s="550"/>
      <c r="Q113" s="550"/>
      <c r="R113" s="550"/>
      <c r="S113" s="550"/>
      <c r="T113" s="550"/>
      <c r="U113" s="550"/>
      <c r="V113" s="550"/>
      <c r="W113" s="550"/>
      <c r="X113" s="550"/>
      <c r="Y113" s="550"/>
      <c r="Z113" s="550"/>
      <c r="AA113" s="550"/>
      <c r="AB113" s="550"/>
      <c r="AC113" s="550"/>
      <c r="AD113" s="550"/>
      <c r="AE113" s="550"/>
      <c r="AF113" s="550"/>
      <c r="AG113" s="550"/>
      <c r="AH113" s="550"/>
      <c r="AI113" s="550"/>
      <c r="AJ113" s="550"/>
    </row>
    <row r="114" spans="2:36">
      <c r="B114" s="550"/>
      <c r="C114" s="550"/>
      <c r="D114" s="550"/>
      <c r="E114" s="550"/>
      <c r="F114" s="550"/>
      <c r="G114" s="550"/>
      <c r="H114" s="550"/>
      <c r="I114" s="550"/>
      <c r="J114" s="550"/>
      <c r="K114" s="550"/>
      <c r="L114" s="550"/>
      <c r="M114" s="550"/>
      <c r="N114" s="550"/>
      <c r="O114" s="550"/>
      <c r="P114" s="550"/>
      <c r="Q114" s="550"/>
      <c r="R114" s="550"/>
      <c r="S114" s="550"/>
      <c r="T114" s="550"/>
      <c r="U114" s="550"/>
      <c r="V114" s="550"/>
      <c r="W114" s="550"/>
      <c r="X114" s="550"/>
      <c r="Y114" s="550"/>
      <c r="Z114" s="550"/>
      <c r="AA114" s="550"/>
      <c r="AB114" s="550"/>
      <c r="AC114" s="550"/>
      <c r="AD114" s="550"/>
      <c r="AE114" s="550"/>
      <c r="AF114" s="550"/>
      <c r="AG114" s="550"/>
      <c r="AH114" s="550"/>
      <c r="AI114" s="550"/>
      <c r="AJ114" s="550"/>
    </row>
    <row r="115" spans="2:36">
      <c r="B115" s="550"/>
      <c r="C115" s="550"/>
      <c r="D115" s="550"/>
      <c r="E115" s="550"/>
      <c r="F115" s="550"/>
      <c r="G115" s="550"/>
      <c r="H115" s="550"/>
      <c r="I115" s="550"/>
      <c r="J115" s="550"/>
      <c r="K115" s="550"/>
      <c r="L115" s="550"/>
      <c r="M115" s="550"/>
      <c r="N115" s="550"/>
      <c r="O115" s="550"/>
      <c r="P115" s="550"/>
      <c r="Q115" s="550"/>
      <c r="R115" s="550"/>
      <c r="S115" s="550"/>
      <c r="T115" s="550"/>
      <c r="U115" s="550"/>
      <c r="V115" s="550"/>
      <c r="W115" s="550"/>
      <c r="X115" s="550"/>
      <c r="Y115" s="550"/>
      <c r="Z115" s="550"/>
      <c r="AA115" s="550"/>
      <c r="AB115" s="550"/>
      <c r="AC115" s="550"/>
      <c r="AD115" s="550"/>
      <c r="AE115" s="550"/>
      <c r="AF115" s="550"/>
      <c r="AG115" s="550"/>
      <c r="AH115" s="550"/>
      <c r="AI115" s="550"/>
      <c r="AJ115" s="550"/>
    </row>
    <row r="116" spans="2:36">
      <c r="B116" s="550"/>
      <c r="C116" s="550"/>
      <c r="D116" s="550"/>
      <c r="E116" s="550"/>
      <c r="F116" s="550"/>
      <c r="G116" s="550"/>
      <c r="H116" s="550"/>
      <c r="I116" s="550"/>
      <c r="J116" s="550"/>
      <c r="K116" s="550"/>
      <c r="L116" s="550"/>
      <c r="M116" s="550"/>
      <c r="N116" s="550"/>
      <c r="O116" s="550"/>
      <c r="P116" s="550"/>
      <c r="Q116" s="550"/>
      <c r="R116" s="550"/>
      <c r="S116" s="550"/>
      <c r="T116" s="550"/>
      <c r="U116" s="550"/>
      <c r="V116" s="550"/>
      <c r="W116" s="550"/>
      <c r="X116" s="550"/>
      <c r="Y116" s="550"/>
      <c r="Z116" s="550"/>
      <c r="AA116" s="550"/>
      <c r="AB116" s="550"/>
      <c r="AC116" s="550"/>
      <c r="AD116" s="550"/>
      <c r="AE116" s="550"/>
      <c r="AF116" s="550"/>
      <c r="AG116" s="550"/>
      <c r="AH116" s="550"/>
      <c r="AI116" s="550"/>
      <c r="AJ116" s="550"/>
    </row>
    <row r="117" spans="2:36">
      <c r="B117" s="550"/>
      <c r="C117" s="550"/>
      <c r="D117" s="550"/>
      <c r="E117" s="550"/>
      <c r="F117" s="550"/>
      <c r="G117" s="550"/>
      <c r="H117" s="550"/>
      <c r="I117" s="550"/>
      <c r="J117" s="550"/>
      <c r="K117" s="550"/>
      <c r="L117" s="550"/>
      <c r="M117" s="550"/>
      <c r="N117" s="550"/>
      <c r="O117" s="550"/>
      <c r="P117" s="550"/>
      <c r="Q117" s="550"/>
      <c r="R117" s="550"/>
      <c r="S117" s="550"/>
      <c r="T117" s="550"/>
      <c r="U117" s="550"/>
      <c r="V117" s="550"/>
      <c r="W117" s="550"/>
      <c r="X117" s="550"/>
      <c r="Y117" s="550"/>
      <c r="Z117" s="550"/>
      <c r="AA117" s="550"/>
      <c r="AB117" s="550"/>
      <c r="AC117" s="550"/>
      <c r="AD117" s="550"/>
      <c r="AE117" s="550"/>
      <c r="AF117" s="550"/>
      <c r="AG117" s="550"/>
      <c r="AH117" s="550"/>
      <c r="AI117" s="550"/>
      <c r="AJ117" s="550"/>
    </row>
    <row r="118" spans="2:36">
      <c r="B118" s="550"/>
      <c r="C118" s="550"/>
      <c r="D118" s="550"/>
      <c r="E118" s="550"/>
      <c r="F118" s="550"/>
      <c r="G118" s="550"/>
      <c r="H118" s="550"/>
      <c r="I118" s="550"/>
      <c r="J118" s="550"/>
      <c r="K118" s="550"/>
      <c r="L118" s="550"/>
      <c r="M118" s="550"/>
      <c r="N118" s="550"/>
      <c r="O118" s="550"/>
      <c r="P118" s="550"/>
      <c r="Q118" s="550"/>
      <c r="R118" s="550"/>
      <c r="S118" s="550"/>
      <c r="T118" s="550"/>
      <c r="U118" s="550"/>
      <c r="V118" s="550"/>
      <c r="W118" s="550"/>
      <c r="X118" s="550"/>
      <c r="Y118" s="550"/>
      <c r="Z118" s="550"/>
      <c r="AA118" s="550"/>
      <c r="AB118" s="550"/>
      <c r="AC118" s="550"/>
      <c r="AD118" s="550"/>
      <c r="AE118" s="550"/>
      <c r="AF118" s="550"/>
      <c r="AG118" s="550"/>
      <c r="AH118" s="550"/>
      <c r="AI118" s="550"/>
      <c r="AJ118" s="550"/>
    </row>
    <row r="119" spans="2:36">
      <c r="B119" s="550"/>
      <c r="C119" s="550"/>
      <c r="D119" s="550"/>
      <c r="E119" s="550"/>
      <c r="F119" s="550"/>
      <c r="G119" s="550"/>
      <c r="H119" s="550"/>
      <c r="I119" s="550"/>
      <c r="J119" s="550"/>
      <c r="K119" s="550"/>
      <c r="L119" s="550"/>
      <c r="M119" s="550"/>
      <c r="N119" s="550"/>
      <c r="O119" s="550"/>
      <c r="P119" s="550"/>
      <c r="Q119" s="550"/>
      <c r="R119" s="550"/>
      <c r="S119" s="550"/>
      <c r="T119" s="550"/>
      <c r="U119" s="550"/>
      <c r="V119" s="550"/>
      <c r="W119" s="550"/>
      <c r="X119" s="550"/>
      <c r="Y119" s="550"/>
      <c r="Z119" s="550"/>
      <c r="AA119" s="550"/>
      <c r="AB119" s="550"/>
      <c r="AC119" s="550"/>
      <c r="AD119" s="550"/>
      <c r="AE119" s="550"/>
      <c r="AF119" s="550"/>
      <c r="AG119" s="550"/>
      <c r="AH119" s="550"/>
      <c r="AI119" s="550"/>
      <c r="AJ119" s="550"/>
    </row>
    <row r="120" spans="2:36">
      <c r="B120" s="550"/>
      <c r="C120" s="550"/>
      <c r="D120" s="550"/>
      <c r="E120" s="550"/>
      <c r="F120" s="550"/>
      <c r="G120" s="550"/>
      <c r="H120" s="550"/>
      <c r="I120" s="550"/>
      <c r="J120" s="550"/>
      <c r="K120" s="550"/>
      <c r="L120" s="550"/>
      <c r="M120" s="550"/>
      <c r="N120" s="550"/>
      <c r="O120" s="550"/>
      <c r="P120" s="550"/>
      <c r="Q120" s="550"/>
      <c r="R120" s="550"/>
      <c r="S120" s="550"/>
      <c r="T120" s="550"/>
      <c r="U120" s="550"/>
      <c r="V120" s="550"/>
      <c r="W120" s="550"/>
      <c r="X120" s="550"/>
      <c r="Y120" s="550"/>
      <c r="Z120" s="550"/>
      <c r="AA120" s="550"/>
      <c r="AB120" s="550"/>
      <c r="AC120" s="550"/>
      <c r="AD120" s="550"/>
      <c r="AE120" s="550"/>
      <c r="AF120" s="550"/>
      <c r="AG120" s="550"/>
      <c r="AH120" s="550"/>
      <c r="AI120" s="550"/>
      <c r="AJ120" s="550"/>
    </row>
    <row r="121" spans="2:36">
      <c r="B121" s="550"/>
      <c r="C121" s="550"/>
      <c r="D121" s="550"/>
      <c r="E121" s="550"/>
      <c r="F121" s="550"/>
      <c r="G121" s="550"/>
      <c r="H121" s="550"/>
      <c r="I121" s="550"/>
      <c r="J121" s="550"/>
      <c r="K121" s="550"/>
      <c r="L121" s="550"/>
      <c r="M121" s="550"/>
      <c r="N121" s="550"/>
      <c r="O121" s="550"/>
      <c r="P121" s="550"/>
      <c r="Q121" s="550"/>
      <c r="R121" s="550"/>
      <c r="S121" s="550"/>
      <c r="T121" s="550"/>
      <c r="U121" s="550"/>
      <c r="V121" s="550"/>
      <c r="W121" s="550"/>
      <c r="X121" s="550"/>
      <c r="Y121" s="550"/>
      <c r="Z121" s="550"/>
      <c r="AA121" s="550"/>
      <c r="AB121" s="550"/>
      <c r="AC121" s="550"/>
      <c r="AD121" s="550"/>
      <c r="AE121" s="550"/>
      <c r="AF121" s="550"/>
      <c r="AG121" s="550"/>
      <c r="AH121" s="550"/>
      <c r="AI121" s="550"/>
      <c r="AJ121" s="550"/>
    </row>
    <row r="122" spans="2:36">
      <c r="B122" s="550"/>
      <c r="C122" s="550"/>
      <c r="D122" s="550"/>
      <c r="E122" s="550"/>
      <c r="F122" s="550"/>
      <c r="G122" s="550"/>
      <c r="H122" s="550"/>
      <c r="I122" s="550"/>
      <c r="J122" s="550"/>
      <c r="K122" s="550"/>
      <c r="L122" s="550"/>
      <c r="M122" s="550"/>
      <c r="N122" s="550"/>
      <c r="O122" s="550"/>
      <c r="P122" s="550"/>
      <c r="Q122" s="550"/>
      <c r="R122" s="550"/>
      <c r="S122" s="550"/>
      <c r="T122" s="550"/>
      <c r="U122" s="550"/>
      <c r="V122" s="550"/>
      <c r="W122" s="550"/>
      <c r="X122" s="550"/>
      <c r="Y122" s="550"/>
      <c r="Z122" s="550"/>
      <c r="AA122" s="550"/>
      <c r="AB122" s="550"/>
      <c r="AC122" s="550"/>
      <c r="AD122" s="550"/>
      <c r="AE122" s="550"/>
      <c r="AF122" s="550"/>
      <c r="AG122" s="550"/>
      <c r="AH122" s="550"/>
      <c r="AI122" s="550"/>
      <c r="AJ122" s="550"/>
    </row>
    <row r="123" spans="2:36">
      <c r="B123" s="550"/>
      <c r="C123" s="550"/>
      <c r="D123" s="550"/>
      <c r="E123" s="550"/>
      <c r="F123" s="550"/>
      <c r="G123" s="550"/>
      <c r="H123" s="550"/>
      <c r="I123" s="550"/>
      <c r="J123" s="550"/>
      <c r="K123" s="550"/>
      <c r="L123" s="550"/>
      <c r="M123" s="550"/>
      <c r="N123" s="550"/>
      <c r="O123" s="550"/>
      <c r="P123" s="550"/>
      <c r="Q123" s="550"/>
      <c r="R123" s="550"/>
      <c r="S123" s="550"/>
      <c r="T123" s="550"/>
      <c r="U123" s="550"/>
      <c r="V123" s="550"/>
      <c r="W123" s="550"/>
      <c r="X123" s="550"/>
      <c r="Y123" s="550"/>
      <c r="Z123" s="550"/>
      <c r="AA123" s="550"/>
      <c r="AB123" s="550"/>
      <c r="AC123" s="550"/>
      <c r="AD123" s="550"/>
      <c r="AE123" s="550"/>
      <c r="AF123" s="550"/>
      <c r="AG123" s="550"/>
      <c r="AH123" s="550"/>
      <c r="AI123" s="550"/>
      <c r="AJ123" s="550"/>
    </row>
    <row r="124" spans="2:36">
      <c r="B124" s="550"/>
      <c r="C124" s="550"/>
      <c r="D124" s="550"/>
      <c r="E124" s="550"/>
      <c r="F124" s="550"/>
      <c r="G124" s="550"/>
      <c r="H124" s="550"/>
      <c r="I124" s="550"/>
      <c r="J124" s="550"/>
      <c r="K124" s="550"/>
      <c r="L124" s="550"/>
      <c r="M124" s="550"/>
      <c r="N124" s="550"/>
      <c r="O124" s="550"/>
      <c r="P124" s="550"/>
      <c r="Q124" s="550"/>
      <c r="R124" s="550"/>
      <c r="S124" s="550"/>
      <c r="T124" s="550"/>
      <c r="U124" s="550"/>
      <c r="V124" s="550"/>
      <c r="W124" s="550"/>
      <c r="X124" s="550"/>
      <c r="Y124" s="550"/>
      <c r="Z124" s="550"/>
      <c r="AA124" s="550"/>
      <c r="AB124" s="550"/>
      <c r="AC124" s="550"/>
      <c r="AD124" s="550"/>
      <c r="AE124" s="550"/>
      <c r="AF124" s="550"/>
      <c r="AG124" s="550"/>
      <c r="AH124" s="550"/>
      <c r="AI124" s="550"/>
      <c r="AJ124" s="550"/>
    </row>
    <row r="125" spans="2:36">
      <c r="B125" s="550"/>
      <c r="C125" s="550"/>
      <c r="D125" s="550"/>
      <c r="E125" s="550"/>
      <c r="F125" s="550"/>
      <c r="G125" s="550"/>
      <c r="H125" s="550"/>
      <c r="I125" s="550"/>
      <c r="J125" s="550"/>
      <c r="K125" s="550"/>
      <c r="L125" s="550"/>
      <c r="M125" s="550"/>
      <c r="N125" s="550"/>
      <c r="O125" s="550"/>
      <c r="P125" s="550"/>
      <c r="Q125" s="550"/>
      <c r="R125" s="550"/>
      <c r="S125" s="550"/>
      <c r="T125" s="550"/>
      <c r="U125" s="550"/>
      <c r="V125" s="550"/>
      <c r="W125" s="550"/>
      <c r="X125" s="550"/>
      <c r="Y125" s="550"/>
      <c r="Z125" s="550"/>
      <c r="AA125" s="550"/>
      <c r="AB125" s="550"/>
      <c r="AC125" s="550"/>
      <c r="AD125" s="550"/>
      <c r="AE125" s="550"/>
      <c r="AF125" s="550"/>
      <c r="AG125" s="550"/>
      <c r="AH125" s="550"/>
      <c r="AI125" s="550"/>
      <c r="AJ125" s="550"/>
    </row>
    <row r="126" spans="2:36">
      <c r="B126" s="550"/>
      <c r="C126" s="550"/>
      <c r="D126" s="550"/>
      <c r="E126" s="550"/>
      <c r="F126" s="550"/>
      <c r="G126" s="550"/>
      <c r="H126" s="550"/>
      <c r="I126" s="550"/>
      <c r="J126" s="550"/>
      <c r="K126" s="550"/>
      <c r="L126" s="550"/>
      <c r="M126" s="550"/>
      <c r="N126" s="550"/>
      <c r="O126" s="550"/>
      <c r="P126" s="550"/>
      <c r="Q126" s="550"/>
      <c r="R126" s="550"/>
      <c r="S126" s="550"/>
      <c r="T126" s="550"/>
      <c r="U126" s="550"/>
      <c r="V126" s="550"/>
      <c r="W126" s="550"/>
      <c r="X126" s="550"/>
      <c r="Y126" s="550"/>
      <c r="Z126" s="550"/>
      <c r="AA126" s="550"/>
      <c r="AB126" s="550"/>
      <c r="AC126" s="550"/>
      <c r="AD126" s="550"/>
      <c r="AE126" s="550"/>
      <c r="AF126" s="550"/>
      <c r="AG126" s="550"/>
      <c r="AH126" s="550"/>
      <c r="AI126" s="550"/>
      <c r="AJ126" s="550"/>
    </row>
    <row r="127" spans="2:36">
      <c r="B127" s="550"/>
      <c r="C127" s="550"/>
      <c r="D127" s="550"/>
      <c r="E127" s="550"/>
      <c r="F127" s="550"/>
      <c r="G127" s="550"/>
      <c r="H127" s="550"/>
      <c r="I127" s="550"/>
      <c r="J127" s="550"/>
      <c r="K127" s="550"/>
      <c r="L127" s="550"/>
      <c r="M127" s="550"/>
      <c r="N127" s="550"/>
      <c r="O127" s="550"/>
      <c r="P127" s="550"/>
      <c r="Q127" s="550"/>
      <c r="R127" s="550"/>
      <c r="S127" s="550"/>
      <c r="T127" s="550"/>
      <c r="U127" s="550"/>
      <c r="V127" s="550"/>
      <c r="W127" s="550"/>
      <c r="X127" s="550"/>
      <c r="Y127" s="550"/>
      <c r="Z127" s="550"/>
      <c r="AA127" s="550"/>
      <c r="AB127" s="550"/>
      <c r="AC127" s="550"/>
      <c r="AD127" s="550"/>
      <c r="AE127" s="550"/>
      <c r="AF127" s="550"/>
      <c r="AG127" s="550"/>
      <c r="AH127" s="550"/>
      <c r="AI127" s="550"/>
      <c r="AJ127" s="550"/>
    </row>
    <row r="128" spans="2:36">
      <c r="B128" s="550"/>
      <c r="C128" s="550"/>
      <c r="D128" s="550"/>
      <c r="E128" s="550"/>
      <c r="F128" s="550"/>
      <c r="G128" s="550"/>
      <c r="H128" s="550"/>
      <c r="I128" s="550"/>
      <c r="J128" s="550"/>
      <c r="K128" s="550"/>
      <c r="L128" s="550"/>
      <c r="M128" s="550"/>
      <c r="N128" s="550"/>
      <c r="O128" s="550"/>
      <c r="P128" s="550"/>
      <c r="Q128" s="550"/>
      <c r="R128" s="550"/>
      <c r="S128" s="550"/>
      <c r="T128" s="550"/>
      <c r="U128" s="550"/>
      <c r="V128" s="550"/>
      <c r="W128" s="550"/>
      <c r="X128" s="550"/>
      <c r="Y128" s="550"/>
      <c r="Z128" s="550"/>
      <c r="AA128" s="550"/>
      <c r="AB128" s="550"/>
      <c r="AC128" s="550"/>
      <c r="AD128" s="550"/>
      <c r="AE128" s="550"/>
      <c r="AF128" s="550"/>
      <c r="AG128" s="550"/>
      <c r="AH128" s="550"/>
      <c r="AI128" s="550"/>
      <c r="AJ128" s="550"/>
    </row>
    <row r="129" spans="2:36">
      <c r="B129" s="550"/>
      <c r="C129" s="550"/>
      <c r="D129" s="550"/>
      <c r="E129" s="550"/>
      <c r="F129" s="550"/>
      <c r="G129" s="550"/>
      <c r="H129" s="550"/>
      <c r="I129" s="550"/>
      <c r="J129" s="550"/>
      <c r="K129" s="550"/>
      <c r="L129" s="550"/>
      <c r="M129" s="550"/>
      <c r="N129" s="550"/>
      <c r="O129" s="550"/>
      <c r="P129" s="550"/>
      <c r="Q129" s="550"/>
      <c r="R129" s="550"/>
      <c r="S129" s="550"/>
      <c r="T129" s="550"/>
      <c r="U129" s="550"/>
      <c r="V129" s="550"/>
      <c r="W129" s="550"/>
      <c r="X129" s="550"/>
      <c r="Y129" s="550"/>
      <c r="Z129" s="550"/>
      <c r="AA129" s="550"/>
      <c r="AB129" s="550"/>
      <c r="AC129" s="550"/>
      <c r="AD129" s="550"/>
      <c r="AE129" s="550"/>
      <c r="AF129" s="550"/>
      <c r="AG129" s="550"/>
      <c r="AH129" s="550"/>
      <c r="AI129" s="550"/>
      <c r="AJ129" s="550"/>
    </row>
    <row r="130" spans="2:36">
      <c r="B130" s="550"/>
      <c r="C130" s="550"/>
      <c r="D130" s="550"/>
      <c r="E130" s="550"/>
      <c r="F130" s="550"/>
      <c r="G130" s="550"/>
      <c r="H130" s="550"/>
      <c r="I130" s="550"/>
      <c r="J130" s="550"/>
      <c r="K130" s="550"/>
      <c r="L130" s="550"/>
      <c r="M130" s="550"/>
      <c r="N130" s="550"/>
      <c r="O130" s="550"/>
      <c r="P130" s="550"/>
      <c r="Q130" s="550"/>
      <c r="R130" s="550"/>
      <c r="S130" s="550"/>
      <c r="T130" s="550"/>
      <c r="U130" s="550"/>
      <c r="V130" s="550"/>
      <c r="W130" s="550"/>
      <c r="X130" s="550"/>
      <c r="Y130" s="550"/>
      <c r="Z130" s="550"/>
      <c r="AA130" s="550"/>
      <c r="AB130" s="550"/>
      <c r="AC130" s="550"/>
      <c r="AD130" s="550"/>
      <c r="AE130" s="550"/>
      <c r="AF130" s="550"/>
      <c r="AG130" s="550"/>
      <c r="AH130" s="550"/>
      <c r="AI130" s="550"/>
      <c r="AJ130" s="550"/>
    </row>
    <row r="131" spans="2:36">
      <c r="B131" s="550"/>
      <c r="C131" s="550"/>
      <c r="D131" s="550"/>
      <c r="E131" s="550"/>
      <c r="F131" s="550"/>
      <c r="G131" s="550"/>
      <c r="H131" s="550"/>
      <c r="I131" s="550"/>
      <c r="J131" s="550"/>
      <c r="K131" s="550"/>
      <c r="L131" s="550"/>
      <c r="M131" s="550"/>
      <c r="N131" s="550"/>
      <c r="O131" s="550"/>
      <c r="P131" s="550"/>
      <c r="Q131" s="550"/>
      <c r="R131" s="550"/>
      <c r="S131" s="550"/>
      <c r="T131" s="550"/>
      <c r="U131" s="550"/>
      <c r="V131" s="550"/>
      <c r="W131" s="550"/>
      <c r="X131" s="550"/>
      <c r="Y131" s="550"/>
      <c r="Z131" s="550"/>
      <c r="AA131" s="550"/>
      <c r="AB131" s="550"/>
      <c r="AC131" s="550"/>
      <c r="AD131" s="550"/>
      <c r="AE131" s="550"/>
      <c r="AF131" s="550"/>
      <c r="AG131" s="550"/>
      <c r="AH131" s="550"/>
      <c r="AI131" s="550"/>
      <c r="AJ131" s="550"/>
    </row>
    <row r="132" spans="2:36">
      <c r="B132" s="550"/>
      <c r="C132" s="550"/>
      <c r="D132" s="550"/>
      <c r="E132" s="550"/>
      <c r="F132" s="550"/>
      <c r="G132" s="550"/>
      <c r="H132" s="550"/>
      <c r="I132" s="550"/>
      <c r="J132" s="550"/>
      <c r="K132" s="550"/>
      <c r="L132" s="550"/>
      <c r="M132" s="550"/>
      <c r="N132" s="550"/>
      <c r="O132" s="550"/>
      <c r="P132" s="550"/>
      <c r="Q132" s="550"/>
      <c r="R132" s="550"/>
      <c r="S132" s="550"/>
      <c r="T132" s="550"/>
      <c r="U132" s="550"/>
      <c r="V132" s="550"/>
      <c r="W132" s="550"/>
      <c r="X132" s="550"/>
      <c r="Y132" s="550"/>
      <c r="Z132" s="550"/>
      <c r="AA132" s="550"/>
      <c r="AB132" s="550"/>
      <c r="AC132" s="550"/>
      <c r="AD132" s="550"/>
      <c r="AE132" s="550"/>
      <c r="AF132" s="550"/>
      <c r="AG132" s="550"/>
      <c r="AH132" s="550"/>
      <c r="AI132" s="550"/>
      <c r="AJ132" s="550"/>
    </row>
    <row r="133" spans="2:36">
      <c r="B133" s="550"/>
      <c r="C133" s="550"/>
      <c r="D133" s="550"/>
      <c r="E133" s="550"/>
      <c r="F133" s="550"/>
      <c r="G133" s="550"/>
      <c r="H133" s="550"/>
      <c r="I133" s="550"/>
      <c r="J133" s="550"/>
      <c r="K133" s="550"/>
      <c r="L133" s="550"/>
      <c r="M133" s="550"/>
      <c r="N133" s="550"/>
      <c r="O133" s="550"/>
      <c r="P133" s="550"/>
      <c r="Q133" s="550"/>
      <c r="R133" s="550"/>
      <c r="S133" s="550"/>
      <c r="T133" s="550"/>
      <c r="U133" s="550"/>
      <c r="V133" s="550"/>
      <c r="W133" s="550"/>
      <c r="X133" s="550"/>
      <c r="Y133" s="550"/>
      <c r="Z133" s="550"/>
      <c r="AA133" s="550"/>
      <c r="AB133" s="550"/>
      <c r="AC133" s="550"/>
      <c r="AD133" s="550"/>
      <c r="AE133" s="550"/>
      <c r="AF133" s="550"/>
      <c r="AG133" s="550"/>
      <c r="AH133" s="550"/>
      <c r="AI133" s="550"/>
      <c r="AJ133" s="550"/>
    </row>
    <row r="134" spans="2:36">
      <c r="B134" s="550"/>
      <c r="C134" s="550"/>
      <c r="D134" s="550"/>
      <c r="E134" s="550"/>
      <c r="F134" s="550"/>
      <c r="G134" s="550"/>
      <c r="H134" s="550"/>
      <c r="I134" s="550"/>
      <c r="J134" s="550"/>
      <c r="K134" s="550"/>
      <c r="L134" s="550"/>
      <c r="M134" s="550"/>
      <c r="N134" s="550"/>
      <c r="O134" s="550"/>
      <c r="P134" s="550"/>
      <c r="Q134" s="550"/>
      <c r="R134" s="550"/>
      <c r="S134" s="550"/>
      <c r="T134" s="550"/>
      <c r="U134" s="550"/>
      <c r="V134" s="550"/>
      <c r="W134" s="550"/>
      <c r="X134" s="550"/>
      <c r="Y134" s="550"/>
      <c r="Z134" s="550"/>
      <c r="AA134" s="550"/>
      <c r="AB134" s="550"/>
      <c r="AC134" s="550"/>
      <c r="AD134" s="550"/>
      <c r="AE134" s="550"/>
      <c r="AF134" s="550"/>
      <c r="AG134" s="550"/>
      <c r="AH134" s="550"/>
      <c r="AI134" s="550"/>
      <c r="AJ134" s="550"/>
    </row>
    <row r="135" spans="2:36">
      <c r="B135" s="550"/>
      <c r="C135" s="550"/>
      <c r="D135" s="550"/>
      <c r="E135" s="550"/>
      <c r="F135" s="550"/>
      <c r="G135" s="550"/>
      <c r="H135" s="550"/>
      <c r="I135" s="550"/>
      <c r="J135" s="550"/>
      <c r="K135" s="550"/>
      <c r="L135" s="550"/>
      <c r="M135" s="550"/>
      <c r="N135" s="550"/>
      <c r="O135" s="550"/>
      <c r="P135" s="550"/>
      <c r="Q135" s="550"/>
      <c r="R135" s="550"/>
      <c r="S135" s="550"/>
      <c r="T135" s="550"/>
      <c r="U135" s="550"/>
      <c r="V135" s="550"/>
      <c r="W135" s="550"/>
      <c r="X135" s="550"/>
      <c r="Y135" s="550"/>
      <c r="Z135" s="550"/>
      <c r="AA135" s="550"/>
      <c r="AB135" s="550"/>
      <c r="AC135" s="550"/>
      <c r="AD135" s="550"/>
      <c r="AE135" s="550"/>
      <c r="AF135" s="550"/>
      <c r="AG135" s="550"/>
      <c r="AH135" s="550"/>
      <c r="AI135" s="550"/>
      <c r="AJ135" s="550"/>
    </row>
    <row r="136" spans="2:36">
      <c r="B136" s="550"/>
      <c r="C136" s="550"/>
      <c r="D136" s="550"/>
      <c r="E136" s="550"/>
      <c r="F136" s="550"/>
      <c r="G136" s="550"/>
      <c r="H136" s="550"/>
      <c r="I136" s="550"/>
      <c r="J136" s="550"/>
      <c r="K136" s="550"/>
      <c r="L136" s="550"/>
      <c r="M136" s="550"/>
      <c r="N136" s="550"/>
      <c r="O136" s="550"/>
      <c r="P136" s="550"/>
      <c r="Q136" s="550"/>
      <c r="R136" s="550"/>
      <c r="S136" s="550"/>
      <c r="T136" s="550"/>
      <c r="U136" s="550"/>
      <c r="V136" s="550"/>
      <c r="W136" s="550"/>
      <c r="X136" s="550"/>
      <c r="Y136" s="550"/>
      <c r="Z136" s="550"/>
      <c r="AA136" s="550"/>
      <c r="AB136" s="550"/>
      <c r="AC136" s="550"/>
      <c r="AD136" s="550"/>
      <c r="AE136" s="550"/>
      <c r="AF136" s="550"/>
      <c r="AG136" s="550"/>
      <c r="AH136" s="550"/>
      <c r="AI136" s="550"/>
      <c r="AJ136" s="550"/>
    </row>
    <row r="137" spans="2:36">
      <c r="B137" s="550"/>
      <c r="C137" s="550"/>
      <c r="D137" s="550"/>
      <c r="E137" s="550"/>
      <c r="F137" s="550"/>
      <c r="G137" s="550"/>
      <c r="H137" s="550"/>
      <c r="I137" s="550"/>
      <c r="J137" s="550"/>
      <c r="K137" s="550"/>
      <c r="L137" s="550"/>
      <c r="M137" s="550"/>
      <c r="N137" s="550"/>
      <c r="O137" s="550"/>
      <c r="P137" s="550"/>
      <c r="Q137" s="550"/>
      <c r="R137" s="550"/>
      <c r="S137" s="550"/>
      <c r="T137" s="550"/>
      <c r="U137" s="550"/>
      <c r="V137" s="550"/>
      <c r="W137" s="550"/>
      <c r="X137" s="550"/>
      <c r="Y137" s="550"/>
      <c r="Z137" s="550"/>
      <c r="AA137" s="550"/>
      <c r="AB137" s="550"/>
      <c r="AC137" s="550"/>
      <c r="AD137" s="550"/>
      <c r="AE137" s="550"/>
      <c r="AF137" s="550"/>
      <c r="AG137" s="550"/>
      <c r="AH137" s="550"/>
      <c r="AI137" s="550"/>
      <c r="AJ137" s="550"/>
    </row>
    <row r="138" spans="2:36">
      <c r="B138" s="550"/>
      <c r="C138" s="550"/>
      <c r="D138" s="550"/>
      <c r="E138" s="550"/>
      <c r="F138" s="550"/>
      <c r="G138" s="550"/>
      <c r="H138" s="550"/>
      <c r="I138" s="550"/>
      <c r="J138" s="550"/>
      <c r="K138" s="550"/>
      <c r="L138" s="550"/>
      <c r="M138" s="550"/>
      <c r="N138" s="550"/>
      <c r="O138" s="550"/>
      <c r="P138" s="550"/>
      <c r="Q138" s="550"/>
      <c r="R138" s="550"/>
      <c r="S138" s="550"/>
      <c r="T138" s="550"/>
      <c r="U138" s="550"/>
      <c r="V138" s="550"/>
      <c r="W138" s="550"/>
      <c r="X138" s="550"/>
      <c r="Y138" s="550"/>
      <c r="Z138" s="550"/>
      <c r="AA138" s="550"/>
      <c r="AB138" s="550"/>
      <c r="AC138" s="550"/>
      <c r="AD138" s="550"/>
      <c r="AE138" s="550"/>
      <c r="AF138" s="550"/>
      <c r="AG138" s="550"/>
      <c r="AH138" s="550"/>
      <c r="AI138" s="550"/>
      <c r="AJ138" s="550"/>
    </row>
    <row r="139" spans="2:36">
      <c r="B139" s="550"/>
      <c r="C139" s="550"/>
      <c r="D139" s="550"/>
      <c r="E139" s="550"/>
      <c r="F139" s="550"/>
      <c r="G139" s="550"/>
      <c r="H139" s="550"/>
      <c r="I139" s="550"/>
      <c r="J139" s="550"/>
      <c r="K139" s="550"/>
      <c r="L139" s="550"/>
      <c r="M139" s="550"/>
      <c r="N139" s="550"/>
      <c r="O139" s="550"/>
      <c r="P139" s="550"/>
      <c r="Q139" s="550"/>
      <c r="R139" s="550"/>
      <c r="S139" s="550"/>
      <c r="T139" s="550"/>
      <c r="U139" s="550"/>
      <c r="V139" s="550"/>
      <c r="W139" s="550"/>
      <c r="X139" s="550"/>
      <c r="Y139" s="550"/>
      <c r="Z139" s="550"/>
      <c r="AA139" s="550"/>
      <c r="AB139" s="550"/>
      <c r="AC139" s="550"/>
      <c r="AD139" s="550"/>
      <c r="AE139" s="550"/>
      <c r="AF139" s="550"/>
      <c r="AG139" s="550"/>
      <c r="AH139" s="550"/>
      <c r="AI139" s="550"/>
      <c r="AJ139" s="550"/>
    </row>
    <row r="140" spans="2:36">
      <c r="B140" s="550"/>
      <c r="C140" s="550"/>
      <c r="D140" s="550"/>
      <c r="E140" s="550"/>
      <c r="F140" s="550"/>
      <c r="G140" s="550"/>
      <c r="H140" s="550"/>
      <c r="I140" s="550"/>
      <c r="J140" s="550"/>
      <c r="K140" s="550"/>
      <c r="L140" s="550"/>
      <c r="M140" s="550"/>
      <c r="N140" s="550"/>
      <c r="O140" s="550"/>
      <c r="P140" s="550"/>
      <c r="Q140" s="550"/>
      <c r="R140" s="550"/>
      <c r="S140" s="550"/>
      <c r="T140" s="550"/>
      <c r="U140" s="550"/>
      <c r="V140" s="550"/>
      <c r="W140" s="550"/>
      <c r="X140" s="550"/>
      <c r="Y140" s="550"/>
      <c r="Z140" s="550"/>
      <c r="AA140" s="550"/>
      <c r="AB140" s="550"/>
      <c r="AC140" s="550"/>
      <c r="AD140" s="550"/>
      <c r="AE140" s="550"/>
      <c r="AF140" s="550"/>
      <c r="AG140" s="550"/>
      <c r="AH140" s="550"/>
      <c r="AI140" s="550"/>
      <c r="AJ140" s="550"/>
    </row>
    <row r="141" spans="2:36">
      <c r="B141" s="550"/>
      <c r="C141" s="550"/>
      <c r="D141" s="550"/>
      <c r="E141" s="550"/>
      <c r="F141" s="550"/>
      <c r="G141" s="550"/>
      <c r="H141" s="550"/>
      <c r="I141" s="550"/>
      <c r="J141" s="550"/>
      <c r="K141" s="550"/>
      <c r="L141" s="550"/>
      <c r="M141" s="550"/>
      <c r="N141" s="550"/>
      <c r="O141" s="550"/>
      <c r="P141" s="550"/>
      <c r="Q141" s="550"/>
      <c r="R141" s="550"/>
      <c r="S141" s="550"/>
      <c r="T141" s="550"/>
      <c r="U141" s="550"/>
      <c r="V141" s="550"/>
      <c r="W141" s="550"/>
      <c r="X141" s="550"/>
      <c r="Y141" s="550"/>
      <c r="Z141" s="550"/>
      <c r="AA141" s="550"/>
      <c r="AB141" s="550"/>
      <c r="AC141" s="550"/>
      <c r="AD141" s="550"/>
      <c r="AE141" s="550"/>
      <c r="AF141" s="550"/>
      <c r="AG141" s="550"/>
      <c r="AH141" s="550"/>
      <c r="AI141" s="550"/>
      <c r="AJ141" s="550"/>
    </row>
    <row r="142" spans="2:36">
      <c r="B142" s="550"/>
      <c r="C142" s="550"/>
      <c r="D142" s="550"/>
      <c r="E142" s="550"/>
      <c r="F142" s="550"/>
      <c r="G142" s="550"/>
      <c r="H142" s="550"/>
      <c r="I142" s="550"/>
      <c r="J142" s="550"/>
      <c r="K142" s="550"/>
      <c r="L142" s="550"/>
      <c r="M142" s="550"/>
      <c r="N142" s="550"/>
      <c r="O142" s="550"/>
      <c r="P142" s="550"/>
      <c r="Q142" s="550"/>
      <c r="R142" s="550"/>
      <c r="S142" s="550"/>
      <c r="T142" s="550"/>
      <c r="U142" s="550"/>
      <c r="V142" s="550"/>
      <c r="W142" s="550"/>
      <c r="X142" s="550"/>
      <c r="Y142" s="550"/>
      <c r="Z142" s="550"/>
      <c r="AA142" s="550"/>
      <c r="AB142" s="550"/>
      <c r="AC142" s="550"/>
      <c r="AD142" s="550"/>
      <c r="AE142" s="550"/>
      <c r="AF142" s="550"/>
      <c r="AG142" s="550"/>
      <c r="AH142" s="550"/>
      <c r="AI142" s="550"/>
      <c r="AJ142" s="550"/>
    </row>
    <row r="143" spans="2:36">
      <c r="B143" s="550"/>
      <c r="C143" s="550"/>
      <c r="D143" s="550"/>
      <c r="E143" s="550"/>
      <c r="F143" s="550"/>
      <c r="G143" s="550"/>
      <c r="H143" s="550"/>
      <c r="I143" s="550"/>
      <c r="J143" s="550"/>
      <c r="K143" s="550"/>
      <c r="L143" s="550"/>
      <c r="M143" s="550"/>
      <c r="N143" s="550"/>
      <c r="O143" s="550"/>
      <c r="P143" s="550"/>
      <c r="Q143" s="550"/>
      <c r="R143" s="550"/>
      <c r="S143" s="550"/>
      <c r="T143" s="550"/>
      <c r="U143" s="550"/>
      <c r="V143" s="550"/>
      <c r="W143" s="550"/>
      <c r="X143" s="550"/>
      <c r="Y143" s="550"/>
      <c r="Z143" s="550"/>
      <c r="AA143" s="550"/>
      <c r="AB143" s="550"/>
      <c r="AC143" s="550"/>
      <c r="AD143" s="550"/>
      <c r="AE143" s="550"/>
      <c r="AF143" s="550"/>
      <c r="AG143" s="550"/>
      <c r="AH143" s="550"/>
      <c r="AI143" s="550"/>
      <c r="AJ143" s="550"/>
    </row>
    <row r="144" spans="2:36">
      <c r="B144" s="550"/>
      <c r="C144" s="550"/>
      <c r="D144" s="550"/>
      <c r="E144" s="550"/>
      <c r="F144" s="550"/>
      <c r="G144" s="550"/>
      <c r="H144" s="550"/>
      <c r="I144" s="550"/>
      <c r="J144" s="550"/>
      <c r="K144" s="550"/>
      <c r="L144" s="550"/>
      <c r="M144" s="550"/>
      <c r="N144" s="550"/>
      <c r="O144" s="550"/>
      <c r="P144" s="550"/>
      <c r="Q144" s="550"/>
      <c r="R144" s="550"/>
      <c r="S144" s="550"/>
      <c r="T144" s="550"/>
      <c r="U144" s="550"/>
      <c r="V144" s="550"/>
      <c r="W144" s="550"/>
      <c r="X144" s="550"/>
      <c r="Y144" s="550"/>
      <c r="Z144" s="550"/>
      <c r="AA144" s="550"/>
      <c r="AB144" s="550"/>
      <c r="AC144" s="550"/>
      <c r="AD144" s="550"/>
      <c r="AE144" s="550"/>
      <c r="AF144" s="550"/>
      <c r="AG144" s="550"/>
      <c r="AH144" s="550"/>
      <c r="AI144" s="550"/>
      <c r="AJ144" s="550"/>
    </row>
    <row r="145" spans="2:36">
      <c r="B145" s="550"/>
      <c r="C145" s="550"/>
      <c r="D145" s="550"/>
      <c r="E145" s="550"/>
      <c r="F145" s="550"/>
      <c r="G145" s="550"/>
      <c r="H145" s="550"/>
      <c r="I145" s="550"/>
      <c r="J145" s="550"/>
      <c r="K145" s="550"/>
      <c r="L145" s="550"/>
      <c r="M145" s="550"/>
      <c r="N145" s="550"/>
      <c r="O145" s="550"/>
      <c r="P145" s="550"/>
      <c r="Q145" s="550"/>
      <c r="R145" s="550"/>
      <c r="S145" s="550"/>
      <c r="T145" s="550"/>
      <c r="U145" s="550"/>
      <c r="V145" s="550"/>
      <c r="W145" s="550"/>
      <c r="X145" s="550"/>
      <c r="Y145" s="550"/>
      <c r="Z145" s="550"/>
      <c r="AA145" s="550"/>
      <c r="AB145" s="550"/>
      <c r="AC145" s="550"/>
      <c r="AD145" s="550"/>
      <c r="AE145" s="550"/>
      <c r="AF145" s="550"/>
      <c r="AG145" s="550"/>
      <c r="AH145" s="550"/>
      <c r="AI145" s="550"/>
      <c r="AJ145" s="550"/>
    </row>
    <row r="146" spans="2:36">
      <c r="B146" s="550"/>
      <c r="C146" s="550"/>
      <c r="D146" s="550"/>
      <c r="E146" s="550"/>
      <c r="F146" s="550"/>
      <c r="G146" s="550"/>
      <c r="H146" s="550"/>
      <c r="I146" s="550"/>
      <c r="J146" s="550"/>
      <c r="K146" s="550"/>
      <c r="L146" s="550"/>
      <c r="M146" s="550"/>
      <c r="N146" s="550"/>
      <c r="O146" s="550"/>
      <c r="P146" s="550"/>
      <c r="Q146" s="550"/>
      <c r="R146" s="550"/>
      <c r="S146" s="550"/>
      <c r="T146" s="550"/>
      <c r="U146" s="550"/>
      <c r="V146" s="550"/>
      <c r="W146" s="550"/>
      <c r="X146" s="550"/>
      <c r="Y146" s="550"/>
      <c r="Z146" s="550"/>
      <c r="AA146" s="550"/>
      <c r="AB146" s="550"/>
      <c r="AC146" s="550"/>
      <c r="AD146" s="550"/>
      <c r="AE146" s="550"/>
      <c r="AF146" s="550"/>
      <c r="AG146" s="550"/>
      <c r="AH146" s="550"/>
      <c r="AI146" s="550"/>
      <c r="AJ146" s="550"/>
    </row>
    <row r="147" spans="2:36">
      <c r="B147" s="550"/>
      <c r="C147" s="550"/>
      <c r="D147" s="550"/>
      <c r="E147" s="550"/>
      <c r="F147" s="550"/>
      <c r="G147" s="550"/>
      <c r="H147" s="550"/>
      <c r="I147" s="550"/>
      <c r="J147" s="550"/>
      <c r="K147" s="550"/>
      <c r="L147" s="550"/>
      <c r="M147" s="550"/>
      <c r="N147" s="550"/>
      <c r="O147" s="550"/>
      <c r="P147" s="550"/>
      <c r="Q147" s="550"/>
      <c r="R147" s="550"/>
      <c r="S147" s="550"/>
      <c r="T147" s="550"/>
      <c r="U147" s="550"/>
      <c r="V147" s="550"/>
      <c r="W147" s="550"/>
      <c r="X147" s="550"/>
      <c r="Y147" s="550"/>
      <c r="Z147" s="550"/>
      <c r="AA147" s="550"/>
      <c r="AB147" s="550"/>
      <c r="AC147" s="550"/>
      <c r="AD147" s="550"/>
      <c r="AE147" s="550"/>
      <c r="AF147" s="550"/>
      <c r="AG147" s="550"/>
      <c r="AH147" s="550"/>
      <c r="AI147" s="550"/>
      <c r="AJ147" s="550"/>
    </row>
    <row r="148" spans="2:36">
      <c r="B148" s="550"/>
      <c r="C148" s="550"/>
      <c r="D148" s="550"/>
      <c r="E148" s="550"/>
      <c r="F148" s="550"/>
      <c r="G148" s="550"/>
      <c r="H148" s="550"/>
      <c r="I148" s="550"/>
      <c r="J148" s="550"/>
      <c r="K148" s="550"/>
      <c r="L148" s="550"/>
      <c r="M148" s="550"/>
      <c r="N148" s="550"/>
      <c r="O148" s="550"/>
      <c r="P148" s="550"/>
      <c r="Q148" s="550"/>
      <c r="R148" s="550"/>
      <c r="S148" s="550"/>
      <c r="T148" s="550"/>
      <c r="U148" s="550"/>
      <c r="V148" s="550"/>
      <c r="W148" s="550"/>
      <c r="X148" s="550"/>
      <c r="Y148" s="550"/>
      <c r="Z148" s="550"/>
      <c r="AA148" s="550"/>
      <c r="AB148" s="550"/>
      <c r="AC148" s="550"/>
      <c r="AD148" s="550"/>
      <c r="AE148" s="550"/>
      <c r="AF148" s="550"/>
      <c r="AG148" s="550"/>
      <c r="AH148" s="550"/>
      <c r="AI148" s="550"/>
      <c r="AJ148" s="550"/>
    </row>
    <row r="149" spans="2:36">
      <c r="B149" s="550"/>
      <c r="C149" s="550"/>
      <c r="D149" s="550"/>
      <c r="E149" s="550"/>
      <c r="F149" s="550"/>
      <c r="G149" s="550"/>
      <c r="H149" s="550"/>
      <c r="I149" s="550"/>
      <c r="J149" s="550"/>
      <c r="K149" s="550"/>
      <c r="L149" s="550"/>
      <c r="M149" s="550"/>
      <c r="N149" s="550"/>
      <c r="O149" s="550"/>
      <c r="P149" s="550"/>
      <c r="Q149" s="550"/>
      <c r="R149" s="550"/>
      <c r="S149" s="550"/>
      <c r="T149" s="550"/>
      <c r="U149" s="550"/>
      <c r="V149" s="550"/>
      <c r="W149" s="550"/>
      <c r="X149" s="550"/>
      <c r="Y149" s="550"/>
      <c r="Z149" s="550"/>
      <c r="AA149" s="550"/>
      <c r="AB149" s="550"/>
      <c r="AC149" s="550"/>
      <c r="AD149" s="550"/>
      <c r="AE149" s="550"/>
      <c r="AF149" s="550"/>
      <c r="AG149" s="550"/>
      <c r="AH149" s="550"/>
      <c r="AI149" s="550"/>
      <c r="AJ149" s="550"/>
    </row>
    <row r="150" spans="2:36">
      <c r="B150" s="550"/>
      <c r="C150" s="550"/>
      <c r="D150" s="550"/>
      <c r="E150" s="550"/>
      <c r="F150" s="550"/>
      <c r="G150" s="550"/>
      <c r="H150" s="550"/>
      <c r="I150" s="550"/>
      <c r="J150" s="550"/>
      <c r="K150" s="550"/>
      <c r="L150" s="550"/>
      <c r="M150" s="550"/>
      <c r="N150" s="550"/>
      <c r="O150" s="550"/>
      <c r="P150" s="550"/>
      <c r="Q150" s="550"/>
      <c r="R150" s="550"/>
      <c r="S150" s="550"/>
      <c r="T150" s="550"/>
      <c r="U150" s="550"/>
      <c r="V150" s="550"/>
      <c r="W150" s="550"/>
      <c r="X150" s="550"/>
      <c r="Y150" s="550"/>
      <c r="Z150" s="550"/>
      <c r="AA150" s="550"/>
      <c r="AB150" s="550"/>
      <c r="AC150" s="550"/>
      <c r="AD150" s="550"/>
      <c r="AE150" s="550"/>
      <c r="AF150" s="550"/>
      <c r="AG150" s="550"/>
      <c r="AH150" s="550"/>
      <c r="AI150" s="550"/>
      <c r="AJ150" s="550"/>
    </row>
    <row r="151" spans="2:36">
      <c r="B151" s="550"/>
      <c r="C151" s="550"/>
      <c r="D151" s="550"/>
      <c r="E151" s="550"/>
      <c r="F151" s="550"/>
      <c r="G151" s="550"/>
      <c r="H151" s="550"/>
      <c r="I151" s="550"/>
      <c r="J151" s="550"/>
      <c r="K151" s="550"/>
      <c r="L151" s="550"/>
      <c r="M151" s="550"/>
      <c r="N151" s="550"/>
      <c r="O151" s="550"/>
      <c r="P151" s="550"/>
      <c r="Q151" s="550"/>
      <c r="R151" s="550"/>
      <c r="S151" s="550"/>
      <c r="T151" s="550"/>
      <c r="U151" s="550"/>
      <c r="V151" s="550"/>
      <c r="W151" s="550"/>
      <c r="X151" s="550"/>
      <c r="Y151" s="550"/>
      <c r="Z151" s="550"/>
      <c r="AA151" s="550"/>
      <c r="AB151" s="550"/>
      <c r="AC151" s="550"/>
      <c r="AD151" s="550"/>
      <c r="AE151" s="550"/>
      <c r="AF151" s="550"/>
      <c r="AG151" s="550"/>
      <c r="AH151" s="550"/>
      <c r="AI151" s="550"/>
      <c r="AJ151" s="550"/>
    </row>
    <row r="152" spans="2:36">
      <c r="B152" s="550"/>
      <c r="C152" s="550"/>
      <c r="D152" s="550"/>
      <c r="E152" s="550"/>
      <c r="F152" s="550"/>
      <c r="G152" s="550"/>
      <c r="H152" s="550"/>
      <c r="I152" s="550"/>
      <c r="J152" s="550"/>
      <c r="K152" s="550"/>
      <c r="L152" s="550"/>
      <c r="M152" s="550"/>
      <c r="N152" s="550"/>
      <c r="O152" s="550"/>
      <c r="P152" s="550"/>
      <c r="Q152" s="550"/>
      <c r="R152" s="550"/>
      <c r="S152" s="550"/>
      <c r="T152" s="550"/>
      <c r="U152" s="550"/>
      <c r="V152" s="550"/>
      <c r="W152" s="550"/>
      <c r="X152" s="550"/>
      <c r="Y152" s="550"/>
      <c r="Z152" s="550"/>
      <c r="AA152" s="550"/>
      <c r="AB152" s="550"/>
      <c r="AC152" s="550"/>
      <c r="AD152" s="550"/>
      <c r="AE152" s="550"/>
      <c r="AF152" s="550"/>
      <c r="AG152" s="550"/>
      <c r="AH152" s="550"/>
      <c r="AI152" s="550"/>
      <c r="AJ152" s="550"/>
    </row>
    <row r="153" spans="2:36">
      <c r="B153" s="550"/>
      <c r="C153" s="550"/>
      <c r="D153" s="550"/>
      <c r="E153" s="550"/>
      <c r="F153" s="550"/>
      <c r="G153" s="550"/>
      <c r="H153" s="550"/>
      <c r="I153" s="550"/>
      <c r="J153" s="550"/>
      <c r="K153" s="550"/>
      <c r="L153" s="550"/>
      <c r="M153" s="550"/>
      <c r="N153" s="550"/>
      <c r="O153" s="550"/>
      <c r="P153" s="550"/>
      <c r="Q153" s="550"/>
      <c r="R153" s="550"/>
      <c r="S153" s="550"/>
      <c r="T153" s="550"/>
      <c r="U153" s="550"/>
      <c r="V153" s="550"/>
      <c r="W153" s="550"/>
      <c r="X153" s="550"/>
      <c r="Y153" s="550"/>
      <c r="Z153" s="550"/>
      <c r="AA153" s="550"/>
      <c r="AB153" s="550"/>
      <c r="AC153" s="550"/>
      <c r="AD153" s="550"/>
      <c r="AE153" s="550"/>
      <c r="AF153" s="550"/>
      <c r="AG153" s="550"/>
      <c r="AH153" s="550"/>
      <c r="AI153" s="550"/>
      <c r="AJ153" s="550"/>
    </row>
    <row r="154" spans="2:36">
      <c r="B154" s="550"/>
      <c r="C154" s="550"/>
      <c r="D154" s="550"/>
      <c r="E154" s="550"/>
      <c r="F154" s="550"/>
      <c r="G154" s="550"/>
      <c r="H154" s="550"/>
      <c r="I154" s="550"/>
      <c r="J154" s="550"/>
      <c r="K154" s="550"/>
      <c r="L154" s="550"/>
      <c r="M154" s="550"/>
      <c r="N154" s="550"/>
      <c r="O154" s="550"/>
      <c r="P154" s="550"/>
      <c r="Q154" s="550"/>
      <c r="R154" s="550"/>
      <c r="S154" s="550"/>
      <c r="T154" s="550"/>
      <c r="U154" s="550"/>
      <c r="V154" s="550"/>
      <c r="W154" s="550"/>
      <c r="X154" s="550"/>
      <c r="Y154" s="550"/>
      <c r="Z154" s="550"/>
      <c r="AA154" s="550"/>
      <c r="AB154" s="550"/>
      <c r="AC154" s="550"/>
      <c r="AD154" s="550"/>
      <c r="AE154" s="550"/>
      <c r="AF154" s="550"/>
      <c r="AG154" s="550"/>
      <c r="AH154" s="550"/>
      <c r="AI154" s="550"/>
      <c r="AJ154" s="550"/>
    </row>
    <row r="155" spans="2:36">
      <c r="B155" s="550"/>
      <c r="C155" s="550"/>
      <c r="D155" s="550"/>
      <c r="E155" s="550"/>
      <c r="F155" s="550"/>
      <c r="G155" s="550"/>
      <c r="H155" s="550"/>
      <c r="I155" s="550"/>
      <c r="J155" s="550"/>
      <c r="K155" s="550"/>
      <c r="L155" s="550"/>
      <c r="M155" s="550"/>
      <c r="N155" s="550"/>
      <c r="O155" s="550"/>
      <c r="P155" s="550"/>
      <c r="Q155" s="550"/>
      <c r="R155" s="550"/>
      <c r="S155" s="550"/>
      <c r="T155" s="550"/>
      <c r="U155" s="550"/>
      <c r="V155" s="550"/>
      <c r="W155" s="550"/>
      <c r="X155" s="550"/>
      <c r="Y155" s="550"/>
      <c r="Z155" s="550"/>
      <c r="AA155" s="550"/>
      <c r="AB155" s="550"/>
      <c r="AC155" s="550"/>
      <c r="AD155" s="550"/>
      <c r="AE155" s="550"/>
      <c r="AF155" s="550"/>
      <c r="AG155" s="550"/>
      <c r="AH155" s="550"/>
      <c r="AI155" s="550"/>
      <c r="AJ155" s="550"/>
    </row>
    <row r="156" spans="2:36">
      <c r="B156" s="550"/>
      <c r="C156" s="550"/>
      <c r="D156" s="550"/>
      <c r="E156" s="550"/>
      <c r="F156" s="550"/>
      <c r="G156" s="550"/>
      <c r="H156" s="550"/>
      <c r="I156" s="550"/>
      <c r="J156" s="550"/>
      <c r="K156" s="550"/>
      <c r="L156" s="550"/>
      <c r="M156" s="550"/>
      <c r="N156" s="550"/>
      <c r="O156" s="550"/>
      <c r="P156" s="550"/>
      <c r="Q156" s="550"/>
      <c r="R156" s="550"/>
      <c r="S156" s="550"/>
      <c r="T156" s="550"/>
      <c r="U156" s="550"/>
      <c r="V156" s="550"/>
      <c r="W156" s="550"/>
      <c r="X156" s="550"/>
      <c r="Y156" s="550"/>
      <c r="Z156" s="550"/>
      <c r="AA156" s="550"/>
      <c r="AB156" s="550"/>
      <c r="AC156" s="550"/>
      <c r="AD156" s="550"/>
      <c r="AE156" s="550"/>
      <c r="AF156" s="550"/>
      <c r="AG156" s="550"/>
      <c r="AH156" s="550"/>
      <c r="AI156" s="550"/>
      <c r="AJ156" s="550"/>
    </row>
    <row r="157" spans="2:36">
      <c r="B157" s="550"/>
      <c r="C157" s="550"/>
      <c r="D157" s="550"/>
      <c r="E157" s="550"/>
      <c r="F157" s="550"/>
      <c r="G157" s="550"/>
      <c r="H157" s="550"/>
      <c r="I157" s="550"/>
      <c r="J157" s="550"/>
      <c r="K157" s="550"/>
      <c r="L157" s="550"/>
      <c r="M157" s="550"/>
      <c r="N157" s="550"/>
      <c r="O157" s="550"/>
      <c r="P157" s="550"/>
      <c r="Q157" s="550"/>
      <c r="R157" s="550"/>
      <c r="S157" s="550"/>
      <c r="T157" s="550"/>
      <c r="U157" s="550"/>
      <c r="V157" s="550"/>
      <c r="W157" s="550"/>
      <c r="X157" s="550"/>
      <c r="Y157" s="550"/>
      <c r="Z157" s="550"/>
      <c r="AA157" s="550"/>
      <c r="AB157" s="550"/>
      <c r="AC157" s="550"/>
      <c r="AD157" s="550"/>
      <c r="AE157" s="550"/>
      <c r="AF157" s="550"/>
      <c r="AG157" s="550"/>
      <c r="AH157" s="550"/>
      <c r="AI157" s="550"/>
      <c r="AJ157" s="550"/>
    </row>
    <row r="158" spans="2:36">
      <c r="B158" s="550"/>
      <c r="C158" s="550"/>
      <c r="D158" s="550"/>
      <c r="E158" s="550"/>
      <c r="F158" s="550"/>
      <c r="G158" s="550"/>
      <c r="H158" s="550"/>
      <c r="I158" s="550"/>
      <c r="J158" s="550"/>
      <c r="K158" s="550"/>
      <c r="L158" s="550"/>
      <c r="M158" s="550"/>
      <c r="N158" s="550"/>
      <c r="O158" s="550"/>
      <c r="P158" s="550"/>
      <c r="Q158" s="550"/>
      <c r="R158" s="550"/>
      <c r="S158" s="550"/>
      <c r="T158" s="550"/>
      <c r="U158" s="550"/>
      <c r="V158" s="550"/>
      <c r="W158" s="550"/>
      <c r="X158" s="550"/>
      <c r="Y158" s="550"/>
      <c r="Z158" s="550"/>
      <c r="AA158" s="550"/>
      <c r="AB158" s="550"/>
      <c r="AC158" s="550"/>
      <c r="AD158" s="550"/>
      <c r="AE158" s="550"/>
      <c r="AF158" s="550"/>
      <c r="AG158" s="550"/>
      <c r="AH158" s="550"/>
      <c r="AI158" s="550"/>
      <c r="AJ158" s="550"/>
    </row>
    <row r="159" spans="2:36">
      <c r="B159" s="550"/>
      <c r="C159" s="550"/>
      <c r="D159" s="550"/>
      <c r="E159" s="550"/>
      <c r="F159" s="550"/>
      <c r="G159" s="550"/>
      <c r="H159" s="550"/>
      <c r="I159" s="550"/>
      <c r="J159" s="550"/>
      <c r="K159" s="550"/>
      <c r="L159" s="550"/>
      <c r="M159" s="550"/>
      <c r="N159" s="550"/>
      <c r="O159" s="550"/>
      <c r="P159" s="550"/>
      <c r="Q159" s="550"/>
      <c r="R159" s="550"/>
      <c r="S159" s="550"/>
      <c r="T159" s="550"/>
      <c r="U159" s="550"/>
      <c r="V159" s="550"/>
      <c r="W159" s="550"/>
      <c r="X159" s="550"/>
      <c r="Y159" s="550"/>
      <c r="Z159" s="550"/>
      <c r="AA159" s="550"/>
      <c r="AB159" s="550"/>
      <c r="AC159" s="550"/>
      <c r="AD159" s="550"/>
      <c r="AE159" s="550"/>
      <c r="AF159" s="550"/>
      <c r="AG159" s="550"/>
      <c r="AH159" s="550"/>
      <c r="AI159" s="550"/>
      <c r="AJ159" s="550"/>
    </row>
    <row r="160" spans="2:36">
      <c r="B160" s="550"/>
      <c r="C160" s="550"/>
      <c r="D160" s="550"/>
      <c r="E160" s="550"/>
      <c r="F160" s="550"/>
      <c r="G160" s="550"/>
      <c r="H160" s="550"/>
      <c r="I160" s="550"/>
      <c r="J160" s="550"/>
      <c r="K160" s="550"/>
      <c r="L160" s="550"/>
      <c r="M160" s="550"/>
      <c r="N160" s="550"/>
      <c r="O160" s="550"/>
      <c r="P160" s="550"/>
      <c r="Q160" s="550"/>
      <c r="R160" s="550"/>
      <c r="S160" s="550"/>
      <c r="T160" s="550"/>
      <c r="U160" s="550"/>
      <c r="V160" s="550"/>
      <c r="W160" s="550"/>
      <c r="X160" s="550"/>
      <c r="Y160" s="550"/>
      <c r="Z160" s="550"/>
      <c r="AA160" s="550"/>
      <c r="AB160" s="550"/>
      <c r="AC160" s="550"/>
      <c r="AD160" s="550"/>
      <c r="AE160" s="550"/>
      <c r="AF160" s="550"/>
      <c r="AG160" s="550"/>
      <c r="AH160" s="550"/>
      <c r="AI160" s="550"/>
      <c r="AJ160" s="550"/>
    </row>
    <row r="161" spans="2:36">
      <c r="B161" s="550"/>
      <c r="C161" s="550"/>
      <c r="D161" s="550"/>
      <c r="E161" s="550"/>
      <c r="F161" s="550"/>
      <c r="G161" s="550"/>
      <c r="H161" s="550"/>
      <c r="I161" s="550"/>
      <c r="J161" s="550"/>
      <c r="K161" s="550"/>
      <c r="L161" s="550"/>
      <c r="M161" s="550"/>
      <c r="N161" s="550"/>
      <c r="O161" s="550"/>
      <c r="P161" s="550"/>
      <c r="Q161" s="550"/>
      <c r="R161" s="550"/>
      <c r="S161" s="550"/>
      <c r="T161" s="550"/>
      <c r="U161" s="550"/>
      <c r="V161" s="550"/>
      <c r="W161" s="550"/>
      <c r="X161" s="550"/>
      <c r="Y161" s="550"/>
      <c r="Z161" s="550"/>
      <c r="AA161" s="550"/>
      <c r="AB161" s="550"/>
      <c r="AC161" s="550"/>
      <c r="AD161" s="550"/>
      <c r="AE161" s="550"/>
      <c r="AF161" s="550"/>
      <c r="AG161" s="550"/>
      <c r="AH161" s="550"/>
      <c r="AI161" s="550"/>
      <c r="AJ161" s="550"/>
    </row>
    <row r="162" spans="2:36">
      <c r="B162" s="550"/>
      <c r="C162" s="550"/>
      <c r="D162" s="550"/>
      <c r="E162" s="550"/>
      <c r="F162" s="550"/>
      <c r="G162" s="550"/>
      <c r="H162" s="550"/>
      <c r="I162" s="550"/>
      <c r="J162" s="550"/>
      <c r="K162" s="550"/>
      <c r="L162" s="550"/>
      <c r="M162" s="550"/>
      <c r="N162" s="550"/>
      <c r="O162" s="550"/>
      <c r="P162" s="550"/>
      <c r="Q162" s="550"/>
      <c r="R162" s="550"/>
      <c r="S162" s="550"/>
      <c r="T162" s="550"/>
      <c r="U162" s="550"/>
      <c r="V162" s="550"/>
      <c r="W162" s="550"/>
      <c r="X162" s="550"/>
      <c r="Y162" s="550"/>
      <c r="Z162" s="550"/>
      <c r="AA162" s="550"/>
      <c r="AB162" s="550"/>
      <c r="AC162" s="550"/>
      <c r="AD162" s="550"/>
      <c r="AE162" s="550"/>
      <c r="AF162" s="550"/>
      <c r="AG162" s="550"/>
      <c r="AH162" s="550"/>
      <c r="AI162" s="550"/>
      <c r="AJ162" s="550"/>
    </row>
    <row r="163" spans="2:36">
      <c r="B163" s="550"/>
      <c r="C163" s="550"/>
      <c r="D163" s="550"/>
      <c r="E163" s="550"/>
      <c r="F163" s="550"/>
      <c r="G163" s="550"/>
      <c r="H163" s="550"/>
      <c r="I163" s="550"/>
      <c r="J163" s="550"/>
      <c r="K163" s="550"/>
      <c r="L163" s="550"/>
      <c r="M163" s="550"/>
      <c r="N163" s="550"/>
      <c r="O163" s="550"/>
      <c r="P163" s="550"/>
      <c r="Q163" s="550"/>
      <c r="R163" s="550"/>
      <c r="S163" s="550"/>
      <c r="T163" s="550"/>
      <c r="U163" s="550"/>
      <c r="V163" s="550"/>
      <c r="W163" s="550"/>
      <c r="X163" s="550"/>
      <c r="Y163" s="550"/>
      <c r="Z163" s="550"/>
      <c r="AA163" s="550"/>
      <c r="AB163" s="550"/>
      <c r="AC163" s="550"/>
      <c r="AD163" s="550"/>
      <c r="AE163" s="550"/>
      <c r="AF163" s="550"/>
      <c r="AG163" s="550"/>
      <c r="AH163" s="550"/>
      <c r="AI163" s="550"/>
      <c r="AJ163" s="550"/>
    </row>
    <row r="164" spans="2:36">
      <c r="B164" s="550"/>
      <c r="C164" s="550"/>
      <c r="D164" s="550"/>
      <c r="E164" s="550"/>
      <c r="F164" s="550"/>
      <c r="G164" s="550"/>
      <c r="H164" s="550"/>
      <c r="I164" s="550"/>
      <c r="J164" s="550"/>
      <c r="K164" s="550"/>
      <c r="L164" s="550"/>
      <c r="M164" s="550"/>
      <c r="N164" s="550"/>
      <c r="O164" s="550"/>
      <c r="P164" s="550"/>
      <c r="Q164" s="550"/>
      <c r="R164" s="550"/>
      <c r="S164" s="550"/>
      <c r="T164" s="550"/>
      <c r="U164" s="550"/>
      <c r="V164" s="550"/>
      <c r="W164" s="550"/>
      <c r="X164" s="550"/>
      <c r="Y164" s="550"/>
      <c r="Z164" s="550"/>
      <c r="AA164" s="550"/>
      <c r="AB164" s="550"/>
      <c r="AC164" s="550"/>
      <c r="AD164" s="550"/>
      <c r="AE164" s="550"/>
      <c r="AF164" s="550"/>
      <c r="AG164" s="550"/>
      <c r="AH164" s="550"/>
      <c r="AI164" s="550"/>
      <c r="AJ164" s="550"/>
    </row>
    <row r="165" spans="2:36">
      <c r="B165" s="550"/>
      <c r="C165" s="550"/>
      <c r="D165" s="550"/>
      <c r="E165" s="550"/>
      <c r="F165" s="550"/>
      <c r="G165" s="550"/>
      <c r="H165" s="550"/>
      <c r="I165" s="550"/>
      <c r="J165" s="550"/>
      <c r="K165" s="550"/>
      <c r="L165" s="550"/>
      <c r="M165" s="550"/>
      <c r="N165" s="550"/>
      <c r="O165" s="550"/>
      <c r="P165" s="550"/>
      <c r="Q165" s="550"/>
      <c r="R165" s="550"/>
      <c r="S165" s="550"/>
      <c r="T165" s="550"/>
      <c r="U165" s="550"/>
      <c r="V165" s="550"/>
      <c r="W165" s="550"/>
      <c r="X165" s="550"/>
      <c r="Y165" s="550"/>
      <c r="Z165" s="550"/>
      <c r="AA165" s="550"/>
      <c r="AB165" s="550"/>
      <c r="AC165" s="550"/>
      <c r="AD165" s="550"/>
      <c r="AE165" s="550"/>
      <c r="AF165" s="550"/>
      <c r="AG165" s="550"/>
      <c r="AH165" s="550"/>
      <c r="AI165" s="550"/>
      <c r="AJ165" s="550"/>
    </row>
    <row r="166" spans="2:36">
      <c r="B166" s="550"/>
      <c r="C166" s="550"/>
      <c r="D166" s="550"/>
      <c r="E166" s="550"/>
      <c r="F166" s="550"/>
      <c r="G166" s="550"/>
      <c r="H166" s="550"/>
      <c r="I166" s="550"/>
      <c r="J166" s="550"/>
      <c r="K166" s="550"/>
      <c r="L166" s="550"/>
      <c r="M166" s="550"/>
      <c r="N166" s="550"/>
      <c r="O166" s="550"/>
      <c r="P166" s="550"/>
      <c r="Q166" s="550"/>
      <c r="R166" s="550"/>
      <c r="S166" s="550"/>
      <c r="T166" s="550"/>
      <c r="U166" s="550"/>
      <c r="V166" s="550"/>
      <c r="W166" s="550"/>
      <c r="X166" s="550"/>
      <c r="Y166" s="550"/>
      <c r="Z166" s="550"/>
      <c r="AA166" s="550"/>
      <c r="AB166" s="550"/>
      <c r="AC166" s="550"/>
      <c r="AD166" s="550"/>
      <c r="AE166" s="550"/>
      <c r="AF166" s="550"/>
      <c r="AG166" s="550"/>
      <c r="AH166" s="550"/>
      <c r="AI166" s="550"/>
      <c r="AJ166" s="550"/>
    </row>
    <row r="167" spans="2:36">
      <c r="B167" s="550"/>
      <c r="C167" s="550"/>
      <c r="D167" s="550"/>
      <c r="E167" s="550"/>
      <c r="F167" s="550"/>
      <c r="G167" s="550"/>
      <c r="H167" s="550"/>
      <c r="I167" s="550"/>
      <c r="J167" s="550"/>
      <c r="K167" s="550"/>
      <c r="L167" s="550"/>
      <c r="M167" s="550"/>
      <c r="N167" s="550"/>
      <c r="O167" s="550"/>
      <c r="P167" s="550"/>
      <c r="Q167" s="550"/>
      <c r="R167" s="550"/>
      <c r="S167" s="550"/>
      <c r="T167" s="550"/>
      <c r="U167" s="550"/>
      <c r="V167" s="550"/>
      <c r="W167" s="550"/>
      <c r="X167" s="550"/>
      <c r="Y167" s="550"/>
      <c r="Z167" s="550"/>
      <c r="AA167" s="550"/>
      <c r="AB167" s="550"/>
      <c r="AC167" s="550"/>
      <c r="AD167" s="550"/>
      <c r="AE167" s="550"/>
      <c r="AF167" s="550"/>
      <c r="AG167" s="550"/>
      <c r="AH167" s="550"/>
      <c r="AI167" s="550"/>
      <c r="AJ167" s="550"/>
    </row>
    <row r="168" spans="2:36">
      <c r="B168" s="550"/>
      <c r="C168" s="550"/>
      <c r="D168" s="550"/>
      <c r="E168" s="550"/>
      <c r="F168" s="550"/>
      <c r="G168" s="550"/>
      <c r="H168" s="550"/>
      <c r="I168" s="550"/>
      <c r="J168" s="550"/>
      <c r="K168" s="550"/>
      <c r="L168" s="550"/>
      <c r="M168" s="550"/>
      <c r="N168" s="550"/>
      <c r="O168" s="550"/>
      <c r="P168" s="550"/>
      <c r="Q168" s="550"/>
      <c r="R168" s="550"/>
      <c r="S168" s="550"/>
      <c r="T168" s="550"/>
      <c r="U168" s="550"/>
      <c r="V168" s="550"/>
      <c r="W168" s="550"/>
      <c r="X168" s="550"/>
      <c r="Y168" s="550"/>
      <c r="Z168" s="550"/>
      <c r="AA168" s="550"/>
      <c r="AB168" s="550"/>
      <c r="AC168" s="550"/>
      <c r="AD168" s="550"/>
      <c r="AE168" s="550"/>
      <c r="AF168" s="550"/>
      <c r="AG168" s="550"/>
      <c r="AH168" s="550"/>
      <c r="AI168" s="550"/>
      <c r="AJ168" s="550"/>
    </row>
    <row r="169" spans="2:36">
      <c r="B169" s="550"/>
      <c r="C169" s="550"/>
      <c r="D169" s="550"/>
      <c r="E169" s="550"/>
      <c r="F169" s="550"/>
      <c r="G169" s="550"/>
      <c r="H169" s="550"/>
      <c r="I169" s="550"/>
      <c r="J169" s="550"/>
      <c r="K169" s="550"/>
      <c r="L169" s="550"/>
      <c r="M169" s="550"/>
      <c r="N169" s="550"/>
      <c r="O169" s="550"/>
      <c r="P169" s="550"/>
      <c r="Q169" s="550"/>
      <c r="R169" s="550"/>
      <c r="S169" s="550"/>
      <c r="T169" s="550"/>
      <c r="U169" s="550"/>
      <c r="V169" s="550"/>
      <c r="W169" s="550"/>
      <c r="X169" s="550"/>
      <c r="Y169" s="550"/>
      <c r="Z169" s="550"/>
      <c r="AA169" s="550"/>
      <c r="AB169" s="550"/>
      <c r="AC169" s="550"/>
      <c r="AD169" s="550"/>
      <c r="AE169" s="550"/>
      <c r="AF169" s="550"/>
      <c r="AG169" s="550"/>
      <c r="AH169" s="550"/>
      <c r="AI169" s="550"/>
      <c r="AJ169" s="550"/>
    </row>
    <row r="170" spans="2:36">
      <c r="B170" s="550"/>
      <c r="C170" s="550"/>
      <c r="D170" s="550"/>
      <c r="E170" s="550"/>
      <c r="F170" s="550"/>
      <c r="G170" s="550"/>
      <c r="H170" s="550"/>
      <c r="I170" s="550"/>
      <c r="J170" s="550"/>
      <c r="K170" s="550"/>
      <c r="L170" s="550"/>
      <c r="M170" s="550"/>
      <c r="N170" s="550"/>
      <c r="O170" s="550"/>
      <c r="P170" s="550"/>
      <c r="Q170" s="550"/>
      <c r="R170" s="550"/>
      <c r="S170" s="550"/>
      <c r="T170" s="550"/>
      <c r="U170" s="550"/>
      <c r="V170" s="550"/>
      <c r="W170" s="550"/>
      <c r="X170" s="550"/>
      <c r="Y170" s="550"/>
      <c r="Z170" s="550"/>
      <c r="AA170" s="550"/>
      <c r="AB170" s="550"/>
      <c r="AC170" s="550"/>
      <c r="AD170" s="550"/>
      <c r="AE170" s="550"/>
      <c r="AF170" s="550"/>
      <c r="AG170" s="550"/>
      <c r="AH170" s="550"/>
      <c r="AI170" s="550"/>
      <c r="AJ170" s="550"/>
    </row>
    <row r="171" spans="2:36">
      <c r="B171" s="550"/>
      <c r="C171" s="550"/>
      <c r="D171" s="550"/>
      <c r="E171" s="550"/>
      <c r="F171" s="550"/>
      <c r="G171" s="550"/>
      <c r="H171" s="550"/>
      <c r="I171" s="550"/>
      <c r="J171" s="550"/>
      <c r="K171" s="550"/>
      <c r="L171" s="550"/>
      <c r="M171" s="550"/>
      <c r="N171" s="550"/>
      <c r="O171" s="550"/>
      <c r="P171" s="550"/>
      <c r="Q171" s="550"/>
      <c r="R171" s="550"/>
      <c r="S171" s="550"/>
      <c r="T171" s="550"/>
      <c r="U171" s="550"/>
      <c r="V171" s="550"/>
      <c r="W171" s="550"/>
      <c r="X171" s="550"/>
      <c r="Y171" s="550"/>
      <c r="Z171" s="550"/>
      <c r="AA171" s="550"/>
      <c r="AB171" s="550"/>
      <c r="AC171" s="550"/>
      <c r="AD171" s="550"/>
      <c r="AE171" s="550"/>
      <c r="AF171" s="550"/>
      <c r="AG171" s="550"/>
      <c r="AH171" s="550"/>
      <c r="AI171" s="550"/>
      <c r="AJ171" s="550"/>
    </row>
    <row r="172" spans="2:36">
      <c r="B172" s="550"/>
      <c r="C172" s="550"/>
      <c r="D172" s="550"/>
      <c r="E172" s="550"/>
      <c r="F172" s="550"/>
      <c r="G172" s="550"/>
      <c r="H172" s="550"/>
      <c r="I172" s="550"/>
      <c r="J172" s="550"/>
      <c r="K172" s="550"/>
      <c r="L172" s="550"/>
      <c r="M172" s="550"/>
      <c r="N172" s="550"/>
      <c r="O172" s="550"/>
      <c r="P172" s="550"/>
      <c r="Q172" s="550"/>
      <c r="R172" s="550"/>
      <c r="S172" s="550"/>
      <c r="T172" s="550"/>
      <c r="U172" s="550"/>
      <c r="V172" s="550"/>
      <c r="W172" s="550"/>
      <c r="X172" s="550"/>
      <c r="Y172" s="550"/>
      <c r="Z172" s="550"/>
      <c r="AA172" s="550"/>
      <c r="AB172" s="550"/>
      <c r="AC172" s="550"/>
      <c r="AD172" s="550"/>
      <c r="AE172" s="550"/>
      <c r="AF172" s="550"/>
      <c r="AG172" s="550"/>
      <c r="AH172" s="550"/>
      <c r="AI172" s="550"/>
      <c r="AJ172" s="550"/>
    </row>
    <row r="173" spans="2:36">
      <c r="B173" s="550"/>
      <c r="C173" s="550"/>
      <c r="D173" s="550"/>
      <c r="E173" s="550"/>
      <c r="F173" s="550"/>
      <c r="G173" s="550"/>
      <c r="H173" s="550"/>
      <c r="I173" s="550"/>
      <c r="J173" s="550"/>
      <c r="K173" s="550"/>
      <c r="L173" s="550"/>
      <c r="M173" s="550"/>
      <c r="N173" s="550"/>
      <c r="O173" s="550"/>
      <c r="P173" s="550"/>
      <c r="Q173" s="550"/>
      <c r="R173" s="550"/>
      <c r="S173" s="550"/>
      <c r="T173" s="550"/>
      <c r="U173" s="550"/>
      <c r="V173" s="550"/>
      <c r="W173" s="550"/>
      <c r="X173" s="550"/>
      <c r="Y173" s="550"/>
      <c r="Z173" s="550"/>
      <c r="AA173" s="550"/>
      <c r="AB173" s="550"/>
      <c r="AC173" s="550"/>
      <c r="AD173" s="550"/>
      <c r="AE173" s="550"/>
      <c r="AF173" s="550"/>
      <c r="AG173" s="550"/>
      <c r="AH173" s="550"/>
      <c r="AI173" s="550"/>
      <c r="AJ173" s="550"/>
    </row>
    <row r="174" spans="2:36">
      <c r="B174" s="550"/>
      <c r="C174" s="550"/>
      <c r="D174" s="550"/>
      <c r="E174" s="550"/>
      <c r="F174" s="550"/>
      <c r="G174" s="550"/>
      <c r="H174" s="550"/>
      <c r="I174" s="550"/>
      <c r="J174" s="550"/>
      <c r="K174" s="550"/>
      <c r="L174" s="550"/>
      <c r="M174" s="550"/>
      <c r="N174" s="550"/>
      <c r="O174" s="550"/>
      <c r="P174" s="550"/>
      <c r="Q174" s="550"/>
      <c r="R174" s="550"/>
      <c r="S174" s="550"/>
      <c r="T174" s="550"/>
      <c r="U174" s="550"/>
      <c r="V174" s="550"/>
      <c r="W174" s="550"/>
      <c r="X174" s="550"/>
      <c r="Y174" s="550"/>
      <c r="Z174" s="550"/>
      <c r="AA174" s="550"/>
      <c r="AB174" s="550"/>
      <c r="AC174" s="550"/>
      <c r="AD174" s="550"/>
      <c r="AE174" s="550"/>
      <c r="AF174" s="550"/>
      <c r="AG174" s="550"/>
      <c r="AH174" s="550"/>
      <c r="AI174" s="550"/>
      <c r="AJ174" s="550"/>
    </row>
    <row r="175" spans="2:36">
      <c r="B175" s="550"/>
      <c r="C175" s="550"/>
      <c r="D175" s="550"/>
      <c r="E175" s="550"/>
      <c r="F175" s="550"/>
      <c r="G175" s="550"/>
      <c r="H175" s="550"/>
      <c r="I175" s="550"/>
      <c r="J175" s="550"/>
      <c r="K175" s="550"/>
      <c r="L175" s="550"/>
      <c r="M175" s="550"/>
      <c r="N175" s="550"/>
      <c r="O175" s="550"/>
      <c r="P175" s="550"/>
      <c r="Q175" s="550"/>
      <c r="R175" s="550"/>
      <c r="S175" s="550"/>
      <c r="T175" s="550"/>
      <c r="U175" s="550"/>
      <c r="V175" s="550"/>
      <c r="W175" s="550"/>
      <c r="X175" s="550"/>
      <c r="Y175" s="550"/>
      <c r="Z175" s="550"/>
      <c r="AA175" s="550"/>
      <c r="AB175" s="550"/>
      <c r="AC175" s="550"/>
      <c r="AD175" s="550"/>
      <c r="AE175" s="550"/>
      <c r="AF175" s="550"/>
      <c r="AG175" s="550"/>
      <c r="AH175" s="550"/>
      <c r="AI175" s="550"/>
      <c r="AJ175" s="550"/>
    </row>
    <row r="176" spans="2:36">
      <c r="B176" s="550"/>
      <c r="C176" s="550"/>
      <c r="D176" s="550"/>
      <c r="E176" s="550"/>
      <c r="F176" s="550"/>
      <c r="G176" s="550"/>
      <c r="H176" s="550"/>
      <c r="I176" s="550"/>
      <c r="J176" s="550"/>
      <c r="K176" s="550"/>
      <c r="L176" s="550"/>
      <c r="M176" s="550"/>
      <c r="N176" s="550"/>
      <c r="O176" s="550"/>
      <c r="P176" s="550"/>
      <c r="Q176" s="550"/>
      <c r="R176" s="550"/>
      <c r="S176" s="550"/>
      <c r="T176" s="550"/>
      <c r="U176" s="550"/>
      <c r="V176" s="550"/>
      <c r="W176" s="550"/>
      <c r="X176" s="550"/>
      <c r="Y176" s="550"/>
      <c r="Z176" s="550"/>
      <c r="AA176" s="550"/>
      <c r="AB176" s="550"/>
      <c r="AC176" s="550"/>
      <c r="AD176" s="550"/>
      <c r="AE176" s="550"/>
      <c r="AF176" s="550"/>
      <c r="AG176" s="550"/>
      <c r="AH176" s="550"/>
      <c r="AI176" s="550"/>
      <c r="AJ176" s="550"/>
    </row>
    <row r="177" spans="2:36">
      <c r="B177" s="550"/>
      <c r="C177" s="550"/>
      <c r="D177" s="550"/>
      <c r="E177" s="550"/>
      <c r="F177" s="550"/>
      <c r="G177" s="550"/>
      <c r="H177" s="550"/>
      <c r="I177" s="550"/>
      <c r="J177" s="550"/>
      <c r="K177" s="550"/>
      <c r="L177" s="550"/>
      <c r="M177" s="550"/>
      <c r="N177" s="550"/>
      <c r="O177" s="550"/>
      <c r="P177" s="550"/>
      <c r="Q177" s="550"/>
      <c r="R177" s="550"/>
      <c r="S177" s="550"/>
      <c r="T177" s="550"/>
      <c r="U177" s="550"/>
      <c r="V177" s="550"/>
      <c r="W177" s="550"/>
      <c r="X177" s="550"/>
      <c r="Y177" s="550"/>
      <c r="Z177" s="550"/>
      <c r="AA177" s="550"/>
      <c r="AB177" s="550"/>
      <c r="AC177" s="550"/>
      <c r="AD177" s="550"/>
      <c r="AE177" s="550"/>
      <c r="AF177" s="550"/>
      <c r="AG177" s="550"/>
      <c r="AH177" s="550"/>
      <c r="AI177" s="550"/>
      <c r="AJ177" s="550"/>
    </row>
    <row r="178" spans="2:36">
      <c r="B178" s="550"/>
      <c r="C178" s="550"/>
      <c r="D178" s="550"/>
      <c r="E178" s="550"/>
      <c r="F178" s="550"/>
      <c r="G178" s="550"/>
      <c r="H178" s="550"/>
      <c r="I178" s="550"/>
      <c r="J178" s="550"/>
      <c r="K178" s="550"/>
      <c r="L178" s="550"/>
      <c r="M178" s="550"/>
      <c r="N178" s="550"/>
      <c r="O178" s="550"/>
      <c r="P178" s="550"/>
      <c r="Q178" s="550"/>
      <c r="R178" s="550"/>
      <c r="S178" s="550"/>
      <c r="T178" s="550"/>
      <c r="U178" s="550"/>
      <c r="V178" s="550"/>
      <c r="W178" s="550"/>
      <c r="X178" s="550"/>
      <c r="Y178" s="550"/>
      <c r="Z178" s="550"/>
      <c r="AA178" s="550"/>
      <c r="AB178" s="550"/>
      <c r="AC178" s="550"/>
      <c r="AD178" s="550"/>
      <c r="AE178" s="550"/>
      <c r="AF178" s="550"/>
      <c r="AG178" s="550"/>
      <c r="AH178" s="550"/>
      <c r="AI178" s="550"/>
      <c r="AJ178" s="550"/>
    </row>
    <row r="179" spans="2:36">
      <c r="B179" s="550"/>
      <c r="C179" s="550"/>
      <c r="D179" s="550"/>
      <c r="E179" s="550"/>
      <c r="F179" s="550"/>
      <c r="G179" s="550"/>
      <c r="H179" s="550"/>
      <c r="I179" s="550"/>
      <c r="J179" s="550"/>
      <c r="K179" s="550"/>
      <c r="L179" s="550"/>
      <c r="M179" s="550"/>
      <c r="N179" s="550"/>
      <c r="O179" s="550"/>
      <c r="P179" s="550"/>
      <c r="Q179" s="550"/>
      <c r="R179" s="550"/>
      <c r="S179" s="550"/>
      <c r="T179" s="550"/>
      <c r="U179" s="550"/>
      <c r="V179" s="550"/>
      <c r="W179" s="550"/>
      <c r="X179" s="550"/>
      <c r="Y179" s="550"/>
      <c r="Z179" s="550"/>
      <c r="AA179" s="550"/>
      <c r="AB179" s="550"/>
      <c r="AC179" s="550"/>
      <c r="AD179" s="550"/>
      <c r="AE179" s="550"/>
      <c r="AF179" s="550"/>
      <c r="AG179" s="550"/>
      <c r="AH179" s="550"/>
      <c r="AI179" s="550"/>
      <c r="AJ179" s="550"/>
    </row>
    <row r="180" spans="2:36">
      <c r="B180" s="550"/>
      <c r="C180" s="550"/>
      <c r="D180" s="550"/>
      <c r="E180" s="550"/>
      <c r="F180" s="550"/>
      <c r="G180" s="550"/>
      <c r="H180" s="550"/>
      <c r="I180" s="550"/>
      <c r="J180" s="550"/>
      <c r="K180" s="550"/>
      <c r="L180" s="550"/>
      <c r="M180" s="550"/>
      <c r="N180" s="550"/>
      <c r="O180" s="550"/>
      <c r="P180" s="550"/>
      <c r="Q180" s="550"/>
      <c r="R180" s="550"/>
      <c r="S180" s="550"/>
      <c r="T180" s="550"/>
      <c r="U180" s="550"/>
      <c r="V180" s="550"/>
      <c r="W180" s="550"/>
      <c r="X180" s="550"/>
      <c r="Y180" s="550"/>
      <c r="Z180" s="550"/>
      <c r="AA180" s="550"/>
      <c r="AB180" s="550"/>
      <c r="AC180" s="550"/>
      <c r="AD180" s="550"/>
      <c r="AE180" s="550"/>
      <c r="AF180" s="550"/>
      <c r="AG180" s="550"/>
      <c r="AH180" s="550"/>
      <c r="AI180" s="550"/>
      <c r="AJ180" s="550"/>
    </row>
    <row r="181" spans="2:36">
      <c r="B181" s="550"/>
      <c r="C181" s="550"/>
      <c r="D181" s="550"/>
      <c r="E181" s="550"/>
      <c r="F181" s="550"/>
      <c r="G181" s="550"/>
      <c r="H181" s="550"/>
      <c r="I181" s="550"/>
      <c r="J181" s="550"/>
      <c r="K181" s="550"/>
      <c r="L181" s="550"/>
      <c r="M181" s="550"/>
      <c r="N181" s="550"/>
      <c r="O181" s="550"/>
      <c r="P181" s="550"/>
      <c r="Q181" s="550"/>
      <c r="R181" s="550"/>
      <c r="S181" s="550"/>
      <c r="T181" s="550"/>
      <c r="U181" s="550"/>
      <c r="V181" s="550"/>
      <c r="W181" s="550"/>
      <c r="X181" s="550"/>
      <c r="Y181" s="550"/>
      <c r="Z181" s="550"/>
      <c r="AA181" s="550"/>
      <c r="AB181" s="550"/>
      <c r="AC181" s="550"/>
      <c r="AD181" s="550"/>
      <c r="AE181" s="550"/>
      <c r="AF181" s="550"/>
      <c r="AG181" s="550"/>
      <c r="AH181" s="550"/>
      <c r="AI181" s="550"/>
      <c r="AJ181" s="550"/>
    </row>
    <row r="182" spans="2:36">
      <c r="B182" s="550"/>
      <c r="C182" s="550"/>
      <c r="D182" s="550"/>
      <c r="E182" s="550"/>
      <c r="F182" s="550"/>
      <c r="G182" s="550"/>
      <c r="H182" s="550"/>
      <c r="I182" s="550"/>
      <c r="J182" s="550"/>
      <c r="K182" s="550"/>
      <c r="L182" s="550"/>
      <c r="M182" s="550"/>
      <c r="N182" s="550"/>
      <c r="O182" s="550"/>
      <c r="P182" s="550"/>
      <c r="Q182" s="550"/>
      <c r="R182" s="550"/>
      <c r="S182" s="550"/>
      <c r="T182" s="550"/>
      <c r="U182" s="550"/>
      <c r="V182" s="550"/>
      <c r="W182" s="550"/>
      <c r="X182" s="550"/>
      <c r="Y182" s="550"/>
      <c r="Z182" s="550"/>
      <c r="AA182" s="550"/>
      <c r="AB182" s="550"/>
      <c r="AC182" s="550"/>
      <c r="AD182" s="550"/>
      <c r="AE182" s="550"/>
      <c r="AF182" s="550"/>
      <c r="AG182" s="550"/>
      <c r="AH182" s="550"/>
      <c r="AI182" s="550"/>
      <c r="AJ182" s="550"/>
    </row>
    <row r="183" spans="2:36">
      <c r="B183" s="550"/>
      <c r="C183" s="550"/>
      <c r="D183" s="550"/>
      <c r="E183" s="550"/>
      <c r="F183" s="550"/>
      <c r="G183" s="550"/>
      <c r="H183" s="550"/>
      <c r="I183" s="550"/>
      <c r="J183" s="550"/>
      <c r="K183" s="550"/>
      <c r="L183" s="550"/>
      <c r="M183" s="550"/>
      <c r="N183" s="550"/>
      <c r="O183" s="550"/>
      <c r="P183" s="550"/>
      <c r="Q183" s="550"/>
      <c r="R183" s="550"/>
      <c r="S183" s="550"/>
      <c r="T183" s="550"/>
      <c r="U183" s="550"/>
      <c r="V183" s="550"/>
      <c r="W183" s="550"/>
      <c r="X183" s="550"/>
      <c r="Y183" s="550"/>
      <c r="Z183" s="550"/>
      <c r="AA183" s="550"/>
      <c r="AB183" s="550"/>
      <c r="AC183" s="550"/>
      <c r="AD183" s="550"/>
      <c r="AE183" s="550"/>
      <c r="AF183" s="550"/>
      <c r="AG183" s="550"/>
      <c r="AH183" s="550"/>
      <c r="AI183" s="550"/>
      <c r="AJ183" s="550"/>
    </row>
    <row r="184" spans="2:36">
      <c r="B184" s="550"/>
      <c r="C184" s="550"/>
      <c r="D184" s="550"/>
      <c r="E184" s="550"/>
      <c r="F184" s="550"/>
      <c r="G184" s="550"/>
      <c r="H184" s="550"/>
      <c r="I184" s="550"/>
      <c r="J184" s="550"/>
      <c r="K184" s="550"/>
      <c r="L184" s="550"/>
      <c r="M184" s="550"/>
      <c r="N184" s="550"/>
      <c r="O184" s="550"/>
      <c r="P184" s="550"/>
      <c r="Q184" s="550"/>
      <c r="R184" s="550"/>
      <c r="S184" s="550"/>
      <c r="T184" s="550"/>
      <c r="U184" s="550"/>
      <c r="V184" s="550"/>
      <c r="W184" s="550"/>
      <c r="X184" s="550"/>
      <c r="Y184" s="550"/>
      <c r="Z184" s="550"/>
      <c r="AA184" s="550"/>
      <c r="AB184" s="550"/>
      <c r="AC184" s="550"/>
      <c r="AD184" s="550"/>
      <c r="AE184" s="550"/>
      <c r="AF184" s="550"/>
      <c r="AG184" s="550"/>
      <c r="AH184" s="550"/>
      <c r="AI184" s="550"/>
      <c r="AJ184" s="550"/>
    </row>
    <row r="185" spans="2:36">
      <c r="B185" s="550"/>
      <c r="C185" s="550"/>
      <c r="D185" s="550"/>
      <c r="E185" s="550"/>
      <c r="F185" s="550"/>
      <c r="G185" s="550"/>
      <c r="H185" s="550"/>
      <c r="I185" s="550"/>
      <c r="J185" s="550"/>
      <c r="K185" s="550"/>
      <c r="L185" s="550"/>
      <c r="M185" s="550"/>
      <c r="N185" s="550"/>
      <c r="O185" s="550"/>
      <c r="P185" s="550"/>
      <c r="Q185" s="550"/>
      <c r="R185" s="550"/>
      <c r="S185" s="550"/>
      <c r="T185" s="550"/>
      <c r="U185" s="550"/>
      <c r="V185" s="550"/>
      <c r="W185" s="550"/>
      <c r="X185" s="550"/>
      <c r="Y185" s="550"/>
      <c r="Z185" s="550"/>
      <c r="AA185" s="550"/>
      <c r="AB185" s="550"/>
      <c r="AC185" s="550"/>
      <c r="AD185" s="550"/>
      <c r="AE185" s="550"/>
      <c r="AF185" s="550"/>
      <c r="AG185" s="550"/>
      <c r="AH185" s="550"/>
      <c r="AI185" s="550"/>
      <c r="AJ185" s="550"/>
    </row>
    <row r="186" spans="2:36">
      <c r="B186" s="550"/>
      <c r="C186" s="550"/>
      <c r="D186" s="550"/>
      <c r="E186" s="550"/>
      <c r="F186" s="550"/>
      <c r="G186" s="550"/>
      <c r="H186" s="550"/>
      <c r="I186" s="550"/>
      <c r="J186" s="550"/>
      <c r="K186" s="550"/>
      <c r="L186" s="550"/>
      <c r="M186" s="550"/>
      <c r="N186" s="550"/>
      <c r="O186" s="550"/>
      <c r="P186" s="550"/>
      <c r="Q186" s="550"/>
      <c r="R186" s="550"/>
      <c r="S186" s="550"/>
      <c r="T186" s="550"/>
      <c r="U186" s="550"/>
      <c r="V186" s="550"/>
      <c r="W186" s="550"/>
      <c r="X186" s="550"/>
      <c r="Y186" s="550"/>
      <c r="Z186" s="550"/>
      <c r="AA186" s="550"/>
      <c r="AB186" s="550"/>
      <c r="AC186" s="550"/>
      <c r="AD186" s="550"/>
      <c r="AE186" s="550"/>
      <c r="AF186" s="550"/>
      <c r="AG186" s="550"/>
      <c r="AH186" s="550"/>
      <c r="AI186" s="550"/>
      <c r="AJ186" s="550"/>
    </row>
    <row r="187" spans="2:36">
      <c r="B187" s="550"/>
      <c r="C187" s="550"/>
      <c r="D187" s="550"/>
      <c r="E187" s="550"/>
      <c r="F187" s="550"/>
      <c r="G187" s="550"/>
      <c r="H187" s="550"/>
      <c r="I187" s="550"/>
      <c r="J187" s="550"/>
      <c r="K187" s="550"/>
      <c r="L187" s="550"/>
      <c r="M187" s="550"/>
      <c r="N187" s="550"/>
      <c r="O187" s="550"/>
      <c r="P187" s="550"/>
      <c r="Q187" s="550"/>
      <c r="R187" s="550"/>
      <c r="S187" s="550"/>
      <c r="T187" s="550"/>
      <c r="U187" s="550"/>
      <c r="V187" s="550"/>
      <c r="W187" s="550"/>
      <c r="X187" s="550"/>
      <c r="Y187" s="550"/>
      <c r="Z187" s="550"/>
      <c r="AA187" s="550"/>
      <c r="AB187" s="550"/>
      <c r="AC187" s="550"/>
      <c r="AD187" s="550"/>
      <c r="AE187" s="550"/>
      <c r="AF187" s="550"/>
      <c r="AG187" s="550"/>
      <c r="AH187" s="550"/>
      <c r="AI187" s="550"/>
      <c r="AJ187" s="550"/>
    </row>
    <row r="188" spans="2:36">
      <c r="B188" s="550"/>
      <c r="C188" s="550"/>
      <c r="D188" s="550"/>
      <c r="E188" s="550"/>
      <c r="F188" s="550"/>
      <c r="G188" s="550"/>
      <c r="H188" s="550"/>
      <c r="I188" s="550"/>
      <c r="J188" s="550"/>
      <c r="K188" s="550"/>
      <c r="L188" s="550"/>
      <c r="M188" s="550"/>
      <c r="N188" s="550"/>
      <c r="O188" s="550"/>
      <c r="P188" s="550"/>
      <c r="Q188" s="550"/>
      <c r="R188" s="550"/>
      <c r="S188" s="550"/>
      <c r="T188" s="550"/>
      <c r="U188" s="550"/>
      <c r="V188" s="550"/>
      <c r="W188" s="550"/>
      <c r="X188" s="550"/>
      <c r="Y188" s="550"/>
      <c r="Z188" s="550"/>
      <c r="AA188" s="550"/>
      <c r="AB188" s="550"/>
      <c r="AC188" s="550"/>
      <c r="AD188" s="550"/>
      <c r="AE188" s="550"/>
      <c r="AF188" s="550"/>
      <c r="AG188" s="550"/>
      <c r="AH188" s="550"/>
      <c r="AI188" s="550"/>
      <c r="AJ188" s="550"/>
    </row>
    <row r="189" spans="2:36">
      <c r="B189" s="550"/>
      <c r="C189" s="550"/>
      <c r="D189" s="550"/>
      <c r="E189" s="550"/>
      <c r="F189" s="550"/>
      <c r="G189" s="550"/>
      <c r="H189" s="550"/>
      <c r="I189" s="550"/>
      <c r="J189" s="550"/>
      <c r="K189" s="550"/>
      <c r="L189" s="550"/>
      <c r="M189" s="550"/>
      <c r="N189" s="550"/>
      <c r="O189" s="550"/>
      <c r="P189" s="550"/>
      <c r="Q189" s="550"/>
      <c r="R189" s="550"/>
      <c r="S189" s="550"/>
      <c r="T189" s="550"/>
      <c r="U189" s="550"/>
      <c r="V189" s="550"/>
      <c r="W189" s="550"/>
      <c r="X189" s="550"/>
      <c r="Y189" s="550"/>
      <c r="Z189" s="550"/>
      <c r="AA189" s="550"/>
      <c r="AB189" s="550"/>
      <c r="AC189" s="550"/>
      <c r="AD189" s="550"/>
      <c r="AE189" s="550"/>
      <c r="AF189" s="550"/>
      <c r="AG189" s="550"/>
      <c r="AH189" s="550"/>
      <c r="AI189" s="550"/>
      <c r="AJ189" s="550"/>
    </row>
    <row r="190" spans="2:36">
      <c r="B190" s="550"/>
      <c r="C190" s="550"/>
      <c r="D190" s="550"/>
      <c r="E190" s="550"/>
      <c r="F190" s="550"/>
      <c r="G190" s="550"/>
      <c r="H190" s="550"/>
      <c r="I190" s="550"/>
      <c r="J190" s="550"/>
      <c r="K190" s="550"/>
      <c r="L190" s="550"/>
      <c r="M190" s="550"/>
      <c r="N190" s="550"/>
      <c r="O190" s="550"/>
      <c r="P190" s="550"/>
      <c r="Q190" s="550"/>
      <c r="R190" s="550"/>
      <c r="S190" s="550"/>
      <c r="T190" s="550"/>
      <c r="U190" s="550"/>
      <c r="V190" s="550"/>
      <c r="W190" s="550"/>
      <c r="X190" s="550"/>
      <c r="Y190" s="550"/>
      <c r="Z190" s="550"/>
      <c r="AA190" s="550"/>
      <c r="AB190" s="550"/>
      <c r="AC190" s="550"/>
      <c r="AD190" s="550"/>
      <c r="AE190" s="550"/>
      <c r="AF190" s="550"/>
      <c r="AG190" s="550"/>
      <c r="AH190" s="550"/>
      <c r="AI190" s="550"/>
      <c r="AJ190" s="550"/>
    </row>
    <row r="191" spans="2:36">
      <c r="B191" s="550"/>
      <c r="C191" s="550"/>
      <c r="D191" s="550"/>
      <c r="E191" s="550"/>
      <c r="F191" s="550"/>
      <c r="G191" s="550"/>
      <c r="H191" s="550"/>
      <c r="I191" s="550"/>
      <c r="J191" s="550"/>
      <c r="K191" s="550"/>
      <c r="L191" s="550"/>
      <c r="M191" s="550"/>
      <c r="N191" s="550"/>
      <c r="O191" s="550"/>
      <c r="P191" s="550"/>
      <c r="Q191" s="550"/>
      <c r="R191" s="550"/>
      <c r="S191" s="550"/>
      <c r="T191" s="550"/>
      <c r="U191" s="550"/>
      <c r="V191" s="550"/>
      <c r="W191" s="550"/>
      <c r="X191" s="550"/>
      <c r="Y191" s="550"/>
      <c r="Z191" s="550"/>
      <c r="AA191" s="550"/>
      <c r="AB191" s="550"/>
      <c r="AC191" s="550"/>
      <c r="AD191" s="550"/>
      <c r="AE191" s="550"/>
      <c r="AF191" s="550"/>
      <c r="AG191" s="550"/>
      <c r="AH191" s="550"/>
      <c r="AI191" s="550"/>
      <c r="AJ191" s="550"/>
    </row>
    <row r="192" spans="2:36">
      <c r="B192" s="550"/>
      <c r="C192" s="550"/>
      <c r="D192" s="550"/>
      <c r="E192" s="550"/>
      <c r="F192" s="550"/>
      <c r="G192" s="550"/>
      <c r="H192" s="550"/>
      <c r="I192" s="550"/>
      <c r="J192" s="550"/>
      <c r="K192" s="550"/>
      <c r="L192" s="550"/>
      <c r="M192" s="550"/>
      <c r="N192" s="550"/>
      <c r="O192" s="550"/>
      <c r="P192" s="550"/>
      <c r="Q192" s="550"/>
      <c r="R192" s="550"/>
      <c r="S192" s="550"/>
      <c r="T192" s="550"/>
      <c r="U192" s="550"/>
      <c r="V192" s="550"/>
      <c r="W192" s="550"/>
      <c r="X192" s="550"/>
      <c r="Y192" s="550"/>
      <c r="Z192" s="550"/>
      <c r="AA192" s="550"/>
      <c r="AB192" s="550"/>
      <c r="AC192" s="550"/>
      <c r="AD192" s="550"/>
      <c r="AE192" s="550"/>
      <c r="AF192" s="550"/>
      <c r="AG192" s="550"/>
      <c r="AH192" s="550"/>
      <c r="AI192" s="550"/>
      <c r="AJ192" s="550"/>
    </row>
    <row r="193" spans="2:36">
      <c r="B193" s="550"/>
      <c r="C193" s="550"/>
      <c r="D193" s="550"/>
      <c r="E193" s="550"/>
      <c r="F193" s="550"/>
      <c r="G193" s="550"/>
      <c r="H193" s="550"/>
      <c r="I193" s="550"/>
      <c r="J193" s="550"/>
      <c r="K193" s="550"/>
      <c r="L193" s="550"/>
      <c r="M193" s="550"/>
      <c r="N193" s="550"/>
      <c r="O193" s="550"/>
      <c r="P193" s="550"/>
      <c r="Q193" s="550"/>
      <c r="R193" s="550"/>
      <c r="S193" s="550"/>
      <c r="T193" s="550"/>
      <c r="U193" s="550"/>
      <c r="V193" s="550"/>
      <c r="W193" s="550"/>
      <c r="X193" s="550"/>
      <c r="Y193" s="550"/>
      <c r="Z193" s="550"/>
      <c r="AA193" s="550"/>
      <c r="AB193" s="550"/>
      <c r="AC193" s="550"/>
      <c r="AD193" s="550"/>
      <c r="AE193" s="550"/>
      <c r="AF193" s="550"/>
      <c r="AG193" s="550"/>
      <c r="AH193" s="550"/>
      <c r="AI193" s="550"/>
      <c r="AJ193" s="550"/>
    </row>
    <row r="194" spans="2:36">
      <c r="B194" s="550"/>
      <c r="C194" s="550"/>
      <c r="D194" s="550"/>
      <c r="E194" s="550"/>
      <c r="F194" s="550"/>
      <c r="G194" s="550"/>
      <c r="H194" s="550"/>
      <c r="I194" s="550"/>
      <c r="J194" s="550"/>
      <c r="K194" s="550"/>
      <c r="L194" s="550"/>
      <c r="M194" s="550"/>
      <c r="N194" s="550"/>
      <c r="O194" s="550"/>
      <c r="P194" s="550"/>
      <c r="Q194" s="550"/>
      <c r="R194" s="550"/>
      <c r="S194" s="550"/>
      <c r="T194" s="550"/>
      <c r="U194" s="550"/>
      <c r="V194" s="550"/>
      <c r="W194" s="550"/>
      <c r="X194" s="550"/>
      <c r="Y194" s="550"/>
      <c r="Z194" s="550"/>
      <c r="AA194" s="550"/>
      <c r="AB194" s="550"/>
      <c r="AC194" s="550"/>
      <c r="AD194" s="550"/>
      <c r="AE194" s="550"/>
      <c r="AF194" s="550"/>
      <c r="AG194" s="550"/>
      <c r="AH194" s="550"/>
      <c r="AI194" s="550"/>
      <c r="AJ194" s="550"/>
    </row>
    <row r="195" spans="2:36">
      <c r="B195" s="550"/>
      <c r="C195" s="550"/>
      <c r="D195" s="550"/>
      <c r="E195" s="550"/>
      <c r="F195" s="550"/>
      <c r="G195" s="550"/>
      <c r="H195" s="550"/>
      <c r="I195" s="550"/>
      <c r="J195" s="550"/>
      <c r="K195" s="550"/>
      <c r="L195" s="550"/>
      <c r="M195" s="550"/>
      <c r="N195" s="550"/>
      <c r="O195" s="550"/>
      <c r="P195" s="550"/>
      <c r="Q195" s="550"/>
      <c r="R195" s="550"/>
      <c r="S195" s="550"/>
      <c r="T195" s="550"/>
      <c r="U195" s="550"/>
      <c r="V195" s="550"/>
      <c r="W195" s="550"/>
      <c r="X195" s="550"/>
      <c r="Y195" s="550"/>
      <c r="Z195" s="550"/>
      <c r="AA195" s="550"/>
      <c r="AB195" s="550"/>
      <c r="AC195" s="550"/>
      <c r="AD195" s="550"/>
      <c r="AE195" s="550"/>
      <c r="AF195" s="550"/>
      <c r="AG195" s="550"/>
      <c r="AH195" s="550"/>
      <c r="AI195" s="550"/>
      <c r="AJ195" s="550"/>
    </row>
    <row r="196" spans="2:36">
      <c r="B196" s="550"/>
      <c r="C196" s="550"/>
      <c r="D196" s="550"/>
      <c r="E196" s="550"/>
      <c r="F196" s="550"/>
      <c r="G196" s="550"/>
      <c r="H196" s="550"/>
      <c r="I196" s="550"/>
      <c r="J196" s="550"/>
      <c r="K196" s="550"/>
      <c r="L196" s="550"/>
      <c r="M196" s="550"/>
      <c r="N196" s="550"/>
      <c r="O196" s="550"/>
      <c r="P196" s="550"/>
      <c r="Q196" s="550"/>
      <c r="R196" s="550"/>
      <c r="S196" s="550"/>
      <c r="T196" s="550"/>
      <c r="U196" s="550"/>
      <c r="V196" s="550"/>
      <c r="W196" s="550"/>
      <c r="X196" s="550"/>
      <c r="Y196" s="550"/>
      <c r="Z196" s="550"/>
      <c r="AA196" s="550"/>
      <c r="AB196" s="550"/>
      <c r="AC196" s="550"/>
      <c r="AD196" s="550"/>
      <c r="AE196" s="550"/>
      <c r="AF196" s="550"/>
      <c r="AG196" s="550"/>
      <c r="AH196" s="550"/>
      <c r="AI196" s="550"/>
      <c r="AJ196" s="550"/>
    </row>
    <row r="197" spans="2:36">
      <c r="B197" s="550"/>
      <c r="C197" s="550"/>
      <c r="D197" s="550"/>
      <c r="E197" s="550"/>
      <c r="F197" s="550"/>
      <c r="G197" s="550"/>
      <c r="H197" s="550"/>
      <c r="I197" s="550"/>
      <c r="J197" s="550"/>
      <c r="K197" s="550"/>
      <c r="L197" s="550"/>
      <c r="M197" s="550"/>
      <c r="N197" s="550"/>
      <c r="O197" s="550"/>
      <c r="P197" s="550"/>
      <c r="Q197" s="550"/>
      <c r="R197" s="550"/>
      <c r="S197" s="550"/>
      <c r="T197" s="550"/>
      <c r="U197" s="550"/>
      <c r="V197" s="550"/>
      <c r="W197" s="550"/>
      <c r="X197" s="550"/>
      <c r="Y197" s="550"/>
      <c r="Z197" s="550"/>
      <c r="AA197" s="550"/>
      <c r="AB197" s="550"/>
      <c r="AC197" s="550"/>
      <c r="AD197" s="550"/>
      <c r="AE197" s="550"/>
      <c r="AF197" s="550"/>
      <c r="AG197" s="550"/>
      <c r="AH197" s="550"/>
      <c r="AI197" s="550"/>
      <c r="AJ197" s="550"/>
    </row>
    <row r="198" spans="2:36">
      <c r="B198" s="550"/>
      <c r="C198" s="550"/>
      <c r="D198" s="550"/>
      <c r="E198" s="550"/>
      <c r="F198" s="550"/>
      <c r="G198" s="550"/>
      <c r="H198" s="550"/>
      <c r="I198" s="550"/>
      <c r="J198" s="550"/>
      <c r="K198" s="550"/>
      <c r="L198" s="550"/>
      <c r="M198" s="550"/>
      <c r="N198" s="550"/>
      <c r="O198" s="550"/>
      <c r="P198" s="550"/>
      <c r="Q198" s="550"/>
      <c r="R198" s="550"/>
      <c r="S198" s="550"/>
      <c r="T198" s="550"/>
      <c r="U198" s="550"/>
      <c r="V198" s="550"/>
      <c r="W198" s="550"/>
      <c r="X198" s="550"/>
      <c r="Y198" s="550"/>
      <c r="Z198" s="550"/>
      <c r="AA198" s="550"/>
      <c r="AB198" s="550"/>
      <c r="AC198" s="550"/>
      <c r="AD198" s="550"/>
      <c r="AE198" s="550"/>
      <c r="AF198" s="550"/>
      <c r="AG198" s="550"/>
      <c r="AH198" s="550"/>
      <c r="AI198" s="550"/>
      <c r="AJ198" s="550"/>
    </row>
    <row r="199" spans="2:36">
      <c r="B199" s="550"/>
      <c r="C199" s="550"/>
      <c r="D199" s="550"/>
      <c r="E199" s="550"/>
      <c r="F199" s="550"/>
      <c r="G199" s="550"/>
      <c r="H199" s="550"/>
      <c r="I199" s="550"/>
      <c r="J199" s="550"/>
      <c r="K199" s="550"/>
      <c r="L199" s="550"/>
      <c r="M199" s="550"/>
      <c r="N199" s="550"/>
      <c r="O199" s="550"/>
      <c r="P199" s="550"/>
      <c r="Q199" s="550"/>
      <c r="R199" s="550"/>
      <c r="S199" s="550"/>
      <c r="T199" s="550"/>
      <c r="U199" s="550"/>
      <c r="V199" s="550"/>
      <c r="W199" s="550"/>
      <c r="X199" s="550"/>
      <c r="Y199" s="550"/>
      <c r="Z199" s="550"/>
      <c r="AA199" s="550"/>
      <c r="AB199" s="550"/>
      <c r="AC199" s="550"/>
      <c r="AD199" s="550"/>
      <c r="AE199" s="550"/>
      <c r="AF199" s="550"/>
      <c r="AG199" s="550"/>
      <c r="AH199" s="550"/>
      <c r="AI199" s="550"/>
      <c r="AJ199" s="550"/>
    </row>
    <row r="200" spans="2:36">
      <c r="B200" s="550"/>
      <c r="C200" s="550"/>
      <c r="D200" s="550"/>
      <c r="E200" s="550"/>
      <c r="F200" s="550"/>
      <c r="G200" s="550"/>
      <c r="H200" s="550"/>
      <c r="I200" s="550"/>
      <c r="J200" s="550"/>
      <c r="K200" s="550"/>
      <c r="L200" s="550"/>
      <c r="M200" s="550"/>
      <c r="N200" s="550"/>
      <c r="O200" s="550"/>
      <c r="P200" s="550"/>
      <c r="Q200" s="550"/>
      <c r="R200" s="550"/>
      <c r="S200" s="550"/>
      <c r="T200" s="550"/>
      <c r="U200" s="550"/>
      <c r="V200" s="550"/>
      <c r="W200" s="550"/>
      <c r="X200" s="550"/>
      <c r="Y200" s="550"/>
      <c r="Z200" s="550"/>
      <c r="AA200" s="550"/>
      <c r="AB200" s="550"/>
      <c r="AC200" s="550"/>
      <c r="AD200" s="550"/>
      <c r="AE200" s="550"/>
      <c r="AF200" s="550"/>
      <c r="AG200" s="550"/>
      <c r="AH200" s="550"/>
      <c r="AI200" s="550"/>
      <c r="AJ200" s="550"/>
    </row>
    <row r="201" spans="2:36">
      <c r="B201" s="550"/>
      <c r="C201" s="550"/>
      <c r="D201" s="550"/>
      <c r="E201" s="550"/>
      <c r="F201" s="550"/>
      <c r="G201" s="550"/>
      <c r="H201" s="550"/>
      <c r="I201" s="550"/>
      <c r="J201" s="550"/>
      <c r="K201" s="550"/>
      <c r="L201" s="550"/>
      <c r="M201" s="550"/>
      <c r="N201" s="550"/>
      <c r="O201" s="550"/>
      <c r="P201" s="550"/>
      <c r="Q201" s="550"/>
      <c r="R201" s="550"/>
      <c r="S201" s="550"/>
      <c r="T201" s="550"/>
      <c r="U201" s="550"/>
      <c r="V201" s="550"/>
      <c r="W201" s="550"/>
      <c r="X201" s="550"/>
      <c r="Y201" s="550"/>
      <c r="Z201" s="550"/>
      <c r="AA201" s="550"/>
      <c r="AB201" s="550"/>
      <c r="AC201" s="550"/>
      <c r="AD201" s="550"/>
      <c r="AE201" s="550"/>
      <c r="AF201" s="550"/>
      <c r="AG201" s="550"/>
      <c r="AH201" s="550"/>
      <c r="AI201" s="550"/>
      <c r="AJ201" s="550"/>
    </row>
    <row r="202" spans="2:36">
      <c r="B202" s="550"/>
      <c r="C202" s="550"/>
      <c r="D202" s="550"/>
      <c r="E202" s="550"/>
      <c r="F202" s="550"/>
      <c r="G202" s="550"/>
      <c r="H202" s="550"/>
      <c r="I202" s="550"/>
      <c r="J202" s="550"/>
      <c r="K202" s="550"/>
      <c r="L202" s="550"/>
      <c r="M202" s="550"/>
      <c r="N202" s="550"/>
      <c r="O202" s="550"/>
      <c r="P202" s="550"/>
      <c r="Q202" s="550"/>
      <c r="R202" s="550"/>
      <c r="S202" s="550"/>
      <c r="T202" s="550"/>
      <c r="U202" s="550"/>
      <c r="V202" s="550"/>
      <c r="W202" s="550"/>
      <c r="X202" s="550"/>
      <c r="Y202" s="550"/>
      <c r="Z202" s="550"/>
      <c r="AA202" s="550"/>
      <c r="AB202" s="550"/>
      <c r="AC202" s="550"/>
      <c r="AD202" s="550"/>
      <c r="AE202" s="550"/>
      <c r="AF202" s="550"/>
      <c r="AG202" s="550"/>
      <c r="AH202" s="550"/>
      <c r="AI202" s="550"/>
      <c r="AJ202" s="550"/>
    </row>
    <row r="203" spans="2:36">
      <c r="B203" s="550"/>
      <c r="C203" s="550"/>
      <c r="D203" s="550"/>
      <c r="E203" s="550"/>
      <c r="F203" s="550"/>
      <c r="G203" s="550"/>
      <c r="H203" s="550"/>
      <c r="I203" s="550"/>
      <c r="J203" s="550"/>
      <c r="K203" s="550"/>
      <c r="L203" s="550"/>
      <c r="M203" s="550"/>
      <c r="N203" s="550"/>
      <c r="O203" s="550"/>
      <c r="P203" s="550"/>
      <c r="Q203" s="550"/>
      <c r="R203" s="550"/>
      <c r="S203" s="550"/>
      <c r="T203" s="550"/>
      <c r="U203" s="550"/>
      <c r="V203" s="550"/>
      <c r="W203" s="550"/>
      <c r="X203" s="550"/>
      <c r="Y203" s="550"/>
      <c r="Z203" s="550"/>
      <c r="AA203" s="550"/>
      <c r="AB203" s="550"/>
      <c r="AC203" s="550"/>
      <c r="AD203" s="550"/>
      <c r="AE203" s="550"/>
      <c r="AF203" s="550"/>
      <c r="AG203" s="550"/>
      <c r="AH203" s="550"/>
      <c r="AI203" s="550"/>
      <c r="AJ203" s="550"/>
    </row>
    <row r="204" spans="2:36">
      <c r="B204" s="550"/>
      <c r="C204" s="550"/>
      <c r="D204" s="550"/>
      <c r="E204" s="550"/>
      <c r="F204" s="550"/>
      <c r="G204" s="550"/>
      <c r="H204" s="550"/>
      <c r="I204" s="550"/>
      <c r="J204" s="550"/>
      <c r="K204" s="550"/>
      <c r="L204" s="550"/>
      <c r="M204" s="550"/>
      <c r="N204" s="550"/>
      <c r="O204" s="550"/>
      <c r="P204" s="550"/>
      <c r="Q204" s="550"/>
      <c r="R204" s="550"/>
      <c r="S204" s="550"/>
      <c r="T204" s="550"/>
      <c r="U204" s="550"/>
      <c r="V204" s="550"/>
      <c r="W204" s="550"/>
      <c r="X204" s="550"/>
      <c r="Y204" s="550"/>
      <c r="Z204" s="550"/>
      <c r="AA204" s="550"/>
      <c r="AB204" s="550"/>
      <c r="AC204" s="550"/>
      <c r="AD204" s="550"/>
      <c r="AE204" s="550"/>
      <c r="AF204" s="550"/>
      <c r="AG204" s="550"/>
      <c r="AH204" s="550"/>
      <c r="AI204" s="550"/>
      <c r="AJ204" s="550"/>
    </row>
    <row r="205" spans="2:36">
      <c r="B205" s="550"/>
      <c r="C205" s="550"/>
      <c r="D205" s="550"/>
      <c r="E205" s="550"/>
      <c r="F205" s="550"/>
      <c r="G205" s="550"/>
      <c r="H205" s="550"/>
      <c r="I205" s="550"/>
      <c r="J205" s="550"/>
      <c r="K205" s="550"/>
      <c r="L205" s="550"/>
      <c r="M205" s="550"/>
      <c r="N205" s="550"/>
      <c r="O205" s="550"/>
      <c r="P205" s="550"/>
      <c r="Q205" s="550"/>
      <c r="R205" s="550"/>
      <c r="S205" s="550"/>
      <c r="T205" s="550"/>
      <c r="U205" s="550"/>
      <c r="V205" s="550"/>
      <c r="W205" s="550"/>
      <c r="X205" s="550"/>
      <c r="Y205" s="550"/>
      <c r="Z205" s="550"/>
      <c r="AA205" s="550"/>
      <c r="AB205" s="550"/>
      <c r="AC205" s="550"/>
      <c r="AD205" s="550"/>
      <c r="AE205" s="550"/>
      <c r="AF205" s="550"/>
      <c r="AG205" s="550"/>
      <c r="AH205" s="550"/>
      <c r="AI205" s="550"/>
      <c r="AJ205" s="550"/>
    </row>
    <row r="206" spans="2:36">
      <c r="B206" s="550"/>
      <c r="C206" s="550"/>
      <c r="D206" s="550"/>
      <c r="E206" s="550"/>
      <c r="F206" s="550"/>
      <c r="G206" s="550"/>
      <c r="H206" s="550"/>
      <c r="I206" s="550"/>
      <c r="J206" s="550"/>
      <c r="K206" s="550"/>
      <c r="L206" s="550"/>
      <c r="M206" s="550"/>
      <c r="N206" s="550"/>
      <c r="O206" s="550"/>
      <c r="P206" s="550"/>
      <c r="Q206" s="550"/>
      <c r="R206" s="550"/>
      <c r="S206" s="550"/>
      <c r="T206" s="550"/>
      <c r="U206" s="550"/>
      <c r="V206" s="550"/>
      <c r="W206" s="550"/>
      <c r="X206" s="550"/>
      <c r="Y206" s="550"/>
      <c r="Z206" s="550"/>
      <c r="AA206" s="550"/>
      <c r="AB206" s="550"/>
      <c r="AC206" s="550"/>
      <c r="AD206" s="550"/>
      <c r="AE206" s="550"/>
      <c r="AF206" s="550"/>
      <c r="AG206" s="550"/>
      <c r="AH206" s="550"/>
      <c r="AI206" s="550"/>
      <c r="AJ206" s="550"/>
    </row>
    <row r="207" spans="2:36">
      <c r="B207" s="550"/>
      <c r="C207" s="550"/>
      <c r="D207" s="550"/>
      <c r="E207" s="550"/>
      <c r="F207" s="550"/>
      <c r="G207" s="550"/>
      <c r="H207" s="550"/>
      <c r="I207" s="550"/>
      <c r="J207" s="550"/>
      <c r="K207" s="550"/>
      <c r="L207" s="550"/>
      <c r="M207" s="550"/>
      <c r="N207" s="550"/>
      <c r="O207" s="550"/>
      <c r="P207" s="550"/>
      <c r="Q207" s="550"/>
      <c r="R207" s="550"/>
      <c r="S207" s="550"/>
      <c r="T207" s="550"/>
      <c r="U207" s="550"/>
      <c r="V207" s="550"/>
      <c r="W207" s="550"/>
      <c r="X207" s="550"/>
      <c r="Y207" s="550"/>
      <c r="Z207" s="550"/>
      <c r="AA207" s="550"/>
      <c r="AB207" s="550"/>
      <c r="AC207" s="550"/>
      <c r="AD207" s="550"/>
      <c r="AE207" s="550"/>
      <c r="AF207" s="550"/>
      <c r="AG207" s="550"/>
      <c r="AH207" s="550"/>
      <c r="AI207" s="550"/>
      <c r="AJ207" s="550"/>
    </row>
    <row r="208" spans="2:36">
      <c r="B208" s="550"/>
      <c r="C208" s="550"/>
      <c r="D208" s="550"/>
      <c r="E208" s="550"/>
      <c r="F208" s="550"/>
      <c r="G208" s="550"/>
      <c r="H208" s="550"/>
      <c r="I208" s="550"/>
      <c r="J208" s="550"/>
      <c r="K208" s="550"/>
      <c r="L208" s="550"/>
      <c r="M208" s="550"/>
      <c r="N208" s="550"/>
      <c r="O208" s="550"/>
      <c r="P208" s="550"/>
      <c r="Q208" s="550"/>
      <c r="R208" s="550"/>
      <c r="S208" s="550"/>
      <c r="T208" s="550"/>
      <c r="U208" s="550"/>
      <c r="V208" s="550"/>
      <c r="W208" s="550"/>
      <c r="X208" s="550"/>
      <c r="Y208" s="550"/>
      <c r="Z208" s="550"/>
      <c r="AA208" s="550"/>
      <c r="AB208" s="550"/>
      <c r="AC208" s="550"/>
      <c r="AD208" s="550"/>
      <c r="AE208" s="550"/>
      <c r="AF208" s="550"/>
      <c r="AG208" s="550"/>
      <c r="AH208" s="550"/>
      <c r="AI208" s="550"/>
      <c r="AJ208" s="550"/>
    </row>
    <row r="209" spans="2:36">
      <c r="B209" s="550"/>
      <c r="C209" s="550"/>
      <c r="D209" s="550"/>
      <c r="E209" s="550"/>
      <c r="F209" s="550"/>
      <c r="G209" s="550"/>
      <c r="H209" s="550"/>
      <c r="I209" s="550"/>
      <c r="J209" s="550"/>
      <c r="K209" s="550"/>
      <c r="L209" s="550"/>
      <c r="M209" s="550"/>
      <c r="N209" s="550"/>
      <c r="O209" s="550"/>
      <c r="P209" s="550"/>
      <c r="Q209" s="550"/>
      <c r="R209" s="550"/>
      <c r="S209" s="550"/>
      <c r="T209" s="550"/>
      <c r="U209" s="550"/>
      <c r="V209" s="550"/>
      <c r="W209" s="550"/>
      <c r="X209" s="550"/>
      <c r="Y209" s="550"/>
      <c r="Z209" s="550"/>
      <c r="AA209" s="550"/>
      <c r="AB209" s="550"/>
      <c r="AC209" s="550"/>
      <c r="AD209" s="550"/>
      <c r="AE209" s="550"/>
      <c r="AF209" s="550"/>
      <c r="AG209" s="550"/>
      <c r="AH209" s="550"/>
      <c r="AI209" s="550"/>
      <c r="AJ209" s="550"/>
    </row>
    <row r="210" spans="2:36">
      <c r="B210" s="550"/>
      <c r="C210" s="550"/>
      <c r="D210" s="550"/>
      <c r="E210" s="550"/>
      <c r="F210" s="550"/>
      <c r="G210" s="550"/>
      <c r="H210" s="550"/>
      <c r="I210" s="550"/>
      <c r="J210" s="550"/>
      <c r="K210" s="550"/>
      <c r="L210" s="550"/>
      <c r="M210" s="550"/>
      <c r="N210" s="550"/>
      <c r="O210" s="550"/>
      <c r="P210" s="550"/>
      <c r="Q210" s="550"/>
      <c r="R210" s="550"/>
      <c r="S210" s="550"/>
      <c r="T210" s="550"/>
      <c r="U210" s="550"/>
      <c r="V210" s="550"/>
      <c r="W210" s="550"/>
      <c r="X210" s="550"/>
      <c r="Y210" s="550"/>
      <c r="Z210" s="550"/>
      <c r="AA210" s="550"/>
      <c r="AB210" s="550"/>
      <c r="AC210" s="550"/>
      <c r="AD210" s="550"/>
      <c r="AE210" s="550"/>
      <c r="AF210" s="550"/>
      <c r="AG210" s="550"/>
      <c r="AH210" s="550"/>
      <c r="AI210" s="550"/>
      <c r="AJ210" s="550"/>
    </row>
    <row r="211" spans="2:36">
      <c r="B211" s="550"/>
      <c r="C211" s="550"/>
      <c r="D211" s="550"/>
      <c r="E211" s="550"/>
      <c r="F211" s="550"/>
      <c r="G211" s="550"/>
      <c r="H211" s="550"/>
      <c r="I211" s="550"/>
      <c r="J211" s="550"/>
      <c r="K211" s="550"/>
      <c r="L211" s="550"/>
      <c r="M211" s="550"/>
      <c r="N211" s="550"/>
      <c r="O211" s="550"/>
      <c r="P211" s="550"/>
      <c r="Q211" s="550"/>
      <c r="R211" s="550"/>
      <c r="S211" s="550"/>
      <c r="T211" s="550"/>
      <c r="U211" s="550"/>
      <c r="V211" s="550"/>
      <c r="W211" s="550"/>
      <c r="X211" s="550"/>
      <c r="Y211" s="550"/>
      <c r="Z211" s="550"/>
      <c r="AA211" s="550"/>
      <c r="AB211" s="550"/>
      <c r="AC211" s="550"/>
      <c r="AD211" s="550"/>
      <c r="AE211" s="550"/>
      <c r="AF211" s="550"/>
      <c r="AG211" s="550"/>
      <c r="AH211" s="550"/>
      <c r="AI211" s="550"/>
      <c r="AJ211" s="550"/>
    </row>
    <row r="212" spans="2:36">
      <c r="B212" s="550"/>
      <c r="C212" s="550"/>
      <c r="D212" s="550"/>
      <c r="E212" s="550"/>
      <c r="F212" s="550"/>
      <c r="G212" s="550"/>
      <c r="H212" s="550"/>
      <c r="I212" s="550"/>
      <c r="J212" s="550"/>
      <c r="K212" s="550"/>
      <c r="L212" s="550"/>
      <c r="M212" s="550"/>
      <c r="N212" s="550"/>
      <c r="O212" s="550"/>
      <c r="P212" s="550"/>
      <c r="Q212" s="550"/>
      <c r="R212" s="550"/>
      <c r="S212" s="550"/>
      <c r="T212" s="550"/>
      <c r="U212" s="550"/>
      <c r="V212" s="550"/>
      <c r="W212" s="550"/>
      <c r="X212" s="550"/>
      <c r="Y212" s="550"/>
      <c r="Z212" s="550"/>
      <c r="AA212" s="550"/>
      <c r="AB212" s="550"/>
      <c r="AC212" s="550"/>
      <c r="AD212" s="550"/>
      <c r="AE212" s="550"/>
      <c r="AF212" s="550"/>
      <c r="AG212" s="550"/>
      <c r="AH212" s="550"/>
      <c r="AI212" s="550"/>
      <c r="AJ212" s="550"/>
    </row>
    <row r="213" spans="2:36">
      <c r="B213" s="550"/>
      <c r="C213" s="550"/>
      <c r="D213" s="550"/>
      <c r="E213" s="550"/>
      <c r="F213" s="550"/>
      <c r="G213" s="550"/>
      <c r="H213" s="550"/>
      <c r="I213" s="550"/>
      <c r="J213" s="550"/>
      <c r="K213" s="550"/>
      <c r="L213" s="550"/>
      <c r="M213" s="550"/>
      <c r="N213" s="550"/>
      <c r="O213" s="550"/>
      <c r="P213" s="550"/>
      <c r="Q213" s="550"/>
      <c r="R213" s="550"/>
      <c r="S213" s="550"/>
      <c r="T213" s="550"/>
      <c r="U213" s="550"/>
      <c r="V213" s="550"/>
      <c r="W213" s="550"/>
      <c r="X213" s="550"/>
      <c r="Y213" s="550"/>
      <c r="Z213" s="550"/>
      <c r="AA213" s="550"/>
      <c r="AB213" s="550"/>
      <c r="AC213" s="550"/>
      <c r="AD213" s="550"/>
      <c r="AE213" s="550"/>
      <c r="AF213" s="550"/>
      <c r="AG213" s="550"/>
      <c r="AH213" s="550"/>
      <c r="AI213" s="550"/>
      <c r="AJ213" s="550"/>
    </row>
    <row r="214" spans="2:36">
      <c r="B214" s="550"/>
      <c r="C214" s="550"/>
      <c r="D214" s="550"/>
      <c r="E214" s="550"/>
      <c r="F214" s="550"/>
      <c r="G214" s="550"/>
      <c r="H214" s="550"/>
      <c r="I214" s="550"/>
      <c r="J214" s="550"/>
      <c r="K214" s="550"/>
      <c r="L214" s="550"/>
      <c r="M214" s="550"/>
      <c r="N214" s="550"/>
      <c r="O214" s="550"/>
      <c r="P214" s="550"/>
      <c r="Q214" s="550"/>
      <c r="R214" s="550"/>
      <c r="S214" s="550"/>
      <c r="T214" s="550"/>
      <c r="U214" s="550"/>
      <c r="V214" s="550"/>
      <c r="W214" s="550"/>
      <c r="X214" s="550"/>
      <c r="Y214" s="550"/>
      <c r="Z214" s="550"/>
      <c r="AA214" s="550"/>
      <c r="AB214" s="550"/>
      <c r="AC214" s="550"/>
      <c r="AD214" s="550"/>
      <c r="AE214" s="550"/>
      <c r="AF214" s="550"/>
      <c r="AG214" s="550"/>
      <c r="AH214" s="550"/>
      <c r="AI214" s="550"/>
      <c r="AJ214" s="550"/>
    </row>
    <row r="215" spans="2:36">
      <c r="B215" s="550"/>
      <c r="C215" s="550"/>
      <c r="D215" s="550"/>
      <c r="E215" s="550"/>
      <c r="F215" s="550"/>
      <c r="G215" s="550"/>
      <c r="H215" s="550"/>
      <c r="I215" s="550"/>
      <c r="J215" s="550"/>
      <c r="K215" s="550"/>
      <c r="L215" s="550"/>
      <c r="M215" s="550"/>
      <c r="N215" s="550"/>
      <c r="O215" s="550"/>
      <c r="P215" s="550"/>
      <c r="Q215" s="550"/>
      <c r="R215" s="550"/>
      <c r="S215" s="550"/>
      <c r="T215" s="550"/>
      <c r="U215" s="550"/>
      <c r="V215" s="550"/>
      <c r="W215" s="550"/>
      <c r="X215" s="550"/>
      <c r="Y215" s="550"/>
      <c r="Z215" s="550"/>
      <c r="AA215" s="550"/>
      <c r="AB215" s="550"/>
      <c r="AC215" s="550"/>
      <c r="AD215" s="550"/>
      <c r="AE215" s="550"/>
      <c r="AF215" s="550"/>
      <c r="AG215" s="550"/>
      <c r="AH215" s="550"/>
      <c r="AI215" s="550"/>
      <c r="AJ215" s="550"/>
    </row>
    <row r="216" spans="2:36">
      <c r="B216" s="550"/>
      <c r="C216" s="550"/>
      <c r="D216" s="550"/>
      <c r="E216" s="550"/>
      <c r="F216" s="550"/>
      <c r="G216" s="550"/>
      <c r="H216" s="550"/>
      <c r="I216" s="550"/>
      <c r="J216" s="550"/>
      <c r="K216" s="550"/>
      <c r="L216" s="550"/>
      <c r="M216" s="550"/>
      <c r="N216" s="550"/>
      <c r="O216" s="550"/>
      <c r="P216" s="550"/>
      <c r="Q216" s="550"/>
      <c r="R216" s="550"/>
      <c r="S216" s="550"/>
      <c r="T216" s="550"/>
      <c r="U216" s="550"/>
      <c r="V216" s="550"/>
      <c r="W216" s="550"/>
      <c r="X216" s="550"/>
      <c r="Y216" s="550"/>
      <c r="Z216" s="550"/>
      <c r="AA216" s="550"/>
      <c r="AB216" s="550"/>
      <c r="AC216" s="550"/>
      <c r="AD216" s="550"/>
      <c r="AE216" s="550"/>
      <c r="AF216" s="550"/>
      <c r="AG216" s="550"/>
      <c r="AH216" s="550"/>
      <c r="AI216" s="550"/>
      <c r="AJ216" s="550"/>
    </row>
    <row r="217" spans="2:36">
      <c r="B217" s="550"/>
      <c r="C217" s="550"/>
      <c r="D217" s="550"/>
      <c r="E217" s="550"/>
      <c r="F217" s="550"/>
      <c r="G217" s="550"/>
      <c r="H217" s="550"/>
      <c r="I217" s="550"/>
      <c r="J217" s="550"/>
      <c r="K217" s="550"/>
      <c r="L217" s="550"/>
      <c r="M217" s="550"/>
      <c r="N217" s="550"/>
      <c r="O217" s="550"/>
      <c r="P217" s="550"/>
      <c r="Q217" s="550"/>
      <c r="R217" s="550"/>
      <c r="S217" s="550"/>
      <c r="T217" s="550"/>
      <c r="U217" s="550"/>
      <c r="V217" s="550"/>
      <c r="W217" s="550"/>
      <c r="X217" s="550"/>
      <c r="Y217" s="550"/>
      <c r="Z217" s="550"/>
      <c r="AA217" s="550"/>
      <c r="AB217" s="550"/>
      <c r="AC217" s="550"/>
      <c r="AD217" s="550"/>
      <c r="AE217" s="550"/>
      <c r="AF217" s="550"/>
      <c r="AG217" s="550"/>
      <c r="AH217" s="550"/>
      <c r="AI217" s="550"/>
      <c r="AJ217" s="550"/>
    </row>
    <row r="218" spans="2:36">
      <c r="B218" s="550"/>
      <c r="C218" s="550"/>
      <c r="D218" s="550"/>
      <c r="E218" s="550"/>
      <c r="F218" s="550"/>
      <c r="G218" s="550"/>
      <c r="H218" s="550"/>
      <c r="I218" s="550"/>
      <c r="J218" s="550"/>
      <c r="K218" s="550"/>
      <c r="L218" s="550"/>
      <c r="M218" s="550"/>
      <c r="N218" s="550"/>
      <c r="O218" s="550"/>
      <c r="P218" s="550"/>
      <c r="Q218" s="550"/>
      <c r="R218" s="550"/>
      <c r="S218" s="550"/>
      <c r="T218" s="550"/>
      <c r="U218" s="550"/>
      <c r="V218" s="550"/>
      <c r="W218" s="550"/>
      <c r="X218" s="550"/>
      <c r="Y218" s="550"/>
      <c r="Z218" s="550"/>
      <c r="AA218" s="550"/>
      <c r="AB218" s="550"/>
      <c r="AC218" s="550"/>
      <c r="AD218" s="550"/>
      <c r="AE218" s="550"/>
      <c r="AF218" s="550"/>
      <c r="AG218" s="550"/>
      <c r="AH218" s="550"/>
      <c r="AI218" s="550"/>
      <c r="AJ218" s="550"/>
    </row>
    <row r="219" spans="2:36">
      <c r="B219" s="550"/>
      <c r="C219" s="550"/>
      <c r="D219" s="550"/>
      <c r="E219" s="550"/>
      <c r="F219" s="550"/>
      <c r="G219" s="550"/>
      <c r="H219" s="550"/>
      <c r="I219" s="550"/>
      <c r="J219" s="550"/>
      <c r="K219" s="550"/>
      <c r="L219" s="550"/>
      <c r="M219" s="550"/>
      <c r="N219" s="550"/>
      <c r="O219" s="550"/>
      <c r="P219" s="550"/>
      <c r="Q219" s="550"/>
      <c r="R219" s="550"/>
      <c r="S219" s="550"/>
      <c r="T219" s="550"/>
      <c r="U219" s="550"/>
      <c r="V219" s="550"/>
      <c r="W219" s="550"/>
      <c r="X219" s="550"/>
      <c r="Y219" s="550"/>
      <c r="Z219" s="550"/>
      <c r="AA219" s="550"/>
      <c r="AB219" s="550"/>
      <c r="AC219" s="550"/>
      <c r="AD219" s="550"/>
      <c r="AE219" s="550"/>
      <c r="AF219" s="550"/>
      <c r="AG219" s="550"/>
      <c r="AH219" s="550"/>
      <c r="AI219" s="550"/>
      <c r="AJ219" s="550"/>
    </row>
    <row r="220" spans="2:36">
      <c r="B220" s="550"/>
      <c r="C220" s="550"/>
      <c r="D220" s="550"/>
      <c r="E220" s="550"/>
      <c r="F220" s="550"/>
      <c r="G220" s="550"/>
      <c r="H220" s="550"/>
      <c r="I220" s="550"/>
      <c r="J220" s="550"/>
      <c r="K220" s="550"/>
      <c r="L220" s="550"/>
      <c r="M220" s="550"/>
      <c r="N220" s="550"/>
      <c r="O220" s="550"/>
      <c r="P220" s="550"/>
      <c r="Q220" s="550"/>
      <c r="R220" s="550"/>
      <c r="S220" s="550"/>
      <c r="T220" s="550"/>
      <c r="U220" s="550"/>
      <c r="V220" s="550"/>
      <c r="W220" s="550"/>
      <c r="X220" s="550"/>
      <c r="Y220" s="550"/>
      <c r="Z220" s="550"/>
      <c r="AA220" s="550"/>
      <c r="AB220" s="550"/>
      <c r="AC220" s="550"/>
      <c r="AD220" s="550"/>
      <c r="AE220" s="550"/>
      <c r="AF220" s="550"/>
      <c r="AG220" s="550"/>
      <c r="AH220" s="550"/>
      <c r="AI220" s="550"/>
      <c r="AJ220" s="550"/>
    </row>
    <row r="221" spans="2:36">
      <c r="B221" s="550"/>
      <c r="C221" s="550"/>
      <c r="D221" s="550"/>
      <c r="E221" s="550"/>
      <c r="F221" s="550"/>
      <c r="G221" s="550"/>
      <c r="H221" s="550"/>
      <c r="I221" s="550"/>
      <c r="J221" s="550"/>
      <c r="K221" s="550"/>
      <c r="L221" s="550"/>
      <c r="M221" s="550"/>
      <c r="N221" s="550"/>
      <c r="O221" s="550"/>
      <c r="P221" s="550"/>
      <c r="Q221" s="550"/>
      <c r="R221" s="550"/>
      <c r="S221" s="550"/>
      <c r="T221" s="550"/>
      <c r="U221" s="550"/>
      <c r="V221" s="550"/>
      <c r="W221" s="550"/>
      <c r="X221" s="550"/>
      <c r="Y221" s="550"/>
      <c r="Z221" s="550"/>
      <c r="AA221" s="550"/>
      <c r="AB221" s="550"/>
      <c r="AC221" s="550"/>
      <c r="AD221" s="550"/>
      <c r="AE221" s="550"/>
      <c r="AF221" s="550"/>
      <c r="AG221" s="550"/>
      <c r="AH221" s="550"/>
      <c r="AI221" s="550"/>
      <c r="AJ221" s="550"/>
    </row>
    <row r="222" spans="2:36">
      <c r="B222" s="550"/>
      <c r="C222" s="550"/>
      <c r="D222" s="550"/>
      <c r="E222" s="550"/>
      <c r="F222" s="550"/>
      <c r="G222" s="550"/>
      <c r="H222" s="550"/>
      <c r="I222" s="550"/>
      <c r="J222" s="550"/>
      <c r="K222" s="550"/>
      <c r="L222" s="550"/>
      <c r="M222" s="550"/>
      <c r="N222" s="550"/>
      <c r="O222" s="550"/>
      <c r="P222" s="550"/>
      <c r="Q222" s="550"/>
      <c r="R222" s="550"/>
      <c r="S222" s="550"/>
      <c r="T222" s="550"/>
      <c r="U222" s="550"/>
      <c r="V222" s="550"/>
      <c r="W222" s="550"/>
      <c r="X222" s="550"/>
      <c r="Y222" s="550"/>
      <c r="Z222" s="550"/>
      <c r="AA222" s="550"/>
      <c r="AB222" s="550"/>
      <c r="AC222" s="550"/>
      <c r="AD222" s="550"/>
      <c r="AE222" s="550"/>
      <c r="AF222" s="550"/>
      <c r="AG222" s="550"/>
      <c r="AH222" s="550"/>
      <c r="AI222" s="550"/>
      <c r="AJ222" s="550"/>
    </row>
    <row r="223" spans="2:36">
      <c r="B223" s="550"/>
      <c r="C223" s="550"/>
      <c r="D223" s="550"/>
      <c r="E223" s="550"/>
      <c r="F223" s="550"/>
      <c r="G223" s="550"/>
      <c r="H223" s="550"/>
      <c r="I223" s="550"/>
      <c r="J223" s="550"/>
      <c r="K223" s="550"/>
      <c r="L223" s="550"/>
      <c r="M223" s="550"/>
      <c r="N223" s="550"/>
      <c r="O223" s="550"/>
      <c r="P223" s="550"/>
      <c r="Q223" s="550"/>
      <c r="R223" s="550"/>
      <c r="S223" s="550"/>
      <c r="T223" s="550"/>
      <c r="U223" s="550"/>
      <c r="V223" s="550"/>
      <c r="W223" s="550"/>
      <c r="X223" s="550"/>
      <c r="Y223" s="550"/>
      <c r="Z223" s="550"/>
      <c r="AA223" s="550"/>
      <c r="AB223" s="550"/>
      <c r="AC223" s="550"/>
      <c r="AD223" s="550"/>
      <c r="AE223" s="550"/>
      <c r="AF223" s="550"/>
      <c r="AG223" s="550"/>
      <c r="AH223" s="550"/>
      <c r="AI223" s="550"/>
      <c r="AJ223" s="550"/>
    </row>
    <row r="224" spans="2:36">
      <c r="B224" s="550"/>
      <c r="C224" s="550"/>
      <c r="D224" s="550"/>
      <c r="E224" s="550"/>
      <c r="F224" s="550"/>
      <c r="G224" s="550"/>
      <c r="H224" s="550"/>
      <c r="I224" s="550"/>
      <c r="J224" s="550"/>
      <c r="K224" s="550"/>
      <c r="L224" s="550"/>
      <c r="M224" s="550"/>
      <c r="N224" s="550"/>
      <c r="O224" s="550"/>
      <c r="P224" s="550"/>
      <c r="Q224" s="550"/>
      <c r="R224" s="550"/>
      <c r="S224" s="550"/>
      <c r="T224" s="550"/>
      <c r="U224" s="550"/>
      <c r="V224" s="550"/>
      <c r="W224" s="550"/>
      <c r="X224" s="550"/>
      <c r="Y224" s="550"/>
      <c r="Z224" s="550"/>
      <c r="AA224" s="550"/>
      <c r="AB224" s="550"/>
      <c r="AC224" s="550"/>
      <c r="AD224" s="550"/>
      <c r="AE224" s="550"/>
      <c r="AF224" s="550"/>
      <c r="AG224" s="550"/>
      <c r="AH224" s="550"/>
      <c r="AI224" s="550"/>
      <c r="AJ224" s="550"/>
    </row>
    <row r="225" spans="2:36">
      <c r="B225" s="550"/>
      <c r="C225" s="550"/>
      <c r="D225" s="550"/>
      <c r="E225" s="550"/>
      <c r="F225" s="550"/>
      <c r="G225" s="550"/>
      <c r="H225" s="550"/>
      <c r="I225" s="550"/>
      <c r="J225" s="550"/>
      <c r="K225" s="550"/>
      <c r="L225" s="550"/>
      <c r="M225" s="550"/>
      <c r="N225" s="550"/>
      <c r="O225" s="550"/>
      <c r="P225" s="550"/>
      <c r="Q225" s="550"/>
      <c r="R225" s="550"/>
      <c r="S225" s="550"/>
      <c r="T225" s="550"/>
      <c r="U225" s="550"/>
      <c r="V225" s="550"/>
      <c r="W225" s="550"/>
      <c r="X225" s="550"/>
      <c r="Y225" s="550"/>
      <c r="Z225" s="550"/>
      <c r="AA225" s="550"/>
      <c r="AB225" s="550"/>
      <c r="AC225" s="550"/>
      <c r="AD225" s="550"/>
      <c r="AE225" s="550"/>
      <c r="AF225" s="550"/>
      <c r="AG225" s="550"/>
      <c r="AH225" s="550"/>
      <c r="AI225" s="550"/>
      <c r="AJ225" s="550"/>
    </row>
    <row r="226" spans="2:36">
      <c r="B226" s="550"/>
      <c r="C226" s="550"/>
      <c r="D226" s="550"/>
      <c r="E226" s="550"/>
      <c r="F226" s="550"/>
      <c r="G226" s="550"/>
      <c r="H226" s="550"/>
      <c r="I226" s="550"/>
      <c r="J226" s="550"/>
      <c r="K226" s="550"/>
      <c r="L226" s="550"/>
      <c r="M226" s="550"/>
      <c r="N226" s="550"/>
      <c r="O226" s="550"/>
      <c r="P226" s="550"/>
      <c r="Q226" s="550"/>
      <c r="R226" s="550"/>
      <c r="S226" s="550"/>
      <c r="T226" s="550"/>
      <c r="U226" s="550"/>
      <c r="V226" s="550"/>
      <c r="W226" s="550"/>
      <c r="X226" s="550"/>
      <c r="Y226" s="550"/>
      <c r="Z226" s="550"/>
      <c r="AA226" s="550"/>
      <c r="AB226" s="550"/>
      <c r="AC226" s="550"/>
      <c r="AD226" s="550"/>
      <c r="AE226" s="550"/>
      <c r="AF226" s="550"/>
      <c r="AG226" s="550"/>
      <c r="AH226" s="550"/>
      <c r="AI226" s="550"/>
      <c r="AJ226" s="550"/>
    </row>
    <row r="227" spans="2:36">
      <c r="B227" s="550"/>
      <c r="C227" s="550"/>
      <c r="D227" s="550"/>
      <c r="E227" s="550"/>
      <c r="F227" s="550"/>
      <c r="G227" s="550"/>
      <c r="H227" s="550"/>
      <c r="I227" s="550"/>
      <c r="J227" s="550"/>
      <c r="K227" s="550"/>
      <c r="L227" s="550"/>
      <c r="M227" s="550"/>
      <c r="N227" s="550"/>
      <c r="O227" s="550"/>
      <c r="P227" s="550"/>
      <c r="Q227" s="550"/>
      <c r="R227" s="550"/>
      <c r="S227" s="550"/>
      <c r="T227" s="550"/>
      <c r="U227" s="550"/>
      <c r="V227" s="550"/>
      <c r="W227" s="550"/>
      <c r="X227" s="550"/>
      <c r="Y227" s="550"/>
      <c r="Z227" s="550"/>
      <c r="AA227" s="550"/>
      <c r="AB227" s="550"/>
      <c r="AC227" s="550"/>
      <c r="AD227" s="550"/>
      <c r="AE227" s="550"/>
      <c r="AF227" s="550"/>
      <c r="AG227" s="550"/>
      <c r="AH227" s="550"/>
      <c r="AI227" s="550"/>
      <c r="AJ227" s="550"/>
    </row>
    <row r="228" spans="2:36">
      <c r="B228" s="550"/>
      <c r="C228" s="550"/>
      <c r="D228" s="550"/>
      <c r="E228" s="550"/>
      <c r="F228" s="550"/>
      <c r="G228" s="550"/>
      <c r="H228" s="550"/>
      <c r="I228" s="550"/>
      <c r="J228" s="550"/>
      <c r="K228" s="550"/>
      <c r="L228" s="550"/>
      <c r="M228" s="550"/>
      <c r="N228" s="550"/>
      <c r="O228" s="550"/>
      <c r="P228" s="550"/>
      <c r="Q228" s="550"/>
      <c r="R228" s="550"/>
      <c r="S228" s="550"/>
      <c r="T228" s="550"/>
      <c r="U228" s="550"/>
      <c r="V228" s="550"/>
      <c r="W228" s="550"/>
      <c r="X228" s="550"/>
      <c r="Y228" s="550"/>
      <c r="Z228" s="550"/>
      <c r="AA228" s="550"/>
      <c r="AB228" s="550"/>
      <c r="AC228" s="550"/>
      <c r="AD228" s="550"/>
      <c r="AE228" s="550"/>
      <c r="AF228" s="550"/>
      <c r="AG228" s="550"/>
      <c r="AH228" s="550"/>
      <c r="AI228" s="550"/>
      <c r="AJ228" s="550"/>
    </row>
    <row r="229" spans="2:36">
      <c r="B229" s="550"/>
      <c r="C229" s="550"/>
      <c r="D229" s="550"/>
      <c r="E229" s="550"/>
      <c r="F229" s="550"/>
      <c r="G229" s="550"/>
      <c r="H229" s="550"/>
      <c r="I229" s="550"/>
      <c r="J229" s="550"/>
      <c r="K229" s="550"/>
      <c r="L229" s="550"/>
      <c r="M229" s="550"/>
      <c r="N229" s="550"/>
      <c r="O229" s="550"/>
      <c r="P229" s="550"/>
      <c r="Q229" s="550"/>
      <c r="R229" s="550"/>
      <c r="S229" s="550"/>
      <c r="T229" s="550"/>
      <c r="U229" s="550"/>
      <c r="V229" s="550"/>
      <c r="W229" s="550"/>
      <c r="X229" s="550"/>
      <c r="Y229" s="550"/>
      <c r="Z229" s="550"/>
      <c r="AA229" s="550"/>
      <c r="AB229" s="550"/>
      <c r="AC229" s="550"/>
      <c r="AD229" s="550"/>
      <c r="AE229" s="550"/>
      <c r="AF229" s="550"/>
      <c r="AG229" s="550"/>
      <c r="AH229" s="550"/>
      <c r="AI229" s="550"/>
      <c r="AJ229" s="550"/>
    </row>
    <row r="230" spans="2:36">
      <c r="B230" s="550"/>
      <c r="C230" s="550"/>
      <c r="D230" s="550"/>
      <c r="E230" s="550"/>
      <c r="F230" s="550"/>
      <c r="G230" s="550"/>
      <c r="H230" s="550"/>
      <c r="I230" s="550"/>
      <c r="J230" s="550"/>
      <c r="K230" s="550"/>
      <c r="L230" s="550"/>
      <c r="M230" s="550"/>
      <c r="N230" s="550"/>
      <c r="O230" s="550"/>
      <c r="P230" s="550"/>
      <c r="Q230" s="550"/>
      <c r="R230" s="550"/>
      <c r="S230" s="550"/>
      <c r="T230" s="550"/>
      <c r="U230" s="550"/>
      <c r="V230" s="550"/>
      <c r="W230" s="550"/>
      <c r="X230" s="550"/>
      <c r="Y230" s="550"/>
      <c r="Z230" s="550"/>
      <c r="AA230" s="550"/>
      <c r="AB230" s="550"/>
      <c r="AC230" s="550"/>
      <c r="AD230" s="550"/>
      <c r="AE230" s="550"/>
      <c r="AF230" s="550"/>
      <c r="AG230" s="550"/>
      <c r="AH230" s="550"/>
      <c r="AI230" s="550"/>
      <c r="AJ230" s="550"/>
    </row>
    <row r="231" spans="2:36">
      <c r="B231" s="550"/>
      <c r="C231" s="550"/>
      <c r="D231" s="550"/>
      <c r="E231" s="550"/>
      <c r="F231" s="550"/>
      <c r="G231" s="550"/>
      <c r="H231" s="550"/>
      <c r="I231" s="550"/>
      <c r="J231" s="550"/>
      <c r="K231" s="550"/>
      <c r="L231" s="550"/>
      <c r="M231" s="550"/>
      <c r="N231" s="550"/>
      <c r="O231" s="550"/>
      <c r="P231" s="550"/>
      <c r="Q231" s="550"/>
      <c r="R231" s="550"/>
      <c r="S231" s="550"/>
      <c r="T231" s="550"/>
      <c r="U231" s="550"/>
      <c r="V231" s="550"/>
      <c r="W231" s="550"/>
      <c r="X231" s="550"/>
      <c r="Y231" s="550"/>
      <c r="Z231" s="550"/>
      <c r="AA231" s="550"/>
      <c r="AB231" s="550"/>
      <c r="AC231" s="550"/>
      <c r="AD231" s="550"/>
      <c r="AE231" s="550"/>
      <c r="AF231" s="550"/>
      <c r="AG231" s="550"/>
      <c r="AH231" s="550"/>
      <c r="AI231" s="550"/>
      <c r="AJ231" s="550"/>
    </row>
    <row r="232" spans="2:36">
      <c r="B232" s="550"/>
      <c r="C232" s="550"/>
      <c r="D232" s="550"/>
      <c r="E232" s="550"/>
      <c r="F232" s="550"/>
      <c r="G232" s="550"/>
      <c r="H232" s="550"/>
      <c r="I232" s="550"/>
      <c r="J232" s="550"/>
      <c r="K232" s="550"/>
      <c r="L232" s="550"/>
      <c r="M232" s="550"/>
      <c r="N232" s="550"/>
      <c r="O232" s="550"/>
      <c r="P232" s="550"/>
      <c r="Q232" s="550"/>
      <c r="R232" s="550"/>
      <c r="S232" s="550"/>
      <c r="T232" s="550"/>
      <c r="U232" s="550"/>
      <c r="V232" s="550"/>
      <c r="W232" s="550"/>
      <c r="X232" s="550"/>
      <c r="Y232" s="550"/>
      <c r="Z232" s="550"/>
      <c r="AA232" s="550"/>
      <c r="AB232" s="550"/>
      <c r="AC232" s="550"/>
      <c r="AD232" s="550"/>
      <c r="AE232" s="550"/>
      <c r="AF232" s="550"/>
      <c r="AG232" s="550"/>
      <c r="AH232" s="550"/>
      <c r="AI232" s="550"/>
      <c r="AJ232" s="550"/>
    </row>
    <row r="233" spans="2:36">
      <c r="B233" s="550"/>
      <c r="C233" s="550"/>
      <c r="D233" s="550"/>
      <c r="E233" s="550"/>
      <c r="F233" s="550"/>
      <c r="G233" s="550"/>
      <c r="H233" s="550"/>
      <c r="I233" s="550"/>
      <c r="J233" s="550"/>
      <c r="K233" s="550"/>
      <c r="L233" s="550"/>
      <c r="M233" s="550"/>
      <c r="N233" s="550"/>
      <c r="O233" s="550"/>
      <c r="P233" s="550"/>
      <c r="Q233" s="550"/>
      <c r="R233" s="550"/>
      <c r="S233" s="550"/>
      <c r="T233" s="550"/>
      <c r="U233" s="550"/>
      <c r="V233" s="550"/>
      <c r="W233" s="550"/>
      <c r="X233" s="550"/>
      <c r="Y233" s="550"/>
      <c r="Z233" s="550"/>
      <c r="AA233" s="550"/>
      <c r="AB233" s="550"/>
      <c r="AC233" s="550"/>
      <c r="AD233" s="550"/>
      <c r="AE233" s="550"/>
      <c r="AF233" s="550"/>
      <c r="AG233" s="550"/>
      <c r="AH233" s="550"/>
      <c r="AI233" s="550"/>
      <c r="AJ233" s="550"/>
    </row>
    <row r="234" spans="2:36">
      <c r="B234" s="550"/>
      <c r="C234" s="550"/>
      <c r="D234" s="550"/>
      <c r="E234" s="550"/>
      <c r="F234" s="550"/>
      <c r="G234" s="550"/>
      <c r="H234" s="550"/>
      <c r="I234" s="550"/>
      <c r="J234" s="550"/>
      <c r="K234" s="550"/>
      <c r="L234" s="550"/>
      <c r="M234" s="550"/>
      <c r="N234" s="550"/>
      <c r="O234" s="550"/>
      <c r="P234" s="550"/>
      <c r="Q234" s="550"/>
      <c r="R234" s="550"/>
      <c r="S234" s="550"/>
      <c r="T234" s="550"/>
      <c r="U234" s="550"/>
      <c r="V234" s="550"/>
      <c r="W234" s="550"/>
      <c r="X234" s="550"/>
      <c r="Y234" s="550"/>
      <c r="Z234" s="550"/>
      <c r="AA234" s="550"/>
      <c r="AB234" s="550"/>
      <c r="AC234" s="550"/>
      <c r="AD234" s="550"/>
      <c r="AE234" s="550"/>
      <c r="AF234" s="550"/>
      <c r="AG234" s="550"/>
      <c r="AH234" s="550"/>
      <c r="AI234" s="550"/>
      <c r="AJ234" s="550"/>
    </row>
    <row r="235" spans="2:36">
      <c r="B235" s="550"/>
      <c r="C235" s="550"/>
      <c r="D235" s="550"/>
      <c r="E235" s="550"/>
      <c r="F235" s="550"/>
      <c r="G235" s="550"/>
      <c r="H235" s="550"/>
      <c r="I235" s="550"/>
      <c r="J235" s="550"/>
      <c r="K235" s="550"/>
      <c r="L235" s="550"/>
      <c r="M235" s="550"/>
      <c r="N235" s="550"/>
      <c r="O235" s="550"/>
      <c r="P235" s="550"/>
      <c r="Q235" s="550"/>
      <c r="R235" s="550"/>
      <c r="S235" s="550"/>
      <c r="T235" s="550"/>
      <c r="U235" s="550"/>
      <c r="V235" s="550"/>
      <c r="W235" s="550"/>
      <c r="X235" s="550"/>
      <c r="Y235" s="550"/>
      <c r="Z235" s="550"/>
      <c r="AA235" s="550"/>
      <c r="AB235" s="550"/>
      <c r="AC235" s="550"/>
      <c r="AD235" s="550"/>
      <c r="AE235" s="550"/>
      <c r="AF235" s="550"/>
      <c r="AG235" s="550"/>
      <c r="AH235" s="550"/>
      <c r="AI235" s="550"/>
      <c r="AJ235" s="550"/>
    </row>
    <row r="236" spans="2:36">
      <c r="B236" s="550"/>
      <c r="C236" s="550"/>
      <c r="D236" s="550"/>
      <c r="E236" s="550"/>
      <c r="F236" s="550"/>
      <c r="G236" s="550"/>
      <c r="H236" s="550"/>
      <c r="I236" s="550"/>
      <c r="J236" s="550"/>
      <c r="K236" s="550"/>
      <c r="L236" s="550"/>
      <c r="M236" s="550"/>
      <c r="N236" s="550"/>
      <c r="O236" s="550"/>
      <c r="P236" s="550"/>
      <c r="Q236" s="550"/>
      <c r="R236" s="550"/>
      <c r="S236" s="550"/>
      <c r="T236" s="550"/>
      <c r="U236" s="550"/>
      <c r="V236" s="550"/>
      <c r="W236" s="550"/>
      <c r="X236" s="550"/>
      <c r="Y236" s="550"/>
      <c r="Z236" s="550"/>
      <c r="AA236" s="550"/>
      <c r="AB236" s="550"/>
      <c r="AC236" s="550"/>
      <c r="AD236" s="550"/>
      <c r="AE236" s="550"/>
      <c r="AF236" s="550"/>
      <c r="AG236" s="550"/>
      <c r="AH236" s="550"/>
      <c r="AI236" s="550"/>
      <c r="AJ236" s="550"/>
    </row>
    <row r="237" spans="2:36">
      <c r="B237" s="550"/>
      <c r="C237" s="550"/>
      <c r="D237" s="550"/>
      <c r="E237" s="550"/>
      <c r="F237" s="550"/>
      <c r="G237" s="550"/>
      <c r="H237" s="550"/>
      <c r="I237" s="550"/>
      <c r="J237" s="550"/>
      <c r="K237" s="550"/>
      <c r="L237" s="550"/>
      <c r="M237" s="550"/>
      <c r="N237" s="550"/>
      <c r="O237" s="550"/>
      <c r="P237" s="550"/>
      <c r="Q237" s="550"/>
      <c r="R237" s="550"/>
      <c r="S237" s="550"/>
      <c r="T237" s="550"/>
      <c r="U237" s="550"/>
      <c r="V237" s="550"/>
      <c r="W237" s="550"/>
      <c r="X237" s="550"/>
      <c r="Y237" s="550"/>
      <c r="Z237" s="550"/>
      <c r="AA237" s="550"/>
      <c r="AB237" s="550"/>
      <c r="AC237" s="550"/>
      <c r="AD237" s="550"/>
      <c r="AE237" s="550"/>
      <c r="AF237" s="550"/>
      <c r="AG237" s="550"/>
      <c r="AH237" s="550"/>
      <c r="AI237" s="550"/>
      <c r="AJ237" s="550"/>
    </row>
    <row r="238" spans="2:36">
      <c r="B238" s="550"/>
      <c r="C238" s="550"/>
      <c r="D238" s="550"/>
      <c r="E238" s="550"/>
      <c r="F238" s="550"/>
      <c r="G238" s="550"/>
      <c r="H238" s="550"/>
      <c r="I238" s="550"/>
      <c r="J238" s="550"/>
      <c r="K238" s="550"/>
      <c r="L238" s="550"/>
      <c r="M238" s="550"/>
      <c r="N238" s="550"/>
      <c r="O238" s="550"/>
      <c r="P238" s="550"/>
      <c r="Q238" s="550"/>
      <c r="R238" s="550"/>
      <c r="S238" s="550"/>
      <c r="T238" s="550"/>
      <c r="U238" s="550"/>
      <c r="V238" s="550"/>
      <c r="W238" s="550"/>
      <c r="X238" s="550"/>
      <c r="Y238" s="550"/>
      <c r="Z238" s="550"/>
      <c r="AA238" s="550"/>
      <c r="AB238" s="550"/>
      <c r="AC238" s="550"/>
      <c r="AD238" s="550"/>
      <c r="AE238" s="550"/>
      <c r="AF238" s="550"/>
      <c r="AG238" s="550"/>
      <c r="AH238" s="550"/>
      <c r="AI238" s="550"/>
      <c r="AJ238" s="550"/>
    </row>
    <row r="239" spans="2:36">
      <c r="B239" s="550"/>
      <c r="C239" s="550"/>
      <c r="D239" s="550"/>
      <c r="E239" s="550"/>
      <c r="F239" s="550"/>
      <c r="G239" s="550"/>
      <c r="H239" s="550"/>
      <c r="I239" s="550"/>
      <c r="J239" s="550"/>
      <c r="K239" s="550"/>
      <c r="L239" s="550"/>
      <c r="M239" s="550"/>
      <c r="N239" s="550"/>
      <c r="O239" s="550"/>
      <c r="P239" s="550"/>
      <c r="Q239" s="550"/>
      <c r="R239" s="550"/>
      <c r="S239" s="550"/>
      <c r="T239" s="550"/>
      <c r="U239" s="550"/>
      <c r="V239" s="550"/>
      <c r="W239" s="550"/>
      <c r="X239" s="550"/>
      <c r="Y239" s="550"/>
      <c r="Z239" s="550"/>
      <c r="AA239" s="550"/>
      <c r="AB239" s="550"/>
      <c r="AC239" s="550"/>
      <c r="AD239" s="550"/>
      <c r="AE239" s="550"/>
      <c r="AF239" s="550"/>
      <c r="AG239" s="550"/>
      <c r="AH239" s="550"/>
      <c r="AI239" s="550"/>
      <c r="AJ239" s="550"/>
    </row>
    <row r="240" spans="2:36">
      <c r="B240" s="550"/>
      <c r="C240" s="550"/>
      <c r="D240" s="550"/>
      <c r="E240" s="550"/>
      <c r="F240" s="550"/>
      <c r="G240" s="550"/>
      <c r="H240" s="550"/>
      <c r="I240" s="550"/>
      <c r="J240" s="550"/>
      <c r="K240" s="550"/>
      <c r="L240" s="550"/>
      <c r="M240" s="550"/>
      <c r="N240" s="550"/>
      <c r="O240" s="550"/>
      <c r="P240" s="550"/>
      <c r="Q240" s="550"/>
      <c r="R240" s="550"/>
      <c r="S240" s="550"/>
      <c r="T240" s="550"/>
      <c r="U240" s="550"/>
      <c r="V240" s="550"/>
      <c r="W240" s="550"/>
      <c r="X240" s="550"/>
      <c r="Y240" s="550"/>
      <c r="Z240" s="550"/>
      <c r="AA240" s="550"/>
      <c r="AB240" s="550"/>
      <c r="AC240" s="550"/>
      <c r="AD240" s="550"/>
      <c r="AE240" s="550"/>
      <c r="AF240" s="550"/>
      <c r="AG240" s="550"/>
      <c r="AH240" s="550"/>
      <c r="AI240" s="550"/>
      <c r="AJ240" s="550"/>
    </row>
    <row r="241" spans="2:36">
      <c r="B241" s="550"/>
      <c r="C241" s="550"/>
      <c r="D241" s="550"/>
      <c r="E241" s="550"/>
      <c r="F241" s="550"/>
      <c r="G241" s="550"/>
      <c r="H241" s="550"/>
      <c r="I241" s="550"/>
      <c r="J241" s="550"/>
      <c r="K241" s="550"/>
      <c r="L241" s="550"/>
      <c r="M241" s="550"/>
      <c r="N241" s="550"/>
      <c r="O241" s="550"/>
      <c r="P241" s="550"/>
      <c r="Q241" s="550"/>
      <c r="R241" s="550"/>
      <c r="S241" s="550"/>
      <c r="T241" s="550"/>
      <c r="U241" s="550"/>
      <c r="V241" s="550"/>
      <c r="W241" s="550"/>
      <c r="X241" s="550"/>
      <c r="Y241" s="550"/>
      <c r="Z241" s="550"/>
      <c r="AA241" s="550"/>
      <c r="AB241" s="550"/>
      <c r="AC241" s="550"/>
      <c r="AD241" s="550"/>
      <c r="AE241" s="550"/>
      <c r="AF241" s="550"/>
      <c r="AG241" s="550"/>
      <c r="AH241" s="550"/>
      <c r="AI241" s="550"/>
      <c r="AJ241" s="550"/>
    </row>
    <row r="242" spans="2:36">
      <c r="B242" s="550"/>
      <c r="C242" s="550"/>
      <c r="D242" s="550"/>
      <c r="E242" s="550"/>
      <c r="F242" s="550"/>
      <c r="G242" s="550"/>
      <c r="H242" s="550"/>
      <c r="I242" s="550"/>
      <c r="J242" s="550"/>
      <c r="K242" s="550"/>
      <c r="L242" s="550"/>
      <c r="M242" s="550"/>
      <c r="N242" s="550"/>
      <c r="O242" s="550"/>
      <c r="P242" s="550"/>
      <c r="Q242" s="550"/>
      <c r="R242" s="550"/>
      <c r="S242" s="550"/>
      <c r="T242" s="550"/>
      <c r="U242" s="550"/>
      <c r="V242" s="550"/>
      <c r="W242" s="550"/>
      <c r="X242" s="550"/>
      <c r="Y242" s="550"/>
      <c r="Z242" s="550"/>
      <c r="AA242" s="550"/>
      <c r="AB242" s="550"/>
      <c r="AC242" s="550"/>
      <c r="AD242" s="550"/>
      <c r="AE242" s="550"/>
      <c r="AF242" s="550"/>
      <c r="AG242" s="550"/>
      <c r="AH242" s="550"/>
      <c r="AI242" s="550"/>
      <c r="AJ242" s="550"/>
    </row>
    <row r="243" spans="2:36">
      <c r="B243" s="550"/>
      <c r="C243" s="550"/>
      <c r="D243" s="550"/>
      <c r="E243" s="550"/>
      <c r="F243" s="550"/>
      <c r="G243" s="550"/>
      <c r="H243" s="550"/>
      <c r="I243" s="550"/>
      <c r="J243" s="550"/>
      <c r="K243" s="550"/>
      <c r="L243" s="550"/>
      <c r="M243" s="550"/>
      <c r="N243" s="550"/>
      <c r="O243" s="550"/>
      <c r="P243" s="550"/>
      <c r="Q243" s="550"/>
      <c r="R243" s="550"/>
      <c r="S243" s="550"/>
      <c r="T243" s="550"/>
      <c r="U243" s="550"/>
      <c r="V243" s="550"/>
      <c r="W243" s="550"/>
      <c r="X243" s="550"/>
      <c r="Y243" s="550"/>
      <c r="Z243" s="550"/>
      <c r="AA243" s="550"/>
      <c r="AB243" s="550"/>
      <c r="AC243" s="550"/>
      <c r="AD243" s="550"/>
      <c r="AE243" s="550"/>
      <c r="AF243" s="550"/>
      <c r="AG243" s="550"/>
      <c r="AH243" s="550"/>
      <c r="AI243" s="550"/>
      <c r="AJ243" s="550"/>
    </row>
    <row r="244" spans="2:36">
      <c r="B244" s="550"/>
      <c r="C244" s="550"/>
      <c r="D244" s="550"/>
      <c r="E244" s="550"/>
      <c r="F244" s="550"/>
      <c r="G244" s="550"/>
      <c r="H244" s="550"/>
      <c r="I244" s="550"/>
      <c r="J244" s="550"/>
      <c r="K244" s="550"/>
      <c r="L244" s="550"/>
      <c r="M244" s="550"/>
      <c r="N244" s="550"/>
      <c r="O244" s="550"/>
      <c r="P244" s="550"/>
      <c r="Q244" s="550"/>
      <c r="R244" s="550"/>
      <c r="S244" s="550"/>
      <c r="T244" s="550"/>
      <c r="U244" s="550"/>
      <c r="V244" s="550"/>
      <c r="W244" s="550"/>
      <c r="X244" s="550"/>
      <c r="Y244" s="550"/>
      <c r="Z244" s="550"/>
      <c r="AA244" s="550"/>
      <c r="AB244" s="550"/>
      <c r="AC244" s="550"/>
      <c r="AD244" s="550"/>
      <c r="AE244" s="550"/>
      <c r="AF244" s="550"/>
      <c r="AG244" s="550"/>
      <c r="AH244" s="550"/>
      <c r="AI244" s="550"/>
      <c r="AJ244" s="550"/>
    </row>
    <row r="245" spans="2:36">
      <c r="B245" s="550"/>
      <c r="C245" s="550"/>
      <c r="D245" s="550"/>
      <c r="E245" s="550"/>
      <c r="F245" s="550"/>
      <c r="G245" s="550"/>
      <c r="H245" s="550"/>
      <c r="I245" s="550"/>
      <c r="J245" s="550"/>
      <c r="K245" s="550"/>
      <c r="L245" s="550"/>
      <c r="M245" s="550"/>
      <c r="N245" s="550"/>
      <c r="O245" s="550"/>
      <c r="P245" s="550"/>
      <c r="Q245" s="550"/>
      <c r="R245" s="550"/>
      <c r="S245" s="550"/>
      <c r="T245" s="550"/>
      <c r="U245" s="550"/>
      <c r="V245" s="550"/>
      <c r="W245" s="550"/>
      <c r="X245" s="550"/>
      <c r="Y245" s="550"/>
      <c r="Z245" s="550"/>
      <c r="AA245" s="550"/>
      <c r="AB245" s="550"/>
      <c r="AC245" s="550"/>
      <c r="AD245" s="550"/>
      <c r="AE245" s="550"/>
      <c r="AF245" s="550"/>
      <c r="AG245" s="550"/>
      <c r="AH245" s="550"/>
      <c r="AI245" s="550"/>
      <c r="AJ245" s="550"/>
    </row>
    <row r="246" spans="2:36">
      <c r="B246" s="550"/>
      <c r="C246" s="550"/>
      <c r="D246" s="550"/>
      <c r="E246" s="550"/>
      <c r="F246" s="550"/>
      <c r="G246" s="550"/>
      <c r="H246" s="550"/>
      <c r="I246" s="550"/>
      <c r="J246" s="550"/>
      <c r="K246" s="550"/>
      <c r="L246" s="550"/>
      <c r="M246" s="550"/>
      <c r="N246" s="550"/>
      <c r="O246" s="550"/>
      <c r="P246" s="550"/>
      <c r="Q246" s="550"/>
      <c r="R246" s="550"/>
      <c r="S246" s="550"/>
      <c r="T246" s="550"/>
      <c r="U246" s="550"/>
      <c r="V246" s="550"/>
      <c r="W246" s="550"/>
      <c r="X246" s="550"/>
      <c r="Y246" s="550"/>
      <c r="Z246" s="550"/>
      <c r="AA246" s="550"/>
      <c r="AB246" s="550"/>
      <c r="AC246" s="550"/>
      <c r="AD246" s="550"/>
      <c r="AE246" s="550"/>
      <c r="AF246" s="550"/>
      <c r="AG246" s="550"/>
      <c r="AH246" s="550"/>
      <c r="AI246" s="550"/>
      <c r="AJ246" s="550"/>
    </row>
    <row r="247" spans="2:36">
      <c r="B247" s="550"/>
      <c r="C247" s="550"/>
      <c r="D247" s="550"/>
      <c r="E247" s="550"/>
      <c r="F247" s="550"/>
      <c r="G247" s="550"/>
      <c r="H247" s="550"/>
      <c r="I247" s="550"/>
      <c r="J247" s="550"/>
      <c r="K247" s="550"/>
      <c r="L247" s="550"/>
      <c r="M247" s="550"/>
      <c r="N247" s="550"/>
      <c r="O247" s="550"/>
      <c r="P247" s="550"/>
      <c r="Q247" s="550"/>
      <c r="R247" s="550"/>
      <c r="S247" s="550"/>
      <c r="T247" s="550"/>
      <c r="U247" s="550"/>
      <c r="V247" s="550"/>
      <c r="W247" s="550"/>
      <c r="X247" s="550"/>
      <c r="Y247" s="550"/>
      <c r="Z247" s="550"/>
      <c r="AA247" s="550"/>
      <c r="AB247" s="550"/>
      <c r="AC247" s="550"/>
      <c r="AD247" s="550"/>
      <c r="AE247" s="550"/>
      <c r="AF247" s="550"/>
      <c r="AG247" s="550"/>
      <c r="AH247" s="550"/>
      <c r="AI247" s="550"/>
      <c r="AJ247" s="550"/>
    </row>
    <row r="248" spans="2:36">
      <c r="B248" s="550"/>
      <c r="C248" s="550"/>
      <c r="D248" s="550"/>
      <c r="E248" s="550"/>
      <c r="F248" s="550"/>
      <c r="G248" s="550"/>
      <c r="H248" s="550"/>
      <c r="I248" s="550"/>
      <c r="J248" s="550"/>
      <c r="K248" s="550"/>
      <c r="L248" s="550"/>
      <c r="M248" s="550"/>
      <c r="N248" s="550"/>
      <c r="O248" s="550"/>
      <c r="P248" s="550"/>
      <c r="Q248" s="550"/>
      <c r="R248" s="550"/>
      <c r="S248" s="550"/>
      <c r="T248" s="550"/>
      <c r="U248" s="550"/>
      <c r="V248" s="550"/>
      <c r="W248" s="550"/>
      <c r="X248" s="550"/>
      <c r="Y248" s="550"/>
      <c r="Z248" s="550"/>
      <c r="AA248" s="550"/>
      <c r="AB248" s="550"/>
      <c r="AC248" s="550"/>
      <c r="AD248" s="550"/>
      <c r="AE248" s="550"/>
      <c r="AF248" s="550"/>
      <c r="AG248" s="550"/>
      <c r="AH248" s="550"/>
      <c r="AI248" s="550"/>
      <c r="AJ248" s="550"/>
    </row>
    <row r="249" spans="2:36">
      <c r="B249" s="550"/>
      <c r="C249" s="550"/>
      <c r="D249" s="550"/>
      <c r="E249" s="550"/>
      <c r="F249" s="550"/>
      <c r="G249" s="550"/>
      <c r="H249" s="550"/>
      <c r="I249" s="550"/>
      <c r="J249" s="550"/>
      <c r="K249" s="550"/>
      <c r="L249" s="550"/>
      <c r="M249" s="550"/>
      <c r="N249" s="550"/>
      <c r="O249" s="550"/>
      <c r="P249" s="550"/>
      <c r="Q249" s="550"/>
      <c r="R249" s="550"/>
      <c r="S249" s="550"/>
      <c r="T249" s="550"/>
      <c r="U249" s="550"/>
      <c r="V249" s="550"/>
      <c r="W249" s="550"/>
      <c r="X249" s="550"/>
      <c r="Y249" s="550"/>
      <c r="Z249" s="550"/>
      <c r="AA249" s="550"/>
      <c r="AB249" s="550"/>
      <c r="AC249" s="550"/>
      <c r="AD249" s="550"/>
      <c r="AE249" s="550"/>
      <c r="AF249" s="550"/>
      <c r="AG249" s="550"/>
      <c r="AH249" s="550"/>
      <c r="AI249" s="550"/>
      <c r="AJ249" s="550"/>
    </row>
    <row r="250" spans="2:36">
      <c r="B250" s="550"/>
      <c r="C250" s="550"/>
      <c r="D250" s="550"/>
      <c r="E250" s="550"/>
      <c r="F250" s="550"/>
      <c r="G250" s="550"/>
      <c r="H250" s="550"/>
      <c r="I250" s="550"/>
      <c r="J250" s="550"/>
      <c r="K250" s="550"/>
      <c r="L250" s="550"/>
      <c r="M250" s="550"/>
      <c r="N250" s="550"/>
      <c r="O250" s="550"/>
      <c r="P250" s="550"/>
      <c r="Q250" s="550"/>
      <c r="R250" s="550"/>
      <c r="S250" s="550"/>
      <c r="T250" s="550"/>
      <c r="U250" s="550"/>
      <c r="V250" s="550"/>
      <c r="W250" s="550"/>
      <c r="X250" s="550"/>
      <c r="Y250" s="550"/>
      <c r="Z250" s="550"/>
      <c r="AA250" s="550"/>
      <c r="AB250" s="550"/>
      <c r="AC250" s="550"/>
      <c r="AD250" s="550"/>
      <c r="AE250" s="550"/>
      <c r="AF250" s="550"/>
      <c r="AG250" s="550"/>
      <c r="AH250" s="550"/>
      <c r="AI250" s="550"/>
      <c r="AJ250" s="550"/>
    </row>
    <row r="251" spans="2:36">
      <c r="B251" s="550"/>
      <c r="C251" s="550"/>
      <c r="D251" s="550"/>
      <c r="E251" s="550"/>
      <c r="F251" s="550"/>
      <c r="G251" s="550"/>
      <c r="H251" s="550"/>
      <c r="I251" s="550"/>
      <c r="J251" s="550"/>
      <c r="K251" s="550"/>
      <c r="L251" s="550"/>
      <c r="M251" s="550"/>
      <c r="N251" s="550"/>
      <c r="O251" s="550"/>
      <c r="P251" s="550"/>
      <c r="Q251" s="550"/>
      <c r="R251" s="550"/>
      <c r="S251" s="550"/>
      <c r="T251" s="550"/>
      <c r="U251" s="550"/>
      <c r="V251" s="550"/>
      <c r="W251" s="550"/>
      <c r="X251" s="550"/>
      <c r="Y251" s="550"/>
      <c r="Z251" s="550"/>
      <c r="AA251" s="550"/>
      <c r="AB251" s="550"/>
      <c r="AC251" s="550"/>
      <c r="AD251" s="550"/>
      <c r="AE251" s="550"/>
      <c r="AF251" s="550"/>
      <c r="AG251" s="550"/>
      <c r="AH251" s="550"/>
      <c r="AI251" s="550"/>
      <c r="AJ251" s="550"/>
    </row>
    <row r="252" spans="2:36">
      <c r="B252" s="550"/>
      <c r="C252" s="550"/>
      <c r="D252" s="550"/>
      <c r="E252" s="550"/>
      <c r="F252" s="550"/>
      <c r="G252" s="550"/>
      <c r="H252" s="550"/>
      <c r="I252" s="550"/>
      <c r="J252" s="550"/>
      <c r="K252" s="550"/>
      <c r="L252" s="550"/>
      <c r="M252" s="550"/>
      <c r="N252" s="550"/>
      <c r="O252" s="550"/>
      <c r="P252" s="550"/>
      <c r="Q252" s="550"/>
      <c r="R252" s="550"/>
      <c r="S252" s="550"/>
      <c r="T252" s="550"/>
      <c r="U252" s="550"/>
      <c r="V252" s="550"/>
      <c r="W252" s="550"/>
      <c r="X252" s="550"/>
      <c r="Y252" s="550"/>
      <c r="Z252" s="550"/>
      <c r="AA252" s="550"/>
      <c r="AB252" s="550"/>
      <c r="AC252" s="550"/>
      <c r="AD252" s="550"/>
      <c r="AE252" s="550"/>
      <c r="AF252" s="550"/>
      <c r="AG252" s="550"/>
      <c r="AH252" s="550"/>
      <c r="AI252" s="550"/>
      <c r="AJ252" s="550"/>
    </row>
    <row r="253" spans="2:36">
      <c r="B253" s="550"/>
      <c r="C253" s="550"/>
      <c r="D253" s="550"/>
      <c r="E253" s="550"/>
      <c r="F253" s="550"/>
      <c r="G253" s="550"/>
      <c r="H253" s="550"/>
      <c r="I253" s="550"/>
      <c r="J253" s="550"/>
      <c r="K253" s="550"/>
      <c r="L253" s="550"/>
      <c r="M253" s="550"/>
      <c r="N253" s="550"/>
      <c r="O253" s="550"/>
      <c r="P253" s="550"/>
      <c r="Q253" s="550"/>
      <c r="R253" s="550"/>
      <c r="S253" s="550"/>
      <c r="T253" s="550"/>
      <c r="U253" s="550"/>
      <c r="V253" s="550"/>
      <c r="W253" s="550"/>
      <c r="X253" s="550"/>
      <c r="Y253" s="550"/>
      <c r="Z253" s="550"/>
      <c r="AA253" s="550"/>
      <c r="AB253" s="550"/>
      <c r="AC253" s="550"/>
      <c r="AD253" s="550"/>
      <c r="AE253" s="550"/>
      <c r="AF253" s="550"/>
      <c r="AG253" s="550"/>
      <c r="AH253" s="550"/>
      <c r="AI253" s="550"/>
      <c r="AJ253" s="550"/>
    </row>
    <row r="254" spans="2:36">
      <c r="B254" s="550"/>
      <c r="C254" s="550"/>
      <c r="D254" s="550"/>
      <c r="E254" s="550"/>
      <c r="F254" s="550"/>
      <c r="G254" s="550"/>
      <c r="H254" s="550"/>
      <c r="I254" s="550"/>
      <c r="J254" s="550"/>
      <c r="K254" s="550"/>
      <c r="L254" s="550"/>
      <c r="M254" s="550"/>
      <c r="N254" s="550"/>
      <c r="O254" s="550"/>
      <c r="P254" s="550"/>
      <c r="Q254" s="550"/>
      <c r="R254" s="550"/>
      <c r="S254" s="550"/>
      <c r="T254" s="550"/>
      <c r="U254" s="550"/>
      <c r="V254" s="550"/>
      <c r="W254" s="550"/>
      <c r="X254" s="550"/>
      <c r="Y254" s="550"/>
      <c r="Z254" s="550"/>
      <c r="AA254" s="550"/>
      <c r="AB254" s="550"/>
      <c r="AC254" s="550"/>
      <c r="AD254" s="550"/>
      <c r="AE254" s="550"/>
      <c r="AF254" s="550"/>
      <c r="AG254" s="550"/>
      <c r="AH254" s="550"/>
      <c r="AI254" s="550"/>
      <c r="AJ254" s="550"/>
    </row>
    <row r="255" spans="2:36">
      <c r="B255" s="550"/>
      <c r="C255" s="550"/>
      <c r="D255" s="550"/>
      <c r="E255" s="550"/>
      <c r="F255" s="550"/>
      <c r="G255" s="550"/>
      <c r="H255" s="550"/>
      <c r="I255" s="550"/>
      <c r="J255" s="550"/>
      <c r="K255" s="550"/>
      <c r="L255" s="550"/>
      <c r="M255" s="550"/>
      <c r="N255" s="550"/>
      <c r="O255" s="550"/>
      <c r="P255" s="550"/>
      <c r="Q255" s="550"/>
      <c r="R255" s="550"/>
      <c r="S255" s="550"/>
      <c r="T255" s="550"/>
      <c r="U255" s="550"/>
      <c r="V255" s="550"/>
      <c r="W255" s="550"/>
      <c r="X255" s="550"/>
      <c r="Y255" s="550"/>
      <c r="Z255" s="550"/>
      <c r="AA255" s="550"/>
      <c r="AB255" s="550"/>
      <c r="AC255" s="550"/>
      <c r="AD255" s="550"/>
      <c r="AE255" s="550"/>
      <c r="AF255" s="550"/>
      <c r="AG255" s="550"/>
      <c r="AH255" s="550"/>
      <c r="AI255" s="550"/>
      <c r="AJ255" s="550"/>
    </row>
    <row r="256" spans="2:36">
      <c r="B256" s="550"/>
      <c r="C256" s="550"/>
      <c r="D256" s="550"/>
      <c r="E256" s="550"/>
      <c r="F256" s="550"/>
      <c r="G256" s="550"/>
      <c r="H256" s="550"/>
      <c r="I256" s="550"/>
      <c r="J256" s="550"/>
      <c r="K256" s="550"/>
      <c r="L256" s="550"/>
      <c r="M256" s="550"/>
      <c r="N256" s="550"/>
      <c r="O256" s="550"/>
      <c r="P256" s="550"/>
      <c r="Q256" s="550"/>
      <c r="R256" s="550"/>
      <c r="S256" s="550"/>
      <c r="T256" s="550"/>
      <c r="U256" s="550"/>
      <c r="V256" s="550"/>
      <c r="W256" s="550"/>
      <c r="X256" s="550"/>
      <c r="Y256" s="550"/>
      <c r="Z256" s="550"/>
      <c r="AA256" s="550"/>
      <c r="AB256" s="550"/>
      <c r="AC256" s="550"/>
      <c r="AD256" s="550"/>
      <c r="AE256" s="550"/>
      <c r="AF256" s="550"/>
      <c r="AG256" s="550"/>
      <c r="AH256" s="550"/>
      <c r="AI256" s="550"/>
      <c r="AJ256" s="550"/>
    </row>
    <row r="257" spans="2:36">
      <c r="B257" s="550"/>
      <c r="C257" s="550"/>
      <c r="D257" s="550"/>
      <c r="E257" s="550"/>
      <c r="F257" s="550"/>
      <c r="G257" s="550"/>
      <c r="H257" s="550"/>
      <c r="I257" s="550"/>
      <c r="J257" s="550"/>
      <c r="K257" s="550"/>
      <c r="L257" s="550"/>
      <c r="M257" s="550"/>
      <c r="N257" s="550"/>
      <c r="O257" s="550"/>
      <c r="P257" s="550"/>
      <c r="Q257" s="550"/>
      <c r="R257" s="550"/>
      <c r="S257" s="550"/>
      <c r="T257" s="550"/>
      <c r="U257" s="550"/>
      <c r="V257" s="550"/>
      <c r="W257" s="550"/>
      <c r="X257" s="550"/>
      <c r="Y257" s="550"/>
      <c r="Z257" s="550"/>
      <c r="AA257" s="550"/>
      <c r="AB257" s="550"/>
      <c r="AC257" s="550"/>
      <c r="AD257" s="550"/>
      <c r="AE257" s="550"/>
      <c r="AF257" s="550"/>
      <c r="AG257" s="550"/>
      <c r="AH257" s="550"/>
      <c r="AI257" s="550"/>
      <c r="AJ257" s="550"/>
    </row>
    <row r="258" spans="2:36">
      <c r="B258" s="550"/>
      <c r="C258" s="550"/>
      <c r="D258" s="550"/>
      <c r="E258" s="550"/>
      <c r="F258" s="550"/>
      <c r="G258" s="550"/>
      <c r="H258" s="550"/>
      <c r="I258" s="550"/>
      <c r="J258" s="550"/>
      <c r="K258" s="550"/>
      <c r="L258" s="550"/>
      <c r="M258" s="550"/>
      <c r="N258" s="550"/>
      <c r="O258" s="550"/>
      <c r="P258" s="550"/>
      <c r="Q258" s="550"/>
      <c r="R258" s="550"/>
      <c r="S258" s="550"/>
      <c r="T258" s="550"/>
      <c r="U258" s="550"/>
      <c r="V258" s="550"/>
      <c r="W258" s="550"/>
      <c r="X258" s="550"/>
      <c r="Y258" s="550"/>
      <c r="Z258" s="550"/>
      <c r="AA258" s="550"/>
      <c r="AB258" s="550"/>
      <c r="AC258" s="550"/>
      <c r="AD258" s="550"/>
      <c r="AE258" s="550"/>
      <c r="AF258" s="550"/>
      <c r="AG258" s="550"/>
      <c r="AH258" s="550"/>
      <c r="AI258" s="550"/>
      <c r="AJ258" s="550"/>
    </row>
    <row r="259" spans="2:36">
      <c r="B259" s="550"/>
      <c r="C259" s="550"/>
      <c r="D259" s="550"/>
      <c r="E259" s="550"/>
      <c r="F259" s="550"/>
      <c r="G259" s="550"/>
      <c r="H259" s="550"/>
      <c r="I259" s="550"/>
      <c r="J259" s="550"/>
      <c r="K259" s="550"/>
      <c r="L259" s="550"/>
      <c r="M259" s="550"/>
      <c r="N259" s="550"/>
      <c r="O259" s="550"/>
      <c r="P259" s="550"/>
      <c r="Q259" s="550"/>
      <c r="R259" s="550"/>
      <c r="S259" s="550"/>
      <c r="T259" s="550"/>
      <c r="U259" s="550"/>
      <c r="V259" s="550"/>
      <c r="W259" s="550"/>
      <c r="X259" s="550"/>
      <c r="Y259" s="550"/>
      <c r="Z259" s="550"/>
      <c r="AA259" s="550"/>
      <c r="AB259" s="550"/>
      <c r="AC259" s="550"/>
      <c r="AD259" s="550"/>
      <c r="AE259" s="550"/>
      <c r="AF259" s="550"/>
      <c r="AG259" s="550"/>
      <c r="AH259" s="550"/>
      <c r="AI259" s="550"/>
      <c r="AJ259" s="550"/>
    </row>
    <row r="260" spans="2:36">
      <c r="B260" s="550"/>
      <c r="C260" s="550"/>
      <c r="D260" s="550"/>
      <c r="E260" s="550"/>
      <c r="F260" s="550"/>
      <c r="G260" s="550"/>
      <c r="H260" s="550"/>
      <c r="I260" s="550"/>
      <c r="J260" s="550"/>
      <c r="K260" s="550"/>
      <c r="L260" s="550"/>
      <c r="M260" s="550"/>
      <c r="N260" s="550"/>
      <c r="O260" s="550"/>
      <c r="P260" s="550"/>
      <c r="Q260" s="550"/>
      <c r="R260" s="550"/>
      <c r="S260" s="550"/>
      <c r="T260" s="550"/>
      <c r="U260" s="550"/>
      <c r="V260" s="550"/>
      <c r="W260" s="550"/>
      <c r="X260" s="550"/>
      <c r="Y260" s="550"/>
      <c r="Z260" s="550"/>
      <c r="AA260" s="550"/>
      <c r="AB260" s="550"/>
      <c r="AC260" s="550"/>
      <c r="AD260" s="550"/>
      <c r="AE260" s="550"/>
      <c r="AF260" s="550"/>
      <c r="AG260" s="550"/>
      <c r="AH260" s="550"/>
      <c r="AI260" s="550"/>
      <c r="AJ260" s="550"/>
    </row>
    <row r="261" spans="2:36">
      <c r="B261" s="550"/>
      <c r="C261" s="550"/>
      <c r="D261" s="550"/>
      <c r="E261" s="550"/>
      <c r="F261" s="550"/>
      <c r="G261" s="550"/>
      <c r="H261" s="550"/>
      <c r="I261" s="550"/>
      <c r="J261" s="550"/>
      <c r="K261" s="550"/>
      <c r="L261" s="550"/>
      <c r="M261" s="550"/>
      <c r="N261" s="550"/>
      <c r="O261" s="550"/>
      <c r="P261" s="550"/>
      <c r="Q261" s="550"/>
      <c r="R261" s="550"/>
      <c r="S261" s="550"/>
      <c r="T261" s="550"/>
      <c r="U261" s="550"/>
      <c r="V261" s="550"/>
      <c r="W261" s="550"/>
      <c r="X261" s="550"/>
      <c r="Y261" s="550"/>
      <c r="Z261" s="550"/>
      <c r="AA261" s="550"/>
      <c r="AB261" s="550"/>
      <c r="AC261" s="550"/>
      <c r="AD261" s="550"/>
      <c r="AE261" s="550"/>
      <c r="AF261" s="550"/>
      <c r="AG261" s="550"/>
      <c r="AH261" s="550"/>
      <c r="AI261" s="550"/>
      <c r="AJ261" s="550"/>
    </row>
    <row r="262" spans="2:36">
      <c r="B262" s="550"/>
      <c r="C262" s="550"/>
      <c r="D262" s="550"/>
      <c r="E262" s="550"/>
      <c r="F262" s="550"/>
      <c r="G262" s="550"/>
      <c r="H262" s="550"/>
      <c r="I262" s="550"/>
      <c r="J262" s="550"/>
      <c r="K262" s="550"/>
      <c r="L262" s="550"/>
      <c r="M262" s="550"/>
      <c r="N262" s="550"/>
      <c r="O262" s="550"/>
      <c r="P262" s="550"/>
      <c r="Q262" s="550"/>
      <c r="R262" s="550"/>
      <c r="S262" s="550"/>
      <c r="T262" s="550"/>
      <c r="U262" s="550"/>
      <c r="V262" s="550"/>
      <c r="W262" s="550"/>
      <c r="X262" s="550"/>
      <c r="Y262" s="550"/>
      <c r="Z262" s="550"/>
      <c r="AA262" s="550"/>
      <c r="AB262" s="550"/>
      <c r="AC262" s="550"/>
      <c r="AD262" s="550"/>
      <c r="AE262" s="550"/>
      <c r="AF262" s="550"/>
      <c r="AG262" s="550"/>
      <c r="AH262" s="550"/>
      <c r="AI262" s="550"/>
      <c r="AJ262" s="550"/>
    </row>
    <row r="263" spans="2:36">
      <c r="B263" s="550"/>
      <c r="C263" s="550"/>
      <c r="D263" s="550"/>
      <c r="E263" s="550"/>
      <c r="F263" s="550"/>
      <c r="G263" s="550"/>
      <c r="H263" s="550"/>
      <c r="I263" s="550"/>
      <c r="J263" s="550"/>
      <c r="K263" s="550"/>
      <c r="L263" s="550"/>
      <c r="M263" s="550"/>
      <c r="N263" s="550"/>
      <c r="O263" s="550"/>
      <c r="P263" s="550"/>
      <c r="Q263" s="550"/>
      <c r="R263" s="550"/>
      <c r="S263" s="550"/>
      <c r="T263" s="550"/>
      <c r="U263" s="550"/>
      <c r="V263" s="550"/>
      <c r="W263" s="550"/>
      <c r="X263" s="550"/>
      <c r="Y263" s="550"/>
      <c r="Z263" s="550"/>
      <c r="AA263" s="550"/>
      <c r="AB263" s="550"/>
      <c r="AC263" s="550"/>
      <c r="AD263" s="550"/>
      <c r="AE263" s="550"/>
      <c r="AF263" s="550"/>
      <c r="AG263" s="550"/>
      <c r="AH263" s="550"/>
      <c r="AI263" s="550"/>
      <c r="AJ263" s="550"/>
    </row>
    <row r="264" spans="2:36">
      <c r="B264" s="550"/>
      <c r="C264" s="550"/>
      <c r="D264" s="550"/>
      <c r="E264" s="550"/>
      <c r="F264" s="550"/>
      <c r="G264" s="550"/>
      <c r="H264" s="550"/>
      <c r="I264" s="550"/>
      <c r="J264" s="550"/>
      <c r="K264" s="550"/>
      <c r="L264" s="550"/>
      <c r="M264" s="550"/>
      <c r="N264" s="550"/>
      <c r="O264" s="550"/>
      <c r="P264" s="550"/>
      <c r="Q264" s="550"/>
      <c r="R264" s="550"/>
      <c r="S264" s="550"/>
      <c r="T264" s="550"/>
      <c r="U264" s="550"/>
      <c r="V264" s="550"/>
      <c r="W264" s="550"/>
      <c r="X264" s="550"/>
      <c r="Y264" s="550"/>
      <c r="Z264" s="550"/>
      <c r="AA264" s="550"/>
      <c r="AB264" s="550"/>
      <c r="AC264" s="550"/>
      <c r="AD264" s="550"/>
      <c r="AE264" s="550"/>
      <c r="AF264" s="550"/>
      <c r="AG264" s="550"/>
      <c r="AH264" s="550"/>
      <c r="AI264" s="550"/>
      <c r="AJ264" s="550"/>
    </row>
    <row r="265" spans="2:36">
      <c r="B265" s="550"/>
      <c r="C265" s="550"/>
      <c r="D265" s="550"/>
      <c r="E265" s="550"/>
      <c r="F265" s="550"/>
      <c r="G265" s="550"/>
      <c r="H265" s="550"/>
      <c r="I265" s="550"/>
      <c r="J265" s="550"/>
      <c r="K265" s="550"/>
      <c r="L265" s="550"/>
      <c r="M265" s="550"/>
      <c r="N265" s="550"/>
      <c r="O265" s="550"/>
      <c r="P265" s="550"/>
      <c r="Q265" s="550"/>
      <c r="R265" s="550"/>
      <c r="S265" s="550"/>
      <c r="T265" s="550"/>
      <c r="U265" s="550"/>
      <c r="V265" s="550"/>
      <c r="W265" s="550"/>
      <c r="X265" s="550"/>
      <c r="Y265" s="550"/>
      <c r="Z265" s="550"/>
      <c r="AA265" s="550"/>
      <c r="AB265" s="550"/>
      <c r="AC265" s="550"/>
      <c r="AD265" s="550"/>
      <c r="AE265" s="550"/>
      <c r="AF265" s="550"/>
      <c r="AG265" s="550"/>
      <c r="AH265" s="550"/>
      <c r="AI265" s="550"/>
      <c r="AJ265" s="550"/>
    </row>
    <row r="266" spans="2:36">
      <c r="B266" s="550"/>
      <c r="C266" s="550"/>
      <c r="D266" s="550"/>
      <c r="E266" s="550"/>
      <c r="F266" s="550"/>
      <c r="G266" s="550"/>
      <c r="H266" s="550"/>
      <c r="I266" s="550"/>
      <c r="J266" s="550"/>
      <c r="K266" s="550"/>
      <c r="L266" s="550"/>
      <c r="M266" s="550"/>
      <c r="N266" s="550"/>
      <c r="O266" s="550"/>
      <c r="P266" s="550"/>
      <c r="Q266" s="550"/>
      <c r="R266" s="550"/>
      <c r="S266" s="550"/>
      <c r="T266" s="550"/>
      <c r="U266" s="550"/>
      <c r="V266" s="550"/>
      <c r="W266" s="550"/>
      <c r="X266" s="550"/>
      <c r="Y266" s="550"/>
      <c r="Z266" s="550"/>
      <c r="AA266" s="550"/>
      <c r="AB266" s="550"/>
      <c r="AC266" s="550"/>
      <c r="AD266" s="550"/>
      <c r="AE266" s="550"/>
      <c r="AF266" s="550"/>
      <c r="AG266" s="550"/>
      <c r="AH266" s="550"/>
      <c r="AI266" s="550"/>
      <c r="AJ266" s="550"/>
    </row>
    <row r="267" spans="2:36">
      <c r="B267" s="550"/>
      <c r="C267" s="550"/>
      <c r="D267" s="550"/>
      <c r="E267" s="550"/>
      <c r="F267" s="550"/>
      <c r="G267" s="550"/>
      <c r="H267" s="550"/>
      <c r="I267" s="550"/>
      <c r="J267" s="550"/>
      <c r="K267" s="550"/>
      <c r="L267" s="550"/>
      <c r="M267" s="550"/>
      <c r="N267" s="550"/>
      <c r="O267" s="550"/>
      <c r="P267" s="550"/>
      <c r="Q267" s="550"/>
      <c r="R267" s="550"/>
      <c r="S267" s="550"/>
      <c r="T267" s="550"/>
      <c r="U267" s="550"/>
      <c r="V267" s="550"/>
      <c r="W267" s="550"/>
      <c r="X267" s="550"/>
      <c r="Y267" s="550"/>
      <c r="Z267" s="550"/>
      <c r="AA267" s="550"/>
      <c r="AB267" s="550"/>
      <c r="AC267" s="550"/>
      <c r="AD267" s="550"/>
      <c r="AE267" s="550"/>
      <c r="AF267" s="550"/>
      <c r="AG267" s="550"/>
      <c r="AH267" s="550"/>
      <c r="AI267" s="550"/>
      <c r="AJ267" s="550"/>
    </row>
    <row r="268" spans="2:36">
      <c r="B268" s="550"/>
      <c r="C268" s="550"/>
      <c r="D268" s="550"/>
      <c r="E268" s="550"/>
      <c r="F268" s="550"/>
      <c r="G268" s="550"/>
      <c r="H268" s="550"/>
      <c r="I268" s="550"/>
      <c r="J268" s="550"/>
      <c r="K268" s="550"/>
      <c r="L268" s="550"/>
      <c r="M268" s="550"/>
      <c r="N268" s="550"/>
      <c r="O268" s="550"/>
      <c r="P268" s="550"/>
      <c r="Q268" s="550"/>
      <c r="R268" s="550"/>
      <c r="S268" s="550"/>
      <c r="T268" s="550"/>
      <c r="U268" s="550"/>
      <c r="V268" s="550"/>
      <c r="W268" s="550"/>
      <c r="X268" s="550"/>
      <c r="Y268" s="550"/>
      <c r="Z268" s="550"/>
      <c r="AA268" s="550"/>
      <c r="AB268" s="550"/>
      <c r="AC268" s="550"/>
      <c r="AD268" s="550"/>
      <c r="AE268" s="550"/>
      <c r="AF268" s="550"/>
      <c r="AG268" s="550"/>
      <c r="AH268" s="550"/>
      <c r="AI268" s="550"/>
      <c r="AJ268" s="550"/>
    </row>
    <row r="269" spans="2:36">
      <c r="B269" s="550"/>
      <c r="C269" s="550"/>
      <c r="D269" s="550"/>
      <c r="E269" s="550"/>
      <c r="F269" s="550"/>
      <c r="G269" s="550"/>
      <c r="H269" s="550"/>
      <c r="I269" s="550"/>
      <c r="J269" s="550"/>
      <c r="K269" s="550"/>
      <c r="L269" s="550"/>
      <c r="M269" s="550"/>
      <c r="N269" s="550"/>
      <c r="O269" s="550"/>
      <c r="P269" s="550"/>
      <c r="Q269" s="550"/>
      <c r="R269" s="550"/>
      <c r="S269" s="550"/>
      <c r="T269" s="550"/>
      <c r="U269" s="550"/>
      <c r="V269" s="550"/>
      <c r="W269" s="550"/>
      <c r="X269" s="550"/>
      <c r="Y269" s="550"/>
      <c r="Z269" s="550"/>
      <c r="AA269" s="550"/>
      <c r="AB269" s="550"/>
      <c r="AC269" s="550"/>
      <c r="AD269" s="550"/>
      <c r="AE269" s="550"/>
      <c r="AF269" s="550"/>
      <c r="AG269" s="550"/>
      <c r="AH269" s="550"/>
      <c r="AI269" s="550"/>
      <c r="AJ269" s="550"/>
    </row>
    <row r="270" spans="2:36">
      <c r="B270" s="550"/>
      <c r="C270" s="550"/>
      <c r="D270" s="550"/>
      <c r="E270" s="550"/>
      <c r="F270" s="550"/>
      <c r="G270" s="550"/>
      <c r="H270" s="550"/>
      <c r="I270" s="550"/>
      <c r="J270" s="550"/>
      <c r="K270" s="550"/>
      <c r="L270" s="550"/>
      <c r="M270" s="550"/>
      <c r="N270" s="550"/>
      <c r="O270" s="550"/>
      <c r="P270" s="550"/>
      <c r="Q270" s="550"/>
      <c r="R270" s="550"/>
      <c r="S270" s="550"/>
      <c r="T270" s="550"/>
      <c r="U270" s="550"/>
      <c r="V270" s="550"/>
      <c r="W270" s="550"/>
      <c r="X270" s="550"/>
      <c r="Y270" s="550"/>
      <c r="Z270" s="550"/>
      <c r="AA270" s="550"/>
      <c r="AB270" s="550"/>
      <c r="AC270" s="550"/>
      <c r="AD270" s="550"/>
      <c r="AE270" s="550"/>
      <c r="AF270" s="550"/>
      <c r="AG270" s="550"/>
      <c r="AH270" s="550"/>
      <c r="AI270" s="550"/>
      <c r="AJ270" s="550"/>
    </row>
    <row r="271" spans="2:36">
      <c r="B271" s="550"/>
      <c r="C271" s="550"/>
      <c r="D271" s="550"/>
      <c r="E271" s="550"/>
      <c r="F271" s="550"/>
      <c r="G271" s="550"/>
      <c r="H271" s="550"/>
      <c r="I271" s="550"/>
      <c r="J271" s="550"/>
      <c r="K271" s="550"/>
      <c r="L271" s="550"/>
      <c r="M271" s="550"/>
      <c r="N271" s="550"/>
      <c r="O271" s="550"/>
      <c r="P271" s="550"/>
      <c r="Q271" s="550"/>
      <c r="R271" s="550"/>
      <c r="S271" s="550"/>
      <c r="T271" s="550"/>
      <c r="U271" s="550"/>
      <c r="V271" s="550"/>
      <c r="W271" s="550"/>
      <c r="X271" s="550"/>
      <c r="Y271" s="550"/>
      <c r="Z271" s="550"/>
      <c r="AA271" s="550"/>
      <c r="AB271" s="550"/>
      <c r="AC271" s="550"/>
      <c r="AD271" s="550"/>
      <c r="AE271" s="550"/>
      <c r="AF271" s="550"/>
      <c r="AG271" s="550"/>
      <c r="AH271" s="550"/>
      <c r="AI271" s="550"/>
      <c r="AJ271" s="550"/>
    </row>
    <row r="272" spans="2:36">
      <c r="B272" s="550"/>
      <c r="C272" s="550"/>
      <c r="D272" s="550"/>
      <c r="E272" s="550"/>
      <c r="F272" s="550"/>
      <c r="G272" s="550"/>
      <c r="H272" s="550"/>
      <c r="I272" s="550"/>
      <c r="J272" s="550"/>
      <c r="K272" s="550"/>
      <c r="L272" s="550"/>
      <c r="M272" s="550"/>
      <c r="N272" s="550"/>
      <c r="O272" s="550"/>
      <c r="P272" s="550"/>
      <c r="Q272" s="550"/>
      <c r="R272" s="550"/>
      <c r="S272" s="550"/>
      <c r="T272" s="550"/>
      <c r="U272" s="550"/>
      <c r="V272" s="550"/>
      <c r="W272" s="550"/>
      <c r="X272" s="550"/>
      <c r="Y272" s="550"/>
      <c r="Z272" s="550"/>
      <c r="AA272" s="550"/>
      <c r="AB272" s="550"/>
      <c r="AC272" s="550"/>
      <c r="AD272" s="550"/>
      <c r="AE272" s="550"/>
      <c r="AF272" s="550"/>
      <c r="AG272" s="550"/>
      <c r="AH272" s="550"/>
      <c r="AI272" s="550"/>
      <c r="AJ272" s="550"/>
    </row>
    <row r="273" spans="2:36">
      <c r="B273" s="550"/>
      <c r="C273" s="550"/>
      <c r="D273" s="550"/>
      <c r="E273" s="550"/>
      <c r="F273" s="550"/>
      <c r="G273" s="550"/>
      <c r="H273" s="550"/>
      <c r="I273" s="550"/>
      <c r="J273" s="550"/>
      <c r="K273" s="550"/>
      <c r="L273" s="550"/>
      <c r="M273" s="550"/>
      <c r="N273" s="550"/>
      <c r="O273" s="550"/>
      <c r="P273" s="550"/>
      <c r="Q273" s="550"/>
      <c r="R273" s="550"/>
      <c r="S273" s="550"/>
      <c r="T273" s="550"/>
      <c r="U273" s="550"/>
      <c r="V273" s="550"/>
      <c r="W273" s="550"/>
      <c r="X273" s="550"/>
      <c r="Y273" s="550"/>
      <c r="Z273" s="550"/>
      <c r="AA273" s="550"/>
      <c r="AB273" s="550"/>
      <c r="AC273" s="550"/>
      <c r="AD273" s="550"/>
      <c r="AE273" s="550"/>
      <c r="AF273" s="550"/>
      <c r="AG273" s="550"/>
      <c r="AH273" s="550"/>
      <c r="AI273" s="550"/>
      <c r="AJ273" s="550"/>
    </row>
    <row r="274" spans="2:36">
      <c r="B274" s="550"/>
      <c r="C274" s="550"/>
      <c r="D274" s="550"/>
      <c r="E274" s="550"/>
      <c r="F274" s="550"/>
      <c r="G274" s="550"/>
      <c r="H274" s="550"/>
      <c r="I274" s="550"/>
      <c r="J274" s="550"/>
      <c r="K274" s="550"/>
      <c r="L274" s="550"/>
      <c r="M274" s="550"/>
      <c r="N274" s="550"/>
      <c r="O274" s="550"/>
      <c r="P274" s="550"/>
      <c r="Q274" s="550"/>
      <c r="R274" s="550"/>
      <c r="S274" s="550"/>
      <c r="T274" s="550"/>
      <c r="U274" s="550"/>
      <c r="V274" s="550"/>
      <c r="W274" s="550"/>
      <c r="X274" s="550"/>
      <c r="Y274" s="550"/>
      <c r="Z274" s="550"/>
      <c r="AA274" s="550"/>
      <c r="AB274" s="550"/>
      <c r="AC274" s="550"/>
      <c r="AD274" s="550"/>
      <c r="AE274" s="550"/>
      <c r="AF274" s="550"/>
      <c r="AG274" s="550"/>
      <c r="AH274" s="550"/>
      <c r="AI274" s="550"/>
      <c r="AJ274" s="550"/>
    </row>
    <row r="275" spans="2:36">
      <c r="B275" s="550"/>
      <c r="C275" s="550"/>
      <c r="D275" s="550"/>
      <c r="E275" s="550"/>
      <c r="F275" s="550"/>
      <c r="G275" s="550"/>
      <c r="H275" s="550"/>
      <c r="I275" s="550"/>
      <c r="J275" s="550"/>
      <c r="K275" s="550"/>
      <c r="L275" s="550"/>
      <c r="M275" s="550"/>
      <c r="N275" s="550"/>
      <c r="O275" s="550"/>
      <c r="P275" s="550"/>
      <c r="Q275" s="550"/>
      <c r="R275" s="550"/>
      <c r="S275" s="550"/>
      <c r="T275" s="550"/>
      <c r="U275" s="550"/>
      <c r="V275" s="550"/>
      <c r="W275" s="550"/>
      <c r="X275" s="550"/>
      <c r="Y275" s="550"/>
      <c r="Z275" s="550"/>
      <c r="AA275" s="550"/>
      <c r="AB275" s="550"/>
      <c r="AC275" s="550"/>
      <c r="AD275" s="550"/>
      <c r="AE275" s="550"/>
      <c r="AF275" s="550"/>
      <c r="AG275" s="550"/>
      <c r="AH275" s="550"/>
      <c r="AI275" s="550"/>
      <c r="AJ275" s="550"/>
    </row>
    <row r="276" spans="2:36">
      <c r="B276" s="550"/>
      <c r="C276" s="550"/>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50"/>
      <c r="AI276" s="550"/>
      <c r="AJ276" s="550"/>
    </row>
    <row r="277" spans="2:36">
      <c r="B277" s="550"/>
      <c r="C277" s="550"/>
      <c r="D277" s="550"/>
      <c r="E277" s="550"/>
      <c r="F277" s="550"/>
      <c r="G277" s="550"/>
      <c r="H277" s="550"/>
      <c r="I277" s="550"/>
      <c r="J277" s="550"/>
      <c r="K277" s="550"/>
      <c r="L277" s="550"/>
      <c r="M277" s="550"/>
      <c r="N277" s="550"/>
      <c r="O277" s="550"/>
      <c r="P277" s="550"/>
      <c r="Q277" s="550"/>
      <c r="R277" s="550"/>
      <c r="S277" s="550"/>
      <c r="T277" s="550"/>
      <c r="U277" s="550"/>
      <c r="V277" s="550"/>
      <c r="W277" s="550"/>
      <c r="X277" s="550"/>
      <c r="Y277" s="550"/>
      <c r="Z277" s="550"/>
      <c r="AA277" s="550"/>
      <c r="AB277" s="550"/>
      <c r="AC277" s="550"/>
      <c r="AD277" s="550"/>
      <c r="AE277" s="550"/>
      <c r="AF277" s="550"/>
      <c r="AG277" s="550"/>
      <c r="AH277" s="550"/>
      <c r="AI277" s="550"/>
      <c r="AJ277" s="550"/>
    </row>
    <row r="278" spans="2:36">
      <c r="B278" s="550"/>
      <c r="C278" s="550"/>
      <c r="D278" s="550"/>
      <c r="E278" s="550"/>
      <c r="F278" s="550"/>
      <c r="G278" s="550"/>
      <c r="H278" s="550"/>
      <c r="I278" s="550"/>
      <c r="J278" s="550"/>
      <c r="K278" s="550"/>
      <c r="L278" s="550"/>
      <c r="M278" s="550"/>
      <c r="N278" s="550"/>
      <c r="O278" s="550"/>
      <c r="P278" s="550"/>
      <c r="Q278" s="550"/>
      <c r="R278" s="550"/>
      <c r="S278" s="550"/>
      <c r="T278" s="550"/>
      <c r="U278" s="550"/>
      <c r="V278" s="550"/>
      <c r="W278" s="550"/>
      <c r="X278" s="550"/>
      <c r="Y278" s="550"/>
      <c r="Z278" s="550"/>
      <c r="AA278" s="550"/>
      <c r="AB278" s="550"/>
      <c r="AC278" s="550"/>
      <c r="AD278" s="550"/>
      <c r="AE278" s="550"/>
      <c r="AF278" s="550"/>
      <c r="AG278" s="550"/>
      <c r="AH278" s="550"/>
      <c r="AI278" s="550"/>
      <c r="AJ278" s="550"/>
    </row>
    <row r="279" spans="2:36">
      <c r="B279" s="550"/>
      <c r="C279" s="550"/>
      <c r="D279" s="550"/>
      <c r="E279" s="550"/>
      <c r="F279" s="550"/>
      <c r="G279" s="550"/>
      <c r="H279" s="550"/>
      <c r="I279" s="550"/>
      <c r="J279" s="550"/>
      <c r="K279" s="550"/>
      <c r="L279" s="550"/>
      <c r="M279" s="550"/>
      <c r="N279" s="550"/>
      <c r="O279" s="550"/>
      <c r="P279" s="550"/>
      <c r="Q279" s="550"/>
      <c r="R279" s="550"/>
      <c r="S279" s="550"/>
      <c r="T279" s="550"/>
      <c r="U279" s="550"/>
      <c r="V279" s="550"/>
      <c r="W279" s="550"/>
      <c r="X279" s="550"/>
      <c r="Y279" s="550"/>
      <c r="Z279" s="550"/>
      <c r="AA279" s="550"/>
      <c r="AB279" s="550"/>
      <c r="AC279" s="550"/>
      <c r="AD279" s="550"/>
      <c r="AE279" s="550"/>
      <c r="AF279" s="550"/>
      <c r="AG279" s="550"/>
      <c r="AH279" s="550"/>
      <c r="AI279" s="550"/>
      <c r="AJ279" s="550"/>
    </row>
    <row r="280" spans="2:36">
      <c r="B280" s="550"/>
      <c r="C280" s="550"/>
      <c r="D280" s="550"/>
      <c r="E280" s="550"/>
      <c r="F280" s="550"/>
      <c r="G280" s="550"/>
      <c r="H280" s="550"/>
      <c r="I280" s="550"/>
      <c r="J280" s="550"/>
      <c r="K280" s="550"/>
      <c r="L280" s="550"/>
      <c r="M280" s="550"/>
      <c r="N280" s="550"/>
      <c r="O280" s="550"/>
      <c r="P280" s="550"/>
      <c r="Q280" s="550"/>
      <c r="R280" s="550"/>
      <c r="S280" s="550"/>
      <c r="T280" s="550"/>
      <c r="U280" s="550"/>
      <c r="V280" s="550"/>
      <c r="W280" s="550"/>
      <c r="X280" s="550"/>
      <c r="Y280" s="550"/>
      <c r="Z280" s="550"/>
      <c r="AA280" s="550"/>
      <c r="AB280" s="550"/>
      <c r="AC280" s="550"/>
      <c r="AD280" s="550"/>
      <c r="AE280" s="550"/>
      <c r="AF280" s="550"/>
      <c r="AG280" s="550"/>
      <c r="AH280" s="550"/>
      <c r="AI280" s="550"/>
      <c r="AJ280" s="550"/>
    </row>
    <row r="281" spans="2:36">
      <c r="B281" s="550"/>
      <c r="C281" s="550"/>
      <c r="D281" s="550"/>
      <c r="E281" s="550"/>
      <c r="F281" s="550"/>
      <c r="G281" s="550"/>
      <c r="H281" s="550"/>
      <c r="I281" s="550"/>
      <c r="J281" s="550"/>
      <c r="K281" s="550"/>
      <c r="L281" s="550"/>
      <c r="M281" s="550"/>
      <c r="N281" s="550"/>
      <c r="O281" s="550"/>
      <c r="P281" s="550"/>
      <c r="Q281" s="550"/>
      <c r="R281" s="550"/>
      <c r="S281" s="550"/>
      <c r="T281" s="550"/>
      <c r="U281" s="550"/>
      <c r="V281" s="550"/>
      <c r="W281" s="550"/>
      <c r="X281" s="550"/>
      <c r="Y281" s="550"/>
      <c r="Z281" s="550"/>
      <c r="AA281" s="550"/>
      <c r="AB281" s="550"/>
      <c r="AC281" s="550"/>
      <c r="AD281" s="550"/>
      <c r="AE281" s="550"/>
      <c r="AF281" s="550"/>
      <c r="AG281" s="550"/>
      <c r="AH281" s="550"/>
      <c r="AI281" s="550"/>
      <c r="AJ281" s="550"/>
    </row>
    <row r="282" spans="2:36">
      <c r="B282" s="550"/>
      <c r="C282" s="550"/>
      <c r="D282" s="550"/>
      <c r="E282" s="550"/>
      <c r="F282" s="550"/>
      <c r="G282" s="550"/>
      <c r="H282" s="550"/>
      <c r="I282" s="550"/>
      <c r="J282" s="550"/>
      <c r="K282" s="550"/>
      <c r="L282" s="550"/>
      <c r="M282" s="550"/>
      <c r="N282" s="550"/>
      <c r="O282" s="550"/>
      <c r="P282" s="550"/>
      <c r="Q282" s="550"/>
      <c r="R282" s="550"/>
      <c r="S282" s="550"/>
      <c r="T282" s="550"/>
      <c r="U282" s="550"/>
      <c r="V282" s="550"/>
      <c r="W282" s="550"/>
      <c r="X282" s="550"/>
      <c r="Y282" s="550"/>
      <c r="Z282" s="550"/>
      <c r="AA282" s="550"/>
      <c r="AB282" s="550"/>
      <c r="AC282" s="550"/>
      <c r="AD282" s="550"/>
      <c r="AE282" s="550"/>
      <c r="AF282" s="550"/>
      <c r="AG282" s="550"/>
      <c r="AH282" s="550"/>
      <c r="AI282" s="550"/>
      <c r="AJ282" s="550"/>
    </row>
    <row r="283" spans="2:36">
      <c r="B283" s="550"/>
      <c r="C283" s="550"/>
      <c r="D283" s="550"/>
      <c r="E283" s="550"/>
      <c r="F283" s="550"/>
      <c r="G283" s="550"/>
      <c r="H283" s="550"/>
      <c r="I283" s="550"/>
      <c r="J283" s="550"/>
      <c r="K283" s="550"/>
      <c r="L283" s="550"/>
      <c r="M283" s="550"/>
      <c r="N283" s="550"/>
      <c r="O283" s="550"/>
      <c r="P283" s="550"/>
      <c r="Q283" s="550"/>
      <c r="R283" s="550"/>
      <c r="S283" s="550"/>
      <c r="T283" s="550"/>
      <c r="U283" s="550"/>
      <c r="V283" s="550"/>
      <c r="W283" s="550"/>
      <c r="X283" s="550"/>
      <c r="Y283" s="550"/>
      <c r="Z283" s="550"/>
      <c r="AA283" s="550"/>
      <c r="AB283" s="550"/>
      <c r="AC283" s="550"/>
      <c r="AD283" s="550"/>
      <c r="AE283" s="550"/>
      <c r="AF283" s="550"/>
      <c r="AG283" s="550"/>
      <c r="AH283" s="550"/>
      <c r="AI283" s="550"/>
      <c r="AJ283" s="550"/>
    </row>
    <row r="284" spans="2:36">
      <c r="B284" s="550"/>
      <c r="C284" s="550"/>
      <c r="D284" s="550"/>
      <c r="E284" s="550"/>
      <c r="F284" s="550"/>
      <c r="G284" s="550"/>
      <c r="H284" s="550"/>
      <c r="I284" s="550"/>
      <c r="J284" s="550"/>
      <c r="K284" s="550"/>
      <c r="L284" s="550"/>
      <c r="M284" s="550"/>
      <c r="N284" s="550"/>
      <c r="O284" s="550"/>
      <c r="P284" s="550"/>
      <c r="Q284" s="550"/>
      <c r="R284" s="550"/>
      <c r="S284" s="550"/>
      <c r="T284" s="550"/>
      <c r="U284" s="550"/>
      <c r="V284" s="550"/>
      <c r="W284" s="550"/>
      <c r="X284" s="550"/>
      <c r="Y284" s="550"/>
      <c r="Z284" s="550"/>
      <c r="AA284" s="550"/>
      <c r="AB284" s="550"/>
      <c r="AC284" s="550"/>
      <c r="AD284" s="550"/>
      <c r="AE284" s="550"/>
      <c r="AF284" s="550"/>
      <c r="AG284" s="550"/>
      <c r="AH284" s="550"/>
      <c r="AI284" s="550"/>
      <c r="AJ284" s="550"/>
    </row>
    <row r="285" spans="2:36">
      <c r="B285" s="550"/>
      <c r="C285" s="550"/>
      <c r="D285" s="550"/>
      <c r="E285" s="550"/>
      <c r="F285" s="550"/>
      <c r="G285" s="550"/>
      <c r="H285" s="550"/>
      <c r="I285" s="550"/>
      <c r="J285" s="550"/>
      <c r="K285" s="550"/>
      <c r="L285" s="550"/>
      <c r="M285" s="550"/>
      <c r="N285" s="550"/>
      <c r="O285" s="550"/>
      <c r="P285" s="550"/>
      <c r="Q285" s="550"/>
      <c r="R285" s="550"/>
      <c r="S285" s="550"/>
      <c r="T285" s="550"/>
      <c r="U285" s="550"/>
      <c r="V285" s="550"/>
      <c r="W285" s="550"/>
      <c r="X285" s="550"/>
      <c r="Y285" s="550"/>
      <c r="Z285" s="550"/>
      <c r="AA285" s="550"/>
      <c r="AB285" s="550"/>
      <c r="AC285" s="550"/>
      <c r="AD285" s="550"/>
      <c r="AE285" s="550"/>
      <c r="AF285" s="550"/>
      <c r="AG285" s="550"/>
      <c r="AH285" s="550"/>
      <c r="AI285" s="550"/>
      <c r="AJ285" s="550"/>
    </row>
    <row r="286" spans="2:36">
      <c r="B286" s="550"/>
      <c r="C286" s="550"/>
      <c r="D286" s="550"/>
      <c r="E286" s="550"/>
      <c r="F286" s="550"/>
      <c r="G286" s="550"/>
      <c r="H286" s="550"/>
      <c r="I286" s="550"/>
      <c r="J286" s="550"/>
      <c r="K286" s="550"/>
      <c r="L286" s="550"/>
      <c r="M286" s="550"/>
      <c r="N286" s="550"/>
      <c r="O286" s="550"/>
      <c r="P286" s="550"/>
      <c r="Q286" s="550"/>
      <c r="R286" s="550"/>
      <c r="S286" s="550"/>
      <c r="T286" s="550"/>
      <c r="U286" s="550"/>
      <c r="V286" s="550"/>
      <c r="W286" s="550"/>
      <c r="X286" s="550"/>
      <c r="Y286" s="550"/>
      <c r="Z286" s="550"/>
      <c r="AA286" s="550"/>
      <c r="AB286" s="550"/>
      <c r="AC286" s="550"/>
      <c r="AD286" s="550"/>
      <c r="AE286" s="550"/>
      <c r="AF286" s="550"/>
      <c r="AG286" s="550"/>
      <c r="AH286" s="550"/>
      <c r="AI286" s="550"/>
      <c r="AJ286" s="550"/>
    </row>
    <row r="287" spans="2:36">
      <c r="B287" s="550"/>
      <c r="C287" s="550"/>
      <c r="D287" s="550"/>
      <c r="E287" s="550"/>
      <c r="F287" s="550"/>
      <c r="G287" s="550"/>
      <c r="H287" s="550"/>
      <c r="I287" s="550"/>
      <c r="J287" s="550"/>
      <c r="K287" s="550"/>
      <c r="L287" s="550"/>
      <c r="M287" s="550"/>
      <c r="N287" s="550"/>
      <c r="O287" s="550"/>
      <c r="P287" s="550"/>
      <c r="Q287" s="550"/>
      <c r="R287" s="550"/>
      <c r="S287" s="550"/>
      <c r="T287" s="550"/>
      <c r="U287" s="550"/>
      <c r="V287" s="550"/>
      <c r="W287" s="550"/>
      <c r="X287" s="550"/>
      <c r="Y287" s="550"/>
      <c r="Z287" s="550"/>
      <c r="AA287" s="550"/>
      <c r="AB287" s="550"/>
      <c r="AC287" s="550"/>
      <c r="AD287" s="550"/>
      <c r="AE287" s="550"/>
      <c r="AF287" s="550"/>
      <c r="AG287" s="550"/>
      <c r="AH287" s="550"/>
      <c r="AI287" s="550"/>
      <c r="AJ287" s="550"/>
    </row>
    <row r="288" spans="2:36">
      <c r="B288" s="550"/>
      <c r="C288" s="550"/>
      <c r="D288" s="550"/>
      <c r="E288" s="550"/>
      <c r="F288" s="550"/>
      <c r="G288" s="550"/>
      <c r="H288" s="550"/>
      <c r="I288" s="550"/>
      <c r="J288" s="550"/>
      <c r="K288" s="550"/>
      <c r="L288" s="550"/>
      <c r="M288" s="550"/>
      <c r="N288" s="550"/>
      <c r="O288" s="550"/>
      <c r="P288" s="550"/>
      <c r="Q288" s="550"/>
      <c r="R288" s="550"/>
      <c r="S288" s="550"/>
      <c r="T288" s="550"/>
      <c r="U288" s="550"/>
      <c r="V288" s="550"/>
      <c r="W288" s="550"/>
      <c r="X288" s="550"/>
      <c r="Y288" s="550"/>
      <c r="Z288" s="550"/>
      <c r="AA288" s="550"/>
      <c r="AB288" s="550"/>
      <c r="AC288" s="550"/>
      <c r="AD288" s="550"/>
      <c r="AE288" s="550"/>
      <c r="AF288" s="550"/>
      <c r="AG288" s="550"/>
      <c r="AH288" s="550"/>
      <c r="AI288" s="550"/>
      <c r="AJ288" s="550"/>
    </row>
    <row r="289" spans="2:36">
      <c r="B289" s="550"/>
      <c r="C289" s="550"/>
      <c r="D289" s="550"/>
      <c r="E289" s="550"/>
      <c r="F289" s="550"/>
      <c r="G289" s="550"/>
      <c r="H289" s="550"/>
      <c r="I289" s="550"/>
      <c r="J289" s="550"/>
      <c r="K289" s="550"/>
      <c r="L289" s="550"/>
      <c r="M289" s="550"/>
      <c r="N289" s="550"/>
      <c r="O289" s="550"/>
      <c r="P289" s="550"/>
      <c r="Q289" s="550"/>
      <c r="R289" s="550"/>
      <c r="S289" s="550"/>
      <c r="T289" s="550"/>
      <c r="U289" s="550"/>
      <c r="V289" s="550"/>
      <c r="W289" s="550"/>
      <c r="X289" s="550"/>
      <c r="Y289" s="550"/>
      <c r="Z289" s="550"/>
      <c r="AA289" s="550"/>
      <c r="AB289" s="550"/>
      <c r="AC289" s="550"/>
      <c r="AD289" s="550"/>
      <c r="AE289" s="550"/>
      <c r="AF289" s="550"/>
      <c r="AG289" s="550"/>
      <c r="AH289" s="550"/>
      <c r="AI289" s="550"/>
      <c r="AJ289" s="550"/>
    </row>
    <row r="290" spans="2:36">
      <c r="B290" s="550"/>
      <c r="C290" s="550"/>
      <c r="D290" s="550"/>
      <c r="E290" s="550"/>
      <c r="F290" s="550"/>
      <c r="G290" s="550"/>
      <c r="H290" s="550"/>
      <c r="I290" s="550"/>
      <c r="J290" s="550"/>
      <c r="K290" s="550"/>
      <c r="L290" s="550"/>
      <c r="M290" s="550"/>
      <c r="N290" s="550"/>
      <c r="O290" s="550"/>
      <c r="P290" s="550"/>
      <c r="Q290" s="550"/>
      <c r="R290" s="550"/>
      <c r="S290" s="550"/>
      <c r="T290" s="550"/>
      <c r="U290" s="550"/>
      <c r="V290" s="550"/>
      <c r="W290" s="550"/>
      <c r="X290" s="550"/>
      <c r="Y290" s="550"/>
      <c r="Z290" s="550"/>
      <c r="AA290" s="550"/>
      <c r="AB290" s="550"/>
      <c r="AC290" s="550"/>
      <c r="AD290" s="550"/>
      <c r="AE290" s="550"/>
      <c r="AF290" s="550"/>
      <c r="AG290" s="550"/>
      <c r="AH290" s="550"/>
      <c r="AI290" s="550"/>
      <c r="AJ290" s="550"/>
    </row>
    <row r="291" spans="2:36">
      <c r="B291" s="550"/>
      <c r="C291" s="55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E291" s="550"/>
      <c r="AF291" s="550"/>
      <c r="AG291" s="550"/>
      <c r="AH291" s="550"/>
      <c r="AI291" s="550"/>
      <c r="AJ291" s="550"/>
    </row>
    <row r="292" spans="2:36">
      <c r="B292" s="550"/>
      <c r="C292" s="550"/>
      <c r="D292" s="550"/>
      <c r="E292" s="550"/>
      <c r="F292" s="550"/>
      <c r="G292" s="550"/>
      <c r="H292" s="550"/>
      <c r="I292" s="550"/>
      <c r="J292" s="550"/>
      <c r="K292" s="550"/>
      <c r="L292" s="550"/>
      <c r="M292" s="550"/>
      <c r="N292" s="550"/>
      <c r="O292" s="550"/>
      <c r="P292" s="550"/>
      <c r="Q292" s="550"/>
      <c r="R292" s="550"/>
      <c r="S292" s="550"/>
      <c r="T292" s="550"/>
      <c r="U292" s="550"/>
      <c r="V292" s="550"/>
      <c r="W292" s="550"/>
      <c r="X292" s="550"/>
      <c r="Y292" s="550"/>
      <c r="Z292" s="550"/>
      <c r="AA292" s="550"/>
      <c r="AB292" s="550"/>
      <c r="AC292" s="550"/>
      <c r="AD292" s="550"/>
      <c r="AE292" s="550"/>
      <c r="AF292" s="550"/>
      <c r="AG292" s="550"/>
      <c r="AH292" s="550"/>
      <c r="AI292" s="550"/>
      <c r="AJ292" s="550"/>
    </row>
    <row r="293" spans="2:36">
      <c r="B293" s="550"/>
      <c r="C293" s="550"/>
      <c r="D293" s="550"/>
      <c r="E293" s="550"/>
      <c r="F293" s="550"/>
      <c r="G293" s="550"/>
      <c r="H293" s="550"/>
      <c r="I293" s="550"/>
      <c r="J293" s="550"/>
      <c r="K293" s="550"/>
      <c r="L293" s="550"/>
      <c r="M293" s="550"/>
      <c r="N293" s="550"/>
      <c r="O293" s="550"/>
      <c r="P293" s="550"/>
      <c r="Q293" s="550"/>
      <c r="R293" s="550"/>
      <c r="S293" s="550"/>
      <c r="T293" s="550"/>
      <c r="U293" s="550"/>
      <c r="V293" s="550"/>
      <c r="W293" s="550"/>
      <c r="X293" s="550"/>
      <c r="Y293" s="550"/>
      <c r="Z293" s="550"/>
      <c r="AA293" s="550"/>
      <c r="AB293" s="550"/>
      <c r="AC293" s="550"/>
      <c r="AD293" s="550"/>
      <c r="AE293" s="550"/>
      <c r="AF293" s="550"/>
      <c r="AG293" s="550"/>
      <c r="AH293" s="550"/>
      <c r="AI293" s="550"/>
      <c r="AJ293" s="550"/>
    </row>
    <row r="294" spans="2:36">
      <c r="B294" s="550"/>
      <c r="C294" s="550"/>
      <c r="D294" s="550"/>
      <c r="E294" s="550"/>
      <c r="F294" s="550"/>
      <c r="G294" s="550"/>
      <c r="H294" s="550"/>
      <c r="I294" s="550"/>
      <c r="J294" s="550"/>
      <c r="K294" s="550"/>
      <c r="L294" s="550"/>
      <c r="M294" s="550"/>
      <c r="N294" s="550"/>
      <c r="O294" s="550"/>
      <c r="P294" s="550"/>
      <c r="Q294" s="550"/>
      <c r="R294" s="550"/>
      <c r="S294" s="550"/>
      <c r="T294" s="550"/>
      <c r="U294" s="550"/>
      <c r="V294" s="550"/>
      <c r="W294" s="550"/>
      <c r="X294" s="550"/>
      <c r="Y294" s="550"/>
      <c r="Z294" s="550"/>
      <c r="AA294" s="550"/>
      <c r="AB294" s="550"/>
      <c r="AC294" s="550"/>
      <c r="AD294" s="550"/>
      <c r="AE294" s="550"/>
      <c r="AF294" s="550"/>
      <c r="AG294" s="550"/>
      <c r="AH294" s="550"/>
      <c r="AI294" s="550"/>
      <c r="AJ294" s="550"/>
    </row>
    <row r="295" spans="2:36">
      <c r="B295" s="550"/>
      <c r="C295" s="550"/>
      <c r="D295" s="550"/>
      <c r="E295" s="550"/>
      <c r="F295" s="550"/>
      <c r="G295" s="550"/>
      <c r="H295" s="550"/>
      <c r="I295" s="550"/>
      <c r="J295" s="550"/>
      <c r="K295" s="550"/>
      <c r="L295" s="550"/>
      <c r="M295" s="550"/>
      <c r="N295" s="550"/>
      <c r="O295" s="550"/>
      <c r="P295" s="550"/>
      <c r="Q295" s="550"/>
      <c r="R295" s="550"/>
      <c r="S295" s="550"/>
      <c r="T295" s="550"/>
      <c r="U295" s="550"/>
      <c r="V295" s="550"/>
      <c r="W295" s="550"/>
      <c r="X295" s="550"/>
      <c r="Y295" s="550"/>
      <c r="Z295" s="550"/>
      <c r="AA295" s="550"/>
      <c r="AB295" s="550"/>
      <c r="AC295" s="550"/>
      <c r="AD295" s="550"/>
      <c r="AE295" s="550"/>
      <c r="AF295" s="550"/>
      <c r="AG295" s="550"/>
      <c r="AH295" s="550"/>
      <c r="AI295" s="550"/>
      <c r="AJ295" s="550"/>
    </row>
    <row r="296" spans="2:36">
      <c r="B296" s="550"/>
      <c r="C296" s="550"/>
      <c r="D296" s="550"/>
      <c r="E296" s="550"/>
      <c r="F296" s="550"/>
      <c r="G296" s="550"/>
      <c r="H296" s="550"/>
      <c r="I296" s="550"/>
      <c r="J296" s="550"/>
      <c r="K296" s="550"/>
      <c r="L296" s="550"/>
      <c r="M296" s="550"/>
      <c r="N296" s="550"/>
      <c r="O296" s="550"/>
      <c r="P296" s="550"/>
      <c r="Q296" s="550"/>
      <c r="R296" s="550"/>
      <c r="S296" s="550"/>
      <c r="T296" s="550"/>
      <c r="U296" s="550"/>
      <c r="V296" s="550"/>
      <c r="W296" s="550"/>
      <c r="X296" s="550"/>
      <c r="Y296" s="550"/>
      <c r="Z296" s="550"/>
      <c r="AA296" s="550"/>
      <c r="AB296" s="550"/>
      <c r="AC296" s="550"/>
      <c r="AD296" s="550"/>
      <c r="AE296" s="550"/>
      <c r="AF296" s="550"/>
      <c r="AG296" s="550"/>
      <c r="AH296" s="550"/>
      <c r="AI296" s="550"/>
      <c r="AJ296" s="550"/>
    </row>
    <row r="297" spans="2:36">
      <c r="B297" s="550"/>
      <c r="C297" s="550"/>
      <c r="D297" s="550"/>
      <c r="E297" s="550"/>
      <c r="F297" s="550"/>
      <c r="G297" s="550"/>
      <c r="H297" s="550"/>
      <c r="I297" s="550"/>
      <c r="J297" s="550"/>
      <c r="K297" s="550"/>
      <c r="L297" s="550"/>
      <c r="M297" s="550"/>
      <c r="N297" s="550"/>
      <c r="O297" s="550"/>
      <c r="P297" s="550"/>
      <c r="Q297" s="550"/>
      <c r="R297" s="550"/>
      <c r="S297" s="550"/>
      <c r="T297" s="550"/>
      <c r="U297" s="550"/>
      <c r="V297" s="550"/>
      <c r="W297" s="550"/>
      <c r="X297" s="550"/>
      <c r="Y297" s="550"/>
      <c r="Z297" s="550"/>
      <c r="AA297" s="550"/>
      <c r="AB297" s="550"/>
      <c r="AC297" s="550"/>
      <c r="AD297" s="550"/>
      <c r="AE297" s="550"/>
      <c r="AF297" s="550"/>
      <c r="AG297" s="550"/>
      <c r="AH297" s="550"/>
      <c r="AI297" s="550"/>
      <c r="AJ297" s="550"/>
    </row>
    <row r="298" spans="2:36">
      <c r="B298" s="550"/>
      <c r="C298" s="550"/>
      <c r="D298" s="550"/>
      <c r="E298" s="550"/>
      <c r="F298" s="550"/>
      <c r="G298" s="550"/>
      <c r="H298" s="550"/>
      <c r="I298" s="550"/>
      <c r="J298" s="550"/>
      <c r="K298" s="550"/>
      <c r="L298" s="550"/>
      <c r="M298" s="550"/>
      <c r="N298" s="550"/>
      <c r="O298" s="550"/>
      <c r="P298" s="550"/>
      <c r="Q298" s="550"/>
      <c r="R298" s="550"/>
      <c r="S298" s="550"/>
      <c r="T298" s="550"/>
      <c r="U298" s="550"/>
      <c r="V298" s="550"/>
      <c r="W298" s="550"/>
      <c r="X298" s="550"/>
      <c r="Y298" s="550"/>
      <c r="Z298" s="550"/>
      <c r="AA298" s="550"/>
      <c r="AB298" s="550"/>
      <c r="AC298" s="550"/>
      <c r="AD298" s="550"/>
      <c r="AE298" s="550"/>
      <c r="AF298" s="550"/>
      <c r="AG298" s="550"/>
      <c r="AH298" s="550"/>
      <c r="AI298" s="550"/>
      <c r="AJ298" s="550"/>
    </row>
    <row r="299" spans="2:36">
      <c r="B299" s="550"/>
      <c r="C299" s="550"/>
      <c r="D299" s="550"/>
      <c r="E299" s="550"/>
      <c r="F299" s="550"/>
      <c r="G299" s="550"/>
      <c r="H299" s="550"/>
      <c r="I299" s="550"/>
      <c r="J299" s="550"/>
      <c r="K299" s="550"/>
      <c r="L299" s="550"/>
      <c r="M299" s="550"/>
      <c r="N299" s="550"/>
      <c r="O299" s="550"/>
      <c r="P299" s="550"/>
      <c r="Q299" s="550"/>
      <c r="R299" s="550"/>
      <c r="S299" s="550"/>
      <c r="T299" s="550"/>
      <c r="U299" s="550"/>
      <c r="V299" s="550"/>
      <c r="W299" s="550"/>
      <c r="X299" s="550"/>
      <c r="Y299" s="550"/>
      <c r="Z299" s="550"/>
      <c r="AA299" s="550"/>
      <c r="AB299" s="550"/>
      <c r="AC299" s="550"/>
      <c r="AD299" s="550"/>
      <c r="AE299" s="550"/>
      <c r="AF299" s="550"/>
      <c r="AG299" s="550"/>
      <c r="AH299" s="550"/>
      <c r="AI299" s="550"/>
      <c r="AJ299" s="550"/>
    </row>
    <row r="300" spans="2:36">
      <c r="B300" s="550"/>
      <c r="C300" s="550"/>
      <c r="D300" s="550"/>
      <c r="E300" s="550"/>
      <c r="F300" s="550"/>
      <c r="G300" s="550"/>
      <c r="H300" s="550"/>
      <c r="I300" s="550"/>
      <c r="J300" s="550"/>
      <c r="K300" s="550"/>
      <c r="L300" s="550"/>
      <c r="M300" s="550"/>
      <c r="N300" s="550"/>
      <c r="O300" s="550"/>
      <c r="P300" s="550"/>
      <c r="Q300" s="550"/>
      <c r="R300" s="550"/>
      <c r="S300" s="550"/>
      <c r="T300" s="550"/>
      <c r="U300" s="550"/>
      <c r="V300" s="550"/>
      <c r="W300" s="550"/>
      <c r="X300" s="550"/>
      <c r="Y300" s="550"/>
      <c r="Z300" s="550"/>
      <c r="AA300" s="550"/>
      <c r="AB300" s="550"/>
      <c r="AC300" s="550"/>
      <c r="AD300" s="550"/>
      <c r="AE300" s="550"/>
      <c r="AF300" s="550"/>
      <c r="AG300" s="550"/>
      <c r="AH300" s="550"/>
      <c r="AI300" s="550"/>
      <c r="AJ300" s="550"/>
    </row>
    <row r="301" spans="2:36">
      <c r="B301" s="550"/>
      <c r="C301" s="550"/>
      <c r="D301" s="550"/>
      <c r="E301" s="550"/>
      <c r="F301" s="550"/>
      <c r="G301" s="550"/>
      <c r="H301" s="550"/>
      <c r="I301" s="550"/>
      <c r="J301" s="550"/>
      <c r="K301" s="550"/>
      <c r="L301" s="550"/>
      <c r="M301" s="550"/>
      <c r="N301" s="550"/>
      <c r="O301" s="550"/>
      <c r="P301" s="550"/>
      <c r="Q301" s="550"/>
      <c r="R301" s="550"/>
      <c r="S301" s="550"/>
      <c r="T301" s="550"/>
      <c r="U301" s="550"/>
      <c r="V301" s="550"/>
      <c r="W301" s="550"/>
      <c r="X301" s="550"/>
      <c r="Y301" s="550"/>
      <c r="Z301" s="550"/>
      <c r="AA301" s="550"/>
      <c r="AB301" s="550"/>
      <c r="AC301" s="550"/>
      <c r="AD301" s="550"/>
      <c r="AE301" s="550"/>
      <c r="AF301" s="550"/>
      <c r="AG301" s="550"/>
      <c r="AH301" s="550"/>
      <c r="AI301" s="550"/>
      <c r="AJ301" s="550"/>
    </row>
    <row r="302" spans="2:36">
      <c r="B302" s="550"/>
      <c r="C302" s="550"/>
      <c r="D302" s="550"/>
      <c r="E302" s="550"/>
      <c r="F302" s="550"/>
      <c r="G302" s="550"/>
      <c r="H302" s="550"/>
      <c r="I302" s="550"/>
      <c r="J302" s="550"/>
      <c r="K302" s="550"/>
      <c r="L302" s="550"/>
      <c r="M302" s="550"/>
      <c r="N302" s="550"/>
      <c r="O302" s="550"/>
      <c r="P302" s="550"/>
      <c r="Q302" s="550"/>
      <c r="R302" s="550"/>
      <c r="S302" s="550"/>
      <c r="T302" s="550"/>
      <c r="U302" s="550"/>
      <c r="V302" s="550"/>
      <c r="W302" s="550"/>
      <c r="X302" s="550"/>
      <c r="Y302" s="550"/>
      <c r="Z302" s="550"/>
      <c r="AA302" s="550"/>
      <c r="AB302" s="550"/>
      <c r="AC302" s="550"/>
      <c r="AD302" s="550"/>
      <c r="AE302" s="550"/>
      <c r="AF302" s="550"/>
      <c r="AG302" s="550"/>
      <c r="AH302" s="550"/>
      <c r="AI302" s="550"/>
      <c r="AJ302" s="550"/>
    </row>
    <row r="303" spans="2:36">
      <c r="B303" s="550"/>
      <c r="C303" s="550"/>
      <c r="D303" s="550"/>
      <c r="E303" s="550"/>
      <c r="F303" s="550"/>
      <c r="G303" s="550"/>
      <c r="H303" s="550"/>
      <c r="I303" s="550"/>
      <c r="J303" s="550"/>
      <c r="K303" s="550"/>
      <c r="L303" s="550"/>
      <c r="M303" s="550"/>
      <c r="N303" s="550"/>
      <c r="O303" s="550"/>
      <c r="P303" s="550"/>
      <c r="Q303" s="550"/>
      <c r="R303" s="550"/>
      <c r="S303" s="550"/>
      <c r="T303" s="550"/>
      <c r="U303" s="550"/>
      <c r="V303" s="550"/>
      <c r="W303" s="550"/>
      <c r="X303" s="550"/>
      <c r="Y303" s="550"/>
      <c r="Z303" s="550"/>
      <c r="AA303" s="550"/>
      <c r="AB303" s="550"/>
      <c r="AC303" s="550"/>
      <c r="AD303" s="550"/>
      <c r="AE303" s="550"/>
      <c r="AF303" s="550"/>
      <c r="AG303" s="550"/>
      <c r="AH303" s="550"/>
      <c r="AI303" s="550"/>
      <c r="AJ303" s="550"/>
    </row>
    <row r="304" spans="2:36">
      <c r="B304" s="550"/>
      <c r="C304" s="550"/>
      <c r="D304" s="550"/>
      <c r="E304" s="550"/>
      <c r="F304" s="550"/>
      <c r="G304" s="550"/>
      <c r="H304" s="550"/>
      <c r="I304" s="550"/>
      <c r="J304" s="550"/>
      <c r="K304" s="550"/>
      <c r="L304" s="550"/>
      <c r="M304" s="550"/>
      <c r="N304" s="550"/>
      <c r="O304" s="550"/>
      <c r="P304" s="550"/>
      <c r="Q304" s="550"/>
      <c r="R304" s="550"/>
      <c r="S304" s="550"/>
      <c r="T304" s="550"/>
      <c r="U304" s="550"/>
      <c r="V304" s="550"/>
      <c r="W304" s="550"/>
      <c r="X304" s="550"/>
      <c r="Y304" s="550"/>
      <c r="Z304" s="550"/>
      <c r="AA304" s="550"/>
      <c r="AB304" s="550"/>
      <c r="AC304" s="550"/>
      <c r="AD304" s="550"/>
      <c r="AE304" s="550"/>
      <c r="AF304" s="550"/>
      <c r="AG304" s="550"/>
      <c r="AH304" s="550"/>
      <c r="AI304" s="550"/>
      <c r="AJ304" s="550"/>
    </row>
    <row r="305" spans="2:36">
      <c r="B305" s="550"/>
      <c r="C305" s="550"/>
      <c r="D305" s="550"/>
      <c r="E305" s="550"/>
      <c r="F305" s="550"/>
      <c r="G305" s="550"/>
      <c r="H305" s="550"/>
      <c r="I305" s="550"/>
      <c r="J305" s="550"/>
      <c r="K305" s="550"/>
      <c r="L305" s="550"/>
      <c r="M305" s="550"/>
      <c r="N305" s="550"/>
      <c r="O305" s="550"/>
      <c r="P305" s="550"/>
      <c r="Q305" s="550"/>
      <c r="R305" s="550"/>
      <c r="S305" s="550"/>
      <c r="T305" s="550"/>
      <c r="U305" s="550"/>
      <c r="V305" s="550"/>
      <c r="W305" s="550"/>
      <c r="X305" s="550"/>
      <c r="Y305" s="550"/>
      <c r="Z305" s="550"/>
      <c r="AA305" s="550"/>
      <c r="AB305" s="550"/>
      <c r="AC305" s="550"/>
      <c r="AD305" s="550"/>
      <c r="AE305" s="550"/>
      <c r="AF305" s="550"/>
      <c r="AG305" s="550"/>
      <c r="AH305" s="550"/>
      <c r="AI305" s="550"/>
      <c r="AJ305" s="550"/>
    </row>
    <row r="306" spans="2:36">
      <c r="B306" s="550"/>
      <c r="C306" s="550"/>
      <c r="D306" s="550"/>
      <c r="E306" s="550"/>
      <c r="F306" s="550"/>
      <c r="G306" s="550"/>
      <c r="H306" s="550"/>
      <c r="I306" s="550"/>
      <c r="J306" s="550"/>
      <c r="K306" s="550"/>
      <c r="L306" s="550"/>
      <c r="M306" s="550"/>
      <c r="N306" s="550"/>
      <c r="O306" s="550"/>
      <c r="P306" s="550"/>
      <c r="Q306" s="550"/>
      <c r="R306" s="550"/>
      <c r="S306" s="550"/>
      <c r="T306" s="550"/>
      <c r="U306" s="550"/>
      <c r="V306" s="550"/>
      <c r="W306" s="550"/>
      <c r="X306" s="550"/>
      <c r="Y306" s="550"/>
      <c r="Z306" s="550"/>
      <c r="AA306" s="550"/>
      <c r="AB306" s="550"/>
      <c r="AC306" s="550"/>
      <c r="AD306" s="550"/>
      <c r="AE306" s="550"/>
      <c r="AF306" s="550"/>
      <c r="AG306" s="550"/>
      <c r="AH306" s="550"/>
      <c r="AI306" s="550"/>
      <c r="AJ306" s="550"/>
    </row>
    <row r="307" spans="2:36">
      <c r="B307" s="550"/>
      <c r="C307" s="550"/>
      <c r="D307" s="550"/>
      <c r="E307" s="550"/>
      <c r="F307" s="550"/>
      <c r="G307" s="550"/>
      <c r="H307" s="550"/>
      <c r="I307" s="550"/>
      <c r="J307" s="550"/>
      <c r="K307" s="550"/>
      <c r="L307" s="550"/>
      <c r="M307" s="550"/>
      <c r="N307" s="550"/>
      <c r="O307" s="550"/>
      <c r="P307" s="550"/>
      <c r="Q307" s="550"/>
      <c r="R307" s="550"/>
      <c r="S307" s="550"/>
      <c r="T307" s="550"/>
      <c r="U307" s="550"/>
      <c r="V307" s="550"/>
      <c r="W307" s="550"/>
      <c r="X307" s="550"/>
      <c r="Y307" s="550"/>
      <c r="Z307" s="550"/>
      <c r="AA307" s="550"/>
      <c r="AB307" s="550"/>
      <c r="AC307" s="550"/>
      <c r="AD307" s="550"/>
      <c r="AE307" s="550"/>
      <c r="AF307" s="550"/>
      <c r="AG307" s="550"/>
      <c r="AH307" s="550"/>
      <c r="AI307" s="550"/>
      <c r="AJ307" s="550"/>
    </row>
    <row r="308" spans="2:36">
      <c r="B308" s="550"/>
      <c r="C308" s="550"/>
      <c r="D308" s="550"/>
      <c r="E308" s="550"/>
      <c r="F308" s="550"/>
      <c r="G308" s="550"/>
      <c r="H308" s="550"/>
      <c r="I308" s="550"/>
      <c r="J308" s="550"/>
      <c r="K308" s="550"/>
      <c r="L308" s="550"/>
      <c r="M308" s="550"/>
      <c r="N308" s="550"/>
      <c r="O308" s="550"/>
      <c r="P308" s="550"/>
      <c r="Q308" s="550"/>
      <c r="R308" s="550"/>
      <c r="S308" s="550"/>
      <c r="T308" s="550"/>
      <c r="U308" s="550"/>
      <c r="V308" s="550"/>
      <c r="W308" s="550"/>
      <c r="X308" s="550"/>
      <c r="Y308" s="550"/>
      <c r="Z308" s="550"/>
      <c r="AA308" s="550"/>
      <c r="AB308" s="550"/>
      <c r="AC308" s="550"/>
      <c r="AD308" s="550"/>
      <c r="AE308" s="550"/>
      <c r="AF308" s="550"/>
      <c r="AG308" s="550"/>
      <c r="AH308" s="550"/>
      <c r="AI308" s="550"/>
      <c r="AJ308" s="550"/>
    </row>
    <row r="309" spans="2:36">
      <c r="B309" s="550"/>
      <c r="C309" s="550"/>
      <c r="D309" s="550"/>
      <c r="E309" s="550"/>
      <c r="F309" s="550"/>
      <c r="G309" s="550"/>
      <c r="H309" s="550"/>
      <c r="I309" s="550"/>
      <c r="J309" s="550"/>
      <c r="K309" s="550"/>
      <c r="L309" s="550"/>
      <c r="M309" s="550"/>
      <c r="N309" s="550"/>
      <c r="O309" s="550"/>
      <c r="P309" s="550"/>
      <c r="Q309" s="550"/>
      <c r="R309" s="550"/>
      <c r="S309" s="550"/>
      <c r="T309" s="550"/>
      <c r="U309" s="550"/>
      <c r="V309" s="550"/>
      <c r="W309" s="550"/>
      <c r="X309" s="550"/>
      <c r="Y309" s="550"/>
      <c r="Z309" s="550"/>
      <c r="AA309" s="550"/>
      <c r="AB309" s="550"/>
      <c r="AC309" s="550"/>
      <c r="AD309" s="550"/>
      <c r="AE309" s="550"/>
      <c r="AF309" s="550"/>
      <c r="AG309" s="550"/>
      <c r="AH309" s="550"/>
      <c r="AI309" s="550"/>
      <c r="AJ309" s="550"/>
    </row>
    <row r="310" spans="2:36">
      <c r="B310" s="550"/>
      <c r="C310" s="550"/>
      <c r="D310" s="550"/>
      <c r="E310" s="550"/>
      <c r="F310" s="550"/>
      <c r="G310" s="550"/>
      <c r="H310" s="550"/>
      <c r="I310" s="550"/>
      <c r="J310" s="550"/>
      <c r="K310" s="550"/>
      <c r="L310" s="550"/>
      <c r="M310" s="550"/>
      <c r="N310" s="550"/>
      <c r="O310" s="550"/>
      <c r="P310" s="550"/>
      <c r="Q310" s="550"/>
      <c r="R310" s="550"/>
      <c r="S310" s="550"/>
      <c r="T310" s="550"/>
      <c r="U310" s="550"/>
      <c r="V310" s="550"/>
      <c r="W310" s="550"/>
      <c r="X310" s="550"/>
      <c r="Y310" s="550"/>
      <c r="Z310" s="550"/>
      <c r="AA310" s="550"/>
      <c r="AB310" s="550"/>
      <c r="AC310" s="550"/>
      <c r="AD310" s="550"/>
      <c r="AE310" s="550"/>
      <c r="AF310" s="550"/>
      <c r="AG310" s="550"/>
      <c r="AH310" s="550"/>
      <c r="AI310" s="550"/>
      <c r="AJ310" s="550"/>
    </row>
    <row r="311" spans="2:36">
      <c r="B311" s="550"/>
      <c r="C311" s="550"/>
      <c r="D311" s="550"/>
      <c r="E311" s="550"/>
      <c r="F311" s="550"/>
      <c r="G311" s="550"/>
      <c r="H311" s="550"/>
      <c r="I311" s="550"/>
      <c r="J311" s="550"/>
      <c r="K311" s="550"/>
      <c r="L311" s="550"/>
      <c r="M311" s="550"/>
      <c r="N311" s="550"/>
      <c r="O311" s="550"/>
      <c r="P311" s="550"/>
      <c r="Q311" s="550"/>
      <c r="R311" s="550"/>
      <c r="S311" s="550"/>
      <c r="T311" s="550"/>
      <c r="U311" s="550"/>
      <c r="V311" s="550"/>
      <c r="W311" s="550"/>
      <c r="X311" s="550"/>
      <c r="Y311" s="550"/>
      <c r="Z311" s="550"/>
      <c r="AA311" s="550"/>
      <c r="AB311" s="550"/>
      <c r="AC311" s="550"/>
      <c r="AD311" s="550"/>
      <c r="AE311" s="550"/>
      <c r="AF311" s="550"/>
      <c r="AG311" s="550"/>
      <c r="AH311" s="550"/>
      <c r="AI311" s="550"/>
      <c r="AJ311" s="550"/>
    </row>
    <row r="312" spans="2:36">
      <c r="B312" s="550"/>
      <c r="C312" s="550"/>
      <c r="D312" s="550"/>
      <c r="E312" s="550"/>
      <c r="F312" s="550"/>
      <c r="G312" s="550"/>
      <c r="H312" s="550"/>
      <c r="I312" s="550"/>
      <c r="J312" s="550"/>
      <c r="K312" s="550"/>
      <c r="L312" s="550"/>
      <c r="M312" s="550"/>
      <c r="N312" s="550"/>
      <c r="O312" s="550"/>
      <c r="P312" s="550"/>
      <c r="Q312" s="550"/>
      <c r="R312" s="550"/>
      <c r="S312" s="550"/>
      <c r="T312" s="550"/>
      <c r="U312" s="550"/>
      <c r="V312" s="550"/>
      <c r="W312" s="550"/>
      <c r="X312" s="550"/>
      <c r="Y312" s="550"/>
      <c r="Z312" s="550"/>
      <c r="AA312" s="550"/>
      <c r="AB312" s="550"/>
      <c r="AC312" s="550"/>
      <c r="AD312" s="550"/>
      <c r="AE312" s="550"/>
      <c r="AF312" s="550"/>
      <c r="AG312" s="550"/>
      <c r="AH312" s="550"/>
      <c r="AI312" s="550"/>
      <c r="AJ312" s="550"/>
    </row>
    <row r="313" spans="2:36">
      <c r="B313" s="550"/>
      <c r="C313" s="550"/>
      <c r="D313" s="550"/>
      <c r="E313" s="550"/>
      <c r="F313" s="550"/>
      <c r="G313" s="550"/>
      <c r="H313" s="550"/>
      <c r="I313" s="550"/>
      <c r="J313" s="550"/>
      <c r="K313" s="550"/>
      <c r="L313" s="550"/>
      <c r="M313" s="550"/>
      <c r="N313" s="550"/>
      <c r="O313" s="550"/>
      <c r="P313" s="550"/>
      <c r="Q313" s="550"/>
      <c r="R313" s="550"/>
      <c r="S313" s="550"/>
      <c r="T313" s="550"/>
      <c r="U313" s="550"/>
      <c r="V313" s="550"/>
      <c r="W313" s="550"/>
      <c r="X313" s="550"/>
      <c r="Y313" s="550"/>
      <c r="Z313" s="550"/>
      <c r="AA313" s="550"/>
      <c r="AB313" s="550"/>
      <c r="AC313" s="550"/>
      <c r="AD313" s="550"/>
      <c r="AE313" s="550"/>
      <c r="AF313" s="550"/>
      <c r="AG313" s="550"/>
      <c r="AH313" s="550"/>
      <c r="AI313" s="550"/>
      <c r="AJ313" s="550"/>
    </row>
    <row r="314" spans="2:36">
      <c r="B314" s="550"/>
      <c r="C314" s="550"/>
      <c r="D314" s="550"/>
      <c r="E314" s="550"/>
      <c r="F314" s="550"/>
      <c r="G314" s="550"/>
      <c r="H314" s="550"/>
      <c r="I314" s="550"/>
      <c r="J314" s="550"/>
      <c r="K314" s="550"/>
      <c r="L314" s="550"/>
      <c r="M314" s="550"/>
      <c r="N314" s="550"/>
      <c r="O314" s="550"/>
      <c r="P314" s="550"/>
      <c r="Q314" s="550"/>
      <c r="R314" s="550"/>
      <c r="S314" s="550"/>
      <c r="T314" s="550"/>
      <c r="U314" s="550"/>
      <c r="V314" s="550"/>
      <c r="W314" s="550"/>
      <c r="X314" s="550"/>
      <c r="Y314" s="550"/>
      <c r="Z314" s="550"/>
      <c r="AA314" s="550"/>
      <c r="AB314" s="550"/>
      <c r="AC314" s="550"/>
      <c r="AD314" s="550"/>
      <c r="AE314" s="550"/>
      <c r="AF314" s="550"/>
      <c r="AG314" s="550"/>
      <c r="AH314" s="550"/>
      <c r="AI314" s="550"/>
      <c r="AJ314" s="550"/>
    </row>
    <row r="315" spans="2:36">
      <c r="B315" s="550"/>
      <c r="C315" s="550"/>
      <c r="D315" s="550"/>
      <c r="E315" s="550"/>
      <c r="F315" s="550"/>
      <c r="G315" s="550"/>
      <c r="H315" s="550"/>
      <c r="I315" s="550"/>
      <c r="J315" s="550"/>
      <c r="K315" s="550"/>
      <c r="L315" s="550"/>
      <c r="M315" s="550"/>
      <c r="N315" s="550"/>
      <c r="O315" s="550"/>
      <c r="P315" s="550"/>
      <c r="Q315" s="550"/>
      <c r="R315" s="550"/>
      <c r="S315" s="550"/>
      <c r="T315" s="550"/>
      <c r="U315" s="550"/>
      <c r="V315" s="550"/>
      <c r="W315" s="550"/>
      <c r="X315" s="550"/>
      <c r="Y315" s="550"/>
      <c r="Z315" s="550"/>
      <c r="AA315" s="550"/>
      <c r="AB315" s="550"/>
      <c r="AC315" s="550"/>
      <c r="AD315" s="550"/>
      <c r="AE315" s="550"/>
      <c r="AF315" s="550"/>
      <c r="AG315" s="550"/>
      <c r="AH315" s="550"/>
      <c r="AI315" s="550"/>
      <c r="AJ315" s="550"/>
    </row>
    <row r="316" spans="2:36">
      <c r="B316" s="550"/>
      <c r="C316" s="550"/>
      <c r="D316" s="550"/>
      <c r="E316" s="550"/>
      <c r="F316" s="550"/>
      <c r="G316" s="550"/>
      <c r="H316" s="550"/>
      <c r="I316" s="550"/>
      <c r="J316" s="550"/>
      <c r="K316" s="550"/>
      <c r="L316" s="550"/>
      <c r="M316" s="550"/>
      <c r="N316" s="550"/>
      <c r="O316" s="550"/>
      <c r="P316" s="550"/>
      <c r="Q316" s="550"/>
      <c r="R316" s="550"/>
      <c r="S316" s="550"/>
      <c r="T316" s="550"/>
      <c r="U316" s="550"/>
      <c r="V316" s="550"/>
      <c r="W316" s="550"/>
      <c r="X316" s="550"/>
      <c r="Y316" s="550"/>
      <c r="Z316" s="550"/>
      <c r="AA316" s="550"/>
      <c r="AB316" s="550"/>
      <c r="AC316" s="550"/>
      <c r="AD316" s="550"/>
      <c r="AE316" s="550"/>
      <c r="AF316" s="550"/>
      <c r="AG316" s="550"/>
      <c r="AH316" s="550"/>
      <c r="AI316" s="550"/>
      <c r="AJ316" s="550"/>
    </row>
    <row r="317" spans="2:36">
      <c r="B317" s="550"/>
      <c r="C317" s="550"/>
      <c r="D317" s="550"/>
      <c r="E317" s="550"/>
      <c r="F317" s="550"/>
      <c r="G317" s="550"/>
      <c r="H317" s="550"/>
      <c r="I317" s="550"/>
      <c r="J317" s="550"/>
      <c r="K317" s="550"/>
      <c r="L317" s="550"/>
      <c r="M317" s="550"/>
      <c r="N317" s="550"/>
      <c r="O317" s="550"/>
      <c r="P317" s="550"/>
      <c r="Q317" s="550"/>
      <c r="R317" s="550"/>
      <c r="S317" s="550"/>
      <c r="T317" s="550"/>
      <c r="U317" s="550"/>
      <c r="V317" s="550"/>
      <c r="W317" s="550"/>
      <c r="X317" s="550"/>
      <c r="Y317" s="550"/>
      <c r="Z317" s="550"/>
      <c r="AA317" s="550"/>
      <c r="AB317" s="550"/>
      <c r="AC317" s="550"/>
      <c r="AD317" s="550"/>
      <c r="AE317" s="550"/>
      <c r="AF317" s="550"/>
      <c r="AG317" s="550"/>
      <c r="AH317" s="550"/>
      <c r="AI317" s="550"/>
      <c r="AJ317" s="550"/>
    </row>
    <row r="318" spans="2:36">
      <c r="B318" s="550"/>
      <c r="C318" s="550"/>
      <c r="D318" s="550"/>
      <c r="E318" s="550"/>
      <c r="F318" s="550"/>
      <c r="G318" s="550"/>
      <c r="H318" s="550"/>
      <c r="I318" s="550"/>
      <c r="J318" s="550"/>
      <c r="K318" s="550"/>
      <c r="L318" s="550"/>
      <c r="M318" s="550"/>
      <c r="N318" s="550"/>
      <c r="O318" s="550"/>
      <c r="P318" s="550"/>
      <c r="Q318" s="550"/>
      <c r="R318" s="550"/>
      <c r="S318" s="550"/>
      <c r="T318" s="550"/>
      <c r="U318" s="550"/>
      <c r="V318" s="550"/>
      <c r="W318" s="550"/>
      <c r="X318" s="550"/>
      <c r="Y318" s="550"/>
      <c r="Z318" s="550"/>
      <c r="AA318" s="550"/>
      <c r="AB318" s="550"/>
      <c r="AC318" s="550"/>
      <c r="AD318" s="550"/>
      <c r="AE318" s="550"/>
      <c r="AF318" s="550"/>
      <c r="AG318" s="550"/>
      <c r="AH318" s="550"/>
      <c r="AI318" s="550"/>
      <c r="AJ318" s="550"/>
    </row>
    <row r="319" spans="2:36">
      <c r="B319" s="550"/>
      <c r="C319" s="550"/>
      <c r="D319" s="550"/>
      <c r="E319" s="550"/>
      <c r="F319" s="550"/>
      <c r="G319" s="550"/>
      <c r="H319" s="550"/>
      <c r="I319" s="550"/>
      <c r="J319" s="550"/>
      <c r="K319" s="550"/>
      <c r="L319" s="550"/>
      <c r="M319" s="550"/>
      <c r="N319" s="550"/>
      <c r="O319" s="550"/>
      <c r="P319" s="550"/>
      <c r="Q319" s="550"/>
      <c r="R319" s="550"/>
      <c r="S319" s="550"/>
      <c r="T319" s="550"/>
      <c r="U319" s="550"/>
      <c r="V319" s="550"/>
      <c r="W319" s="550"/>
      <c r="X319" s="550"/>
      <c r="Y319" s="550"/>
      <c r="Z319" s="550"/>
      <c r="AA319" s="550"/>
      <c r="AB319" s="550"/>
      <c r="AC319" s="550"/>
      <c r="AD319" s="550"/>
      <c r="AE319" s="550"/>
      <c r="AF319" s="550"/>
      <c r="AG319" s="550"/>
      <c r="AH319" s="550"/>
      <c r="AI319" s="550"/>
      <c r="AJ319" s="550"/>
    </row>
    <row r="320" spans="2:36">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50"/>
    </row>
    <row r="321" spans="2:36">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50"/>
    </row>
    <row r="322" spans="2:36">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50"/>
    </row>
    <row r="323" spans="2:36">
      <c r="B323" s="550"/>
      <c r="C323" s="550"/>
      <c r="D323" s="550"/>
      <c r="E323" s="550"/>
      <c r="F323" s="550"/>
      <c r="G323" s="550"/>
      <c r="H323" s="550"/>
      <c r="I323" s="550"/>
      <c r="J323" s="550"/>
      <c r="K323" s="550"/>
      <c r="L323" s="550"/>
      <c r="M323" s="550"/>
      <c r="N323" s="550"/>
      <c r="O323" s="550"/>
      <c r="P323" s="550"/>
      <c r="Q323" s="550"/>
      <c r="R323" s="550"/>
      <c r="S323" s="550"/>
      <c r="T323" s="550"/>
      <c r="U323" s="550"/>
      <c r="V323" s="550"/>
      <c r="W323" s="550"/>
      <c r="X323" s="550"/>
      <c r="Y323" s="550"/>
      <c r="Z323" s="550"/>
      <c r="AA323" s="550"/>
      <c r="AB323" s="550"/>
      <c r="AC323" s="550"/>
      <c r="AD323" s="550"/>
      <c r="AE323" s="550"/>
      <c r="AF323" s="550"/>
      <c r="AG323" s="550"/>
      <c r="AH323" s="550"/>
      <c r="AI323" s="550"/>
      <c r="AJ323" s="550"/>
    </row>
    <row r="324" spans="2:36">
      <c r="B324" s="550"/>
      <c r="C324" s="550"/>
      <c r="D324" s="550"/>
      <c r="E324" s="550"/>
      <c r="F324" s="550"/>
      <c r="G324" s="550"/>
      <c r="H324" s="550"/>
      <c r="I324" s="550"/>
      <c r="J324" s="550"/>
      <c r="K324" s="550"/>
      <c r="L324" s="550"/>
      <c r="M324" s="550"/>
      <c r="N324" s="550"/>
      <c r="O324" s="550"/>
      <c r="P324" s="550"/>
      <c r="Q324" s="550"/>
      <c r="R324" s="550"/>
      <c r="S324" s="550"/>
      <c r="T324" s="550"/>
      <c r="U324" s="550"/>
      <c r="V324" s="550"/>
      <c r="W324" s="550"/>
      <c r="X324" s="550"/>
      <c r="Y324" s="550"/>
      <c r="Z324" s="550"/>
      <c r="AA324" s="550"/>
      <c r="AB324" s="550"/>
      <c r="AC324" s="550"/>
      <c r="AD324" s="550"/>
      <c r="AE324" s="550"/>
      <c r="AF324" s="550"/>
      <c r="AG324" s="550"/>
      <c r="AH324" s="550"/>
      <c r="AI324" s="550"/>
      <c r="AJ324" s="550"/>
    </row>
    <row r="325" spans="2:36">
      <c r="B325" s="550"/>
      <c r="C325" s="550"/>
      <c r="D325" s="550"/>
      <c r="E325" s="550"/>
      <c r="F325" s="550"/>
      <c r="G325" s="550"/>
      <c r="H325" s="550"/>
      <c r="I325" s="550"/>
      <c r="J325" s="550"/>
      <c r="K325" s="550"/>
      <c r="L325" s="550"/>
      <c r="M325" s="550"/>
      <c r="N325" s="550"/>
      <c r="O325" s="550"/>
      <c r="P325" s="550"/>
      <c r="Q325" s="550"/>
      <c r="R325" s="550"/>
      <c r="S325" s="550"/>
      <c r="T325" s="550"/>
      <c r="U325" s="550"/>
      <c r="V325" s="550"/>
      <c r="W325" s="550"/>
      <c r="X325" s="550"/>
      <c r="Y325" s="550"/>
      <c r="Z325" s="550"/>
      <c r="AA325" s="550"/>
      <c r="AB325" s="550"/>
      <c r="AC325" s="550"/>
      <c r="AD325" s="550"/>
      <c r="AE325" s="550"/>
      <c r="AF325" s="550"/>
      <c r="AG325" s="550"/>
      <c r="AH325" s="550"/>
      <c r="AI325" s="550"/>
      <c r="AJ325" s="550"/>
    </row>
    <row r="326" spans="2:36">
      <c r="B326" s="550"/>
      <c r="C326" s="550"/>
      <c r="D326" s="550"/>
      <c r="E326" s="550"/>
      <c r="F326" s="550"/>
      <c r="G326" s="550"/>
      <c r="H326" s="550"/>
      <c r="I326" s="550"/>
      <c r="J326" s="550"/>
      <c r="K326" s="550"/>
      <c r="L326" s="550"/>
      <c r="M326" s="550"/>
      <c r="N326" s="550"/>
      <c r="O326" s="550"/>
      <c r="P326" s="550"/>
      <c r="Q326" s="550"/>
      <c r="R326" s="550"/>
      <c r="S326" s="550"/>
      <c r="T326" s="550"/>
      <c r="U326" s="550"/>
      <c r="V326" s="550"/>
      <c r="W326" s="550"/>
      <c r="X326" s="550"/>
      <c r="Y326" s="550"/>
      <c r="Z326" s="550"/>
      <c r="AA326" s="550"/>
      <c r="AB326" s="550"/>
      <c r="AC326" s="550"/>
      <c r="AD326" s="550"/>
      <c r="AE326" s="550"/>
      <c r="AF326" s="550"/>
      <c r="AG326" s="550"/>
      <c r="AH326" s="550"/>
      <c r="AI326" s="550"/>
      <c r="AJ326" s="550"/>
    </row>
    <row r="327" spans="2:36">
      <c r="B327" s="550"/>
      <c r="C327" s="550"/>
      <c r="D327" s="550"/>
      <c r="E327" s="550"/>
      <c r="F327" s="550"/>
      <c r="G327" s="550"/>
      <c r="H327" s="550"/>
      <c r="I327" s="550"/>
      <c r="J327" s="550"/>
      <c r="K327" s="550"/>
      <c r="L327" s="550"/>
      <c r="M327" s="550"/>
      <c r="N327" s="550"/>
      <c r="O327" s="550"/>
      <c r="P327" s="550"/>
      <c r="Q327" s="550"/>
      <c r="R327" s="550"/>
      <c r="S327" s="550"/>
      <c r="T327" s="550"/>
      <c r="U327" s="550"/>
      <c r="V327" s="550"/>
      <c r="W327" s="550"/>
      <c r="X327" s="550"/>
      <c r="Y327" s="550"/>
      <c r="Z327" s="550"/>
      <c r="AA327" s="550"/>
      <c r="AB327" s="550"/>
      <c r="AC327" s="550"/>
      <c r="AD327" s="550"/>
      <c r="AE327" s="550"/>
      <c r="AF327" s="550"/>
      <c r="AG327" s="550"/>
      <c r="AH327" s="550"/>
      <c r="AI327" s="550"/>
      <c r="AJ327" s="550"/>
    </row>
    <row r="328" spans="2:36">
      <c r="B328" s="550"/>
      <c r="C328" s="550"/>
      <c r="D328" s="550"/>
      <c r="E328" s="550"/>
      <c r="F328" s="550"/>
      <c r="G328" s="550"/>
      <c r="H328" s="550"/>
      <c r="I328" s="550"/>
      <c r="J328" s="550"/>
      <c r="K328" s="550"/>
      <c r="L328" s="550"/>
      <c r="M328" s="550"/>
      <c r="N328" s="550"/>
      <c r="O328" s="550"/>
      <c r="P328" s="550"/>
      <c r="Q328" s="550"/>
      <c r="R328" s="550"/>
      <c r="S328" s="550"/>
      <c r="T328" s="550"/>
      <c r="U328" s="550"/>
      <c r="V328" s="550"/>
      <c r="W328" s="550"/>
      <c r="X328" s="550"/>
      <c r="Y328" s="550"/>
      <c r="Z328" s="550"/>
      <c r="AA328" s="550"/>
      <c r="AB328" s="550"/>
      <c r="AC328" s="550"/>
      <c r="AD328" s="550"/>
      <c r="AE328" s="550"/>
      <c r="AF328" s="550"/>
      <c r="AG328" s="550"/>
      <c r="AH328" s="550"/>
      <c r="AI328" s="550"/>
      <c r="AJ328" s="550"/>
    </row>
    <row r="329" spans="2:36">
      <c r="B329" s="550"/>
      <c r="C329" s="550"/>
      <c r="D329" s="550"/>
      <c r="E329" s="550"/>
      <c r="F329" s="550"/>
      <c r="G329" s="550"/>
      <c r="H329" s="550"/>
      <c r="I329" s="550"/>
      <c r="J329" s="550"/>
      <c r="K329" s="550"/>
      <c r="L329" s="550"/>
      <c r="M329" s="550"/>
      <c r="N329" s="550"/>
      <c r="O329" s="550"/>
      <c r="P329" s="550"/>
      <c r="Q329" s="550"/>
      <c r="R329" s="550"/>
      <c r="S329" s="550"/>
      <c r="T329" s="550"/>
      <c r="U329" s="550"/>
      <c r="V329" s="550"/>
      <c r="W329" s="550"/>
      <c r="X329" s="550"/>
      <c r="Y329" s="550"/>
      <c r="Z329" s="550"/>
      <c r="AA329" s="550"/>
      <c r="AB329" s="550"/>
      <c r="AC329" s="550"/>
      <c r="AD329" s="550"/>
      <c r="AE329" s="550"/>
      <c r="AF329" s="550"/>
      <c r="AG329" s="550"/>
      <c r="AH329" s="550"/>
      <c r="AI329" s="550"/>
      <c r="AJ329" s="550"/>
    </row>
    <row r="330" spans="2:36">
      <c r="B330" s="550"/>
      <c r="C330" s="550"/>
      <c r="D330" s="550"/>
      <c r="E330" s="550"/>
      <c r="F330" s="550"/>
      <c r="G330" s="550"/>
      <c r="H330" s="550"/>
      <c r="I330" s="550"/>
      <c r="J330" s="550"/>
      <c r="K330" s="550"/>
      <c r="L330" s="550"/>
      <c r="M330" s="550"/>
      <c r="N330" s="550"/>
      <c r="O330" s="550"/>
      <c r="P330" s="550"/>
      <c r="Q330" s="550"/>
      <c r="R330" s="550"/>
      <c r="S330" s="550"/>
      <c r="T330" s="550"/>
      <c r="U330" s="550"/>
      <c r="V330" s="550"/>
      <c r="W330" s="550"/>
      <c r="X330" s="550"/>
      <c r="Y330" s="550"/>
      <c r="Z330" s="550"/>
      <c r="AA330" s="550"/>
      <c r="AB330" s="550"/>
      <c r="AC330" s="550"/>
      <c r="AD330" s="550"/>
      <c r="AE330" s="550"/>
      <c r="AF330" s="550"/>
      <c r="AG330" s="550"/>
      <c r="AH330" s="550"/>
      <c r="AI330" s="550"/>
      <c r="AJ330" s="550"/>
    </row>
    <row r="331" spans="2:36">
      <c r="B331" s="550"/>
      <c r="C331" s="550"/>
      <c r="D331" s="550"/>
      <c r="E331" s="550"/>
      <c r="F331" s="550"/>
      <c r="G331" s="550"/>
      <c r="H331" s="550"/>
      <c r="I331" s="550"/>
      <c r="J331" s="550"/>
      <c r="K331" s="550"/>
      <c r="L331" s="550"/>
      <c r="M331" s="550"/>
      <c r="N331" s="550"/>
      <c r="O331" s="550"/>
      <c r="P331" s="550"/>
      <c r="Q331" s="550"/>
      <c r="R331" s="550"/>
      <c r="S331" s="550"/>
      <c r="T331" s="550"/>
      <c r="U331" s="550"/>
      <c r="V331" s="550"/>
      <c r="W331" s="550"/>
      <c r="X331" s="550"/>
      <c r="Y331" s="550"/>
      <c r="Z331" s="550"/>
      <c r="AA331" s="550"/>
      <c r="AB331" s="550"/>
      <c r="AC331" s="550"/>
      <c r="AD331" s="550"/>
      <c r="AE331" s="550"/>
      <c r="AF331" s="550"/>
      <c r="AG331" s="550"/>
      <c r="AH331" s="550"/>
      <c r="AI331" s="550"/>
      <c r="AJ331" s="550"/>
    </row>
    <row r="332" spans="2:36">
      <c r="B332" s="550"/>
      <c r="C332" s="550"/>
      <c r="D332" s="550"/>
      <c r="E332" s="550"/>
      <c r="F332" s="550"/>
      <c r="G332" s="550"/>
      <c r="H332" s="550"/>
      <c r="I332" s="550"/>
      <c r="J332" s="550"/>
      <c r="K332" s="550"/>
      <c r="L332" s="550"/>
      <c r="M332" s="550"/>
      <c r="N332" s="550"/>
      <c r="O332" s="550"/>
      <c r="P332" s="550"/>
      <c r="Q332" s="550"/>
      <c r="R332" s="550"/>
      <c r="S332" s="550"/>
      <c r="T332" s="550"/>
      <c r="U332" s="550"/>
      <c r="V332" s="550"/>
      <c r="W332" s="550"/>
      <c r="X332" s="550"/>
      <c r="Y332" s="550"/>
      <c r="Z332" s="550"/>
      <c r="AA332" s="550"/>
      <c r="AB332" s="550"/>
      <c r="AC332" s="550"/>
      <c r="AD332" s="550"/>
      <c r="AE332" s="550"/>
      <c r="AF332" s="550"/>
      <c r="AG332" s="550"/>
      <c r="AH332" s="550"/>
      <c r="AI332" s="550"/>
      <c r="AJ332" s="550"/>
    </row>
    <row r="333" spans="2:36">
      <c r="B333" s="550"/>
      <c r="C333" s="550"/>
      <c r="D333" s="550"/>
      <c r="E333" s="550"/>
      <c r="F333" s="550"/>
      <c r="G333" s="550"/>
      <c r="H333" s="550"/>
      <c r="I333" s="550"/>
      <c r="J333" s="550"/>
      <c r="K333" s="550"/>
      <c r="L333" s="550"/>
      <c r="M333" s="550"/>
      <c r="N333" s="550"/>
      <c r="O333" s="550"/>
      <c r="P333" s="550"/>
      <c r="Q333" s="550"/>
      <c r="R333" s="550"/>
      <c r="S333" s="550"/>
      <c r="T333" s="550"/>
      <c r="U333" s="550"/>
      <c r="V333" s="550"/>
      <c r="W333" s="550"/>
      <c r="X333" s="550"/>
      <c r="Y333" s="550"/>
      <c r="Z333" s="550"/>
      <c r="AA333" s="550"/>
      <c r="AB333" s="550"/>
      <c r="AC333" s="550"/>
      <c r="AD333" s="550"/>
      <c r="AE333" s="550"/>
      <c r="AF333" s="550"/>
      <c r="AG333" s="550"/>
      <c r="AH333" s="550"/>
      <c r="AI333" s="550"/>
      <c r="AJ333" s="550"/>
    </row>
    <row r="334" spans="2:36">
      <c r="B334" s="550"/>
      <c r="C334" s="550"/>
      <c r="D334" s="550"/>
      <c r="E334" s="550"/>
      <c r="F334" s="550"/>
      <c r="G334" s="550"/>
      <c r="H334" s="550"/>
      <c r="I334" s="550"/>
      <c r="J334" s="550"/>
      <c r="K334" s="550"/>
      <c r="L334" s="550"/>
      <c r="M334" s="550"/>
      <c r="N334" s="550"/>
      <c r="O334" s="550"/>
      <c r="P334" s="550"/>
      <c r="Q334" s="550"/>
      <c r="R334" s="550"/>
      <c r="S334" s="550"/>
      <c r="T334" s="550"/>
      <c r="U334" s="550"/>
      <c r="V334" s="550"/>
      <c r="W334" s="550"/>
      <c r="X334" s="550"/>
      <c r="Y334" s="550"/>
      <c r="Z334" s="550"/>
      <c r="AA334" s="550"/>
      <c r="AB334" s="550"/>
      <c r="AC334" s="550"/>
      <c r="AD334" s="550"/>
      <c r="AE334" s="550"/>
      <c r="AF334" s="550"/>
      <c r="AG334" s="550"/>
      <c r="AH334" s="550"/>
      <c r="AI334" s="550"/>
      <c r="AJ334" s="550"/>
    </row>
    <row r="335" spans="2:36">
      <c r="B335" s="550"/>
      <c r="C335" s="550"/>
      <c r="D335" s="550"/>
      <c r="E335" s="550"/>
      <c r="F335" s="550"/>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550"/>
      <c r="AE335" s="550"/>
      <c r="AF335" s="550"/>
      <c r="AG335" s="550"/>
      <c r="AH335" s="550"/>
      <c r="AI335" s="550"/>
      <c r="AJ335" s="550"/>
    </row>
    <row r="336" spans="2:36">
      <c r="B336" s="550"/>
      <c r="C336" s="550"/>
      <c r="D336" s="550"/>
      <c r="E336" s="550"/>
      <c r="F336" s="5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550"/>
      <c r="AE336" s="550"/>
      <c r="AF336" s="550"/>
      <c r="AG336" s="550"/>
      <c r="AH336" s="550"/>
      <c r="AI336" s="550"/>
      <c r="AJ336" s="550"/>
    </row>
    <row r="337" spans="2:36">
      <c r="B337" s="550"/>
      <c r="C337" s="550"/>
      <c r="D337" s="550"/>
      <c r="E337" s="550"/>
      <c r="F337" s="550"/>
      <c r="G337" s="550"/>
      <c r="H337" s="550"/>
      <c r="I337" s="550"/>
      <c r="J337" s="550"/>
      <c r="K337" s="550"/>
      <c r="L337" s="550"/>
      <c r="M337" s="550"/>
      <c r="N337" s="550"/>
      <c r="O337" s="550"/>
      <c r="P337" s="550"/>
      <c r="Q337" s="550"/>
      <c r="R337" s="550"/>
      <c r="S337" s="550"/>
      <c r="T337" s="550"/>
      <c r="U337" s="550"/>
      <c r="V337" s="550"/>
      <c r="W337" s="550"/>
      <c r="X337" s="550"/>
      <c r="Y337" s="550"/>
      <c r="Z337" s="550"/>
      <c r="AA337" s="550"/>
      <c r="AB337" s="550"/>
      <c r="AC337" s="550"/>
      <c r="AD337" s="550"/>
      <c r="AE337" s="550"/>
      <c r="AF337" s="550"/>
      <c r="AG337" s="550"/>
      <c r="AH337" s="550"/>
      <c r="AI337" s="550"/>
      <c r="AJ337" s="550"/>
    </row>
    <row r="338" spans="2:36">
      <c r="B338" s="550"/>
      <c r="C338" s="550"/>
      <c r="D338" s="550"/>
      <c r="E338" s="550"/>
      <c r="F338" s="550"/>
      <c r="G338" s="550"/>
      <c r="H338" s="550"/>
      <c r="I338" s="550"/>
      <c r="J338" s="550"/>
      <c r="K338" s="550"/>
      <c r="L338" s="550"/>
      <c r="M338" s="550"/>
      <c r="N338" s="550"/>
      <c r="O338" s="550"/>
      <c r="P338" s="550"/>
      <c r="Q338" s="550"/>
      <c r="R338" s="550"/>
      <c r="S338" s="550"/>
      <c r="T338" s="550"/>
      <c r="U338" s="550"/>
      <c r="V338" s="550"/>
      <c r="W338" s="550"/>
      <c r="X338" s="550"/>
      <c r="Y338" s="550"/>
      <c r="Z338" s="550"/>
      <c r="AA338" s="550"/>
      <c r="AB338" s="550"/>
      <c r="AC338" s="550"/>
      <c r="AD338" s="550"/>
      <c r="AE338" s="550"/>
      <c r="AF338" s="550"/>
      <c r="AG338" s="550"/>
      <c r="AH338" s="550"/>
      <c r="AI338" s="550"/>
      <c r="AJ338" s="550"/>
    </row>
    <row r="339" spans="2:36">
      <c r="B339" s="550"/>
      <c r="C339" s="550"/>
      <c r="D339" s="550"/>
      <c r="E339" s="550"/>
      <c r="F339" s="550"/>
      <c r="G339" s="550"/>
      <c r="H339" s="550"/>
      <c r="I339" s="550"/>
      <c r="J339" s="550"/>
      <c r="K339" s="550"/>
      <c r="L339" s="550"/>
      <c r="M339" s="550"/>
      <c r="N339" s="550"/>
      <c r="O339" s="550"/>
      <c r="P339" s="550"/>
      <c r="Q339" s="550"/>
      <c r="R339" s="550"/>
      <c r="S339" s="550"/>
      <c r="T339" s="550"/>
      <c r="U339" s="550"/>
      <c r="V339" s="550"/>
      <c r="W339" s="550"/>
      <c r="X339" s="550"/>
      <c r="Y339" s="550"/>
      <c r="Z339" s="550"/>
      <c r="AA339" s="550"/>
      <c r="AB339" s="550"/>
      <c r="AC339" s="550"/>
      <c r="AD339" s="550"/>
      <c r="AE339" s="550"/>
      <c r="AF339" s="550"/>
      <c r="AG339" s="550"/>
      <c r="AH339" s="550"/>
      <c r="AI339" s="550"/>
      <c r="AJ339" s="550"/>
    </row>
    <row r="340" spans="2:36">
      <c r="B340" s="550"/>
      <c r="C340" s="550"/>
      <c r="D340" s="550"/>
      <c r="E340" s="550"/>
      <c r="F340" s="550"/>
      <c r="G340" s="550"/>
      <c r="H340" s="550"/>
      <c r="I340" s="550"/>
      <c r="J340" s="550"/>
      <c r="K340" s="550"/>
      <c r="L340" s="550"/>
      <c r="M340" s="550"/>
      <c r="N340" s="550"/>
      <c r="O340" s="550"/>
      <c r="P340" s="550"/>
      <c r="Q340" s="550"/>
      <c r="R340" s="550"/>
      <c r="S340" s="550"/>
      <c r="T340" s="550"/>
      <c r="U340" s="550"/>
      <c r="V340" s="550"/>
      <c r="W340" s="550"/>
      <c r="X340" s="550"/>
      <c r="Y340" s="550"/>
      <c r="Z340" s="550"/>
      <c r="AA340" s="550"/>
      <c r="AB340" s="550"/>
      <c r="AC340" s="550"/>
      <c r="AD340" s="550"/>
      <c r="AE340" s="550"/>
      <c r="AF340" s="550"/>
      <c r="AG340" s="550"/>
      <c r="AH340" s="550"/>
      <c r="AI340" s="550"/>
      <c r="AJ340" s="550"/>
    </row>
    <row r="341" spans="2:36">
      <c r="B341" s="550"/>
      <c r="C341" s="550"/>
      <c r="D341" s="550"/>
      <c r="E341" s="550"/>
      <c r="F341" s="5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550"/>
      <c r="AE341" s="550"/>
      <c r="AF341" s="550"/>
      <c r="AG341" s="550"/>
      <c r="AH341" s="550"/>
      <c r="AI341" s="550"/>
      <c r="AJ341" s="550"/>
    </row>
    <row r="342" spans="2:36">
      <c r="B342" s="550"/>
      <c r="C342" s="550"/>
      <c r="D342" s="550"/>
      <c r="E342" s="550"/>
      <c r="F342" s="550"/>
      <c r="G342" s="550"/>
      <c r="H342" s="550"/>
      <c r="I342" s="550"/>
      <c r="J342" s="550"/>
      <c r="K342" s="550"/>
      <c r="L342" s="550"/>
      <c r="M342" s="550"/>
      <c r="N342" s="550"/>
      <c r="O342" s="550"/>
      <c r="P342" s="550"/>
      <c r="Q342" s="550"/>
      <c r="R342" s="550"/>
      <c r="S342" s="550"/>
      <c r="T342" s="550"/>
      <c r="U342" s="550"/>
      <c r="V342" s="550"/>
      <c r="W342" s="550"/>
      <c r="X342" s="550"/>
      <c r="Y342" s="550"/>
      <c r="Z342" s="550"/>
      <c r="AA342" s="550"/>
      <c r="AB342" s="550"/>
      <c r="AC342" s="550"/>
      <c r="AD342" s="550"/>
      <c r="AE342" s="550"/>
      <c r="AF342" s="550"/>
      <c r="AG342" s="550"/>
      <c r="AH342" s="550"/>
      <c r="AI342" s="550"/>
      <c r="AJ342" s="550"/>
    </row>
    <row r="343" spans="2:36">
      <c r="B343" s="550"/>
      <c r="C343" s="550"/>
      <c r="D343" s="550"/>
      <c r="E343" s="550"/>
      <c r="F343" s="550"/>
      <c r="G343" s="550"/>
      <c r="H343" s="550"/>
      <c r="I343" s="550"/>
      <c r="J343" s="550"/>
      <c r="K343" s="550"/>
      <c r="L343" s="550"/>
      <c r="M343" s="550"/>
      <c r="N343" s="550"/>
      <c r="O343" s="550"/>
      <c r="P343" s="550"/>
      <c r="Q343" s="550"/>
      <c r="R343" s="550"/>
      <c r="S343" s="550"/>
      <c r="T343" s="550"/>
      <c r="U343" s="550"/>
      <c r="V343" s="550"/>
      <c r="W343" s="550"/>
      <c r="X343" s="550"/>
      <c r="Y343" s="550"/>
      <c r="Z343" s="550"/>
      <c r="AA343" s="550"/>
      <c r="AB343" s="550"/>
      <c r="AC343" s="550"/>
      <c r="AD343" s="550"/>
      <c r="AE343" s="550"/>
      <c r="AF343" s="550"/>
      <c r="AG343" s="550"/>
      <c r="AH343" s="550"/>
      <c r="AI343" s="550"/>
      <c r="AJ343" s="550"/>
    </row>
    <row r="344" spans="2:36">
      <c r="B344" s="550"/>
      <c r="C344" s="550"/>
      <c r="D344" s="550"/>
      <c r="E344" s="550"/>
      <c r="F344" s="550"/>
      <c r="G344" s="550"/>
      <c r="H344" s="550"/>
      <c r="I344" s="550"/>
      <c r="J344" s="550"/>
      <c r="K344" s="550"/>
      <c r="L344" s="550"/>
      <c r="M344" s="550"/>
      <c r="N344" s="550"/>
      <c r="O344" s="550"/>
      <c r="P344" s="550"/>
      <c r="Q344" s="550"/>
      <c r="R344" s="550"/>
      <c r="S344" s="550"/>
      <c r="T344" s="550"/>
      <c r="U344" s="550"/>
      <c r="V344" s="550"/>
      <c r="W344" s="550"/>
      <c r="X344" s="550"/>
      <c r="Y344" s="550"/>
      <c r="Z344" s="550"/>
      <c r="AA344" s="550"/>
      <c r="AB344" s="550"/>
      <c r="AC344" s="550"/>
      <c r="AD344" s="550"/>
      <c r="AE344" s="550"/>
      <c r="AF344" s="550"/>
      <c r="AG344" s="550"/>
      <c r="AH344" s="550"/>
      <c r="AI344" s="550"/>
      <c r="AJ344" s="550"/>
    </row>
    <row r="345" spans="2:36">
      <c r="B345" s="550"/>
      <c r="C345" s="550"/>
      <c r="D345" s="550"/>
      <c r="E345" s="550"/>
      <c r="F345" s="550"/>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50"/>
    </row>
    <row r="346" spans="2:36">
      <c r="B346" s="550"/>
      <c r="C346" s="550"/>
      <c r="D346" s="550"/>
      <c r="E346" s="550"/>
      <c r="F346" s="550"/>
      <c r="G346" s="550"/>
      <c r="H346" s="550"/>
      <c r="I346" s="550"/>
      <c r="J346" s="550"/>
      <c r="K346" s="550"/>
      <c r="L346" s="550"/>
      <c r="M346" s="550"/>
      <c r="N346" s="550"/>
      <c r="O346" s="550"/>
      <c r="P346" s="550"/>
      <c r="Q346" s="550"/>
      <c r="R346" s="550"/>
      <c r="S346" s="550"/>
      <c r="T346" s="550"/>
      <c r="U346" s="550"/>
      <c r="V346" s="550"/>
      <c r="W346" s="550"/>
      <c r="X346" s="550"/>
      <c r="Y346" s="550"/>
      <c r="Z346" s="550"/>
      <c r="AA346" s="550"/>
      <c r="AB346" s="550"/>
      <c r="AC346" s="550"/>
      <c r="AD346" s="550"/>
      <c r="AE346" s="550"/>
      <c r="AF346" s="550"/>
      <c r="AG346" s="550"/>
      <c r="AH346" s="550"/>
      <c r="AI346" s="550"/>
      <c r="AJ346" s="550"/>
    </row>
    <row r="347" spans="2:36">
      <c r="B347" s="550"/>
      <c r="C347" s="550"/>
      <c r="D347" s="550"/>
      <c r="E347" s="550"/>
      <c r="F347" s="550"/>
      <c r="G347" s="550"/>
      <c r="H347" s="550"/>
      <c r="I347" s="550"/>
      <c r="J347" s="550"/>
      <c r="K347" s="550"/>
      <c r="L347" s="550"/>
      <c r="M347" s="550"/>
      <c r="N347" s="550"/>
      <c r="O347" s="550"/>
      <c r="P347" s="550"/>
      <c r="Q347" s="550"/>
      <c r="R347" s="550"/>
      <c r="S347" s="550"/>
      <c r="T347" s="550"/>
      <c r="U347" s="550"/>
      <c r="V347" s="550"/>
      <c r="W347" s="550"/>
      <c r="X347" s="550"/>
      <c r="Y347" s="550"/>
      <c r="Z347" s="550"/>
      <c r="AA347" s="550"/>
      <c r="AB347" s="550"/>
      <c r="AC347" s="550"/>
      <c r="AD347" s="550"/>
      <c r="AE347" s="550"/>
      <c r="AF347" s="550"/>
      <c r="AG347" s="550"/>
      <c r="AH347" s="550"/>
      <c r="AI347" s="550"/>
      <c r="AJ347" s="550"/>
    </row>
    <row r="348" spans="2:36">
      <c r="B348" s="550"/>
      <c r="C348" s="550"/>
      <c r="D348" s="550"/>
      <c r="E348" s="550"/>
      <c r="F348" s="550"/>
      <c r="G348" s="550"/>
      <c r="H348" s="550"/>
      <c r="I348" s="550"/>
      <c r="J348" s="550"/>
      <c r="K348" s="550"/>
      <c r="L348" s="550"/>
      <c r="M348" s="550"/>
      <c r="N348" s="550"/>
      <c r="O348" s="550"/>
      <c r="P348" s="550"/>
      <c r="Q348" s="550"/>
      <c r="R348" s="550"/>
      <c r="S348" s="550"/>
      <c r="T348" s="550"/>
      <c r="U348" s="550"/>
      <c r="V348" s="550"/>
      <c r="W348" s="550"/>
      <c r="X348" s="550"/>
      <c r="Y348" s="550"/>
      <c r="Z348" s="550"/>
      <c r="AA348" s="550"/>
      <c r="AB348" s="550"/>
      <c r="AC348" s="550"/>
      <c r="AD348" s="550"/>
      <c r="AE348" s="550"/>
      <c r="AF348" s="550"/>
      <c r="AG348" s="550"/>
      <c r="AH348" s="550"/>
      <c r="AI348" s="550"/>
      <c r="AJ348" s="550"/>
    </row>
    <row r="349" spans="2:36">
      <c r="B349" s="550"/>
      <c r="C349" s="550"/>
      <c r="D349" s="550"/>
      <c r="E349" s="550"/>
      <c r="F349" s="550"/>
      <c r="G349" s="550"/>
      <c r="H349" s="550"/>
      <c r="I349" s="550"/>
      <c r="J349" s="550"/>
      <c r="K349" s="550"/>
      <c r="L349" s="550"/>
      <c r="M349" s="550"/>
      <c r="N349" s="550"/>
      <c r="O349" s="550"/>
      <c r="P349" s="550"/>
      <c r="Q349" s="550"/>
      <c r="R349" s="550"/>
      <c r="S349" s="550"/>
      <c r="T349" s="550"/>
      <c r="U349" s="550"/>
      <c r="V349" s="550"/>
      <c r="W349" s="550"/>
      <c r="X349" s="550"/>
      <c r="Y349" s="550"/>
      <c r="Z349" s="550"/>
      <c r="AA349" s="550"/>
      <c r="AB349" s="550"/>
      <c r="AC349" s="550"/>
      <c r="AD349" s="550"/>
      <c r="AE349" s="550"/>
      <c r="AF349" s="550"/>
      <c r="AG349" s="550"/>
      <c r="AH349" s="550"/>
      <c r="AI349" s="550"/>
      <c r="AJ349" s="550"/>
    </row>
    <row r="350" spans="2:36">
      <c r="B350" s="550"/>
      <c r="C350" s="550"/>
      <c r="D350" s="550"/>
      <c r="E350" s="550"/>
      <c r="F350" s="550"/>
      <c r="G350" s="550"/>
      <c r="H350" s="550"/>
      <c r="I350" s="550"/>
      <c r="J350" s="550"/>
      <c r="K350" s="550"/>
      <c r="L350" s="550"/>
      <c r="M350" s="550"/>
      <c r="N350" s="550"/>
      <c r="O350" s="550"/>
      <c r="P350" s="550"/>
      <c r="Q350" s="550"/>
      <c r="R350" s="550"/>
      <c r="S350" s="550"/>
      <c r="T350" s="550"/>
      <c r="U350" s="550"/>
      <c r="V350" s="550"/>
      <c r="W350" s="550"/>
      <c r="X350" s="550"/>
      <c r="Y350" s="550"/>
      <c r="Z350" s="550"/>
      <c r="AA350" s="550"/>
      <c r="AB350" s="550"/>
      <c r="AC350" s="550"/>
      <c r="AD350" s="550"/>
      <c r="AE350" s="550"/>
      <c r="AF350" s="550"/>
      <c r="AG350" s="550"/>
      <c r="AH350" s="550"/>
      <c r="AI350" s="550"/>
      <c r="AJ350" s="550"/>
    </row>
    <row r="351" spans="2:36">
      <c r="B351" s="550"/>
      <c r="C351" s="550"/>
      <c r="D351" s="550"/>
      <c r="E351" s="550"/>
      <c r="F351" s="550"/>
      <c r="G351" s="550"/>
      <c r="H351" s="550"/>
      <c r="I351" s="550"/>
      <c r="J351" s="550"/>
      <c r="K351" s="550"/>
      <c r="L351" s="550"/>
      <c r="M351" s="550"/>
      <c r="N351" s="550"/>
      <c r="O351" s="550"/>
      <c r="P351" s="550"/>
      <c r="Q351" s="550"/>
      <c r="R351" s="550"/>
      <c r="S351" s="550"/>
      <c r="T351" s="550"/>
      <c r="U351" s="550"/>
      <c r="V351" s="550"/>
      <c r="W351" s="550"/>
      <c r="X351" s="550"/>
      <c r="Y351" s="550"/>
      <c r="Z351" s="550"/>
      <c r="AA351" s="550"/>
      <c r="AB351" s="550"/>
      <c r="AC351" s="550"/>
      <c r="AD351" s="550"/>
      <c r="AE351" s="550"/>
      <c r="AF351" s="550"/>
      <c r="AG351" s="550"/>
      <c r="AH351" s="550"/>
      <c r="AI351" s="550"/>
      <c r="AJ351" s="550"/>
    </row>
    <row r="352" spans="2:36">
      <c r="B352" s="550"/>
      <c r="C352" s="550"/>
      <c r="D352" s="550"/>
      <c r="E352" s="550"/>
      <c r="F352" s="550"/>
      <c r="G352" s="550"/>
      <c r="H352" s="550"/>
      <c r="I352" s="550"/>
      <c r="J352" s="550"/>
      <c r="K352" s="550"/>
      <c r="L352" s="550"/>
      <c r="M352" s="550"/>
      <c r="N352" s="550"/>
      <c r="O352" s="550"/>
      <c r="P352" s="550"/>
      <c r="Q352" s="550"/>
      <c r="R352" s="550"/>
      <c r="S352" s="550"/>
      <c r="T352" s="550"/>
      <c r="U352" s="550"/>
      <c r="V352" s="550"/>
      <c r="W352" s="550"/>
      <c r="X352" s="550"/>
      <c r="Y352" s="550"/>
      <c r="Z352" s="550"/>
      <c r="AA352" s="550"/>
      <c r="AB352" s="550"/>
      <c r="AC352" s="550"/>
      <c r="AD352" s="550"/>
      <c r="AE352" s="550"/>
      <c r="AF352" s="550"/>
      <c r="AG352" s="550"/>
      <c r="AH352" s="550"/>
      <c r="AI352" s="550"/>
      <c r="AJ352" s="550"/>
    </row>
    <row r="353" spans="2:36">
      <c r="B353" s="550"/>
      <c r="C353" s="550"/>
      <c r="D353" s="550"/>
      <c r="E353" s="550"/>
      <c r="F353" s="550"/>
      <c r="G353" s="550"/>
      <c r="H353" s="550"/>
      <c r="I353" s="550"/>
      <c r="J353" s="550"/>
      <c r="K353" s="550"/>
      <c r="L353" s="550"/>
      <c r="M353" s="550"/>
      <c r="N353" s="550"/>
      <c r="O353" s="550"/>
      <c r="P353" s="550"/>
      <c r="Q353" s="550"/>
      <c r="R353" s="550"/>
      <c r="S353" s="550"/>
      <c r="T353" s="550"/>
      <c r="U353" s="550"/>
      <c r="V353" s="550"/>
      <c r="W353" s="550"/>
      <c r="X353" s="550"/>
      <c r="Y353" s="550"/>
      <c r="Z353" s="550"/>
      <c r="AA353" s="550"/>
      <c r="AB353" s="550"/>
      <c r="AC353" s="550"/>
      <c r="AD353" s="550"/>
      <c r="AE353" s="550"/>
      <c r="AF353" s="550"/>
      <c r="AG353" s="550"/>
      <c r="AH353" s="550"/>
      <c r="AI353" s="550"/>
      <c r="AJ353" s="550"/>
    </row>
    <row r="354" spans="2:36">
      <c r="B354" s="550"/>
      <c r="C354" s="550"/>
      <c r="D354" s="550"/>
      <c r="E354" s="550"/>
      <c r="F354" s="550"/>
      <c r="G354" s="550"/>
      <c r="H354" s="550"/>
      <c r="I354" s="550"/>
      <c r="J354" s="550"/>
      <c r="K354" s="550"/>
      <c r="L354" s="550"/>
      <c r="M354" s="550"/>
      <c r="N354" s="550"/>
      <c r="O354" s="550"/>
      <c r="P354" s="550"/>
      <c r="Q354" s="550"/>
      <c r="R354" s="550"/>
      <c r="S354" s="550"/>
      <c r="T354" s="550"/>
      <c r="U354" s="550"/>
      <c r="V354" s="550"/>
      <c r="W354" s="550"/>
      <c r="X354" s="550"/>
      <c r="Y354" s="550"/>
      <c r="Z354" s="550"/>
      <c r="AA354" s="550"/>
      <c r="AB354" s="550"/>
      <c r="AC354" s="550"/>
      <c r="AD354" s="550"/>
      <c r="AE354" s="550"/>
      <c r="AF354" s="550"/>
      <c r="AG354" s="550"/>
      <c r="AH354" s="550"/>
      <c r="AI354" s="550"/>
      <c r="AJ354" s="550"/>
    </row>
    <row r="355" spans="2:36">
      <c r="B355" s="550"/>
      <c r="C355" s="550"/>
      <c r="D355" s="550"/>
      <c r="E355" s="550"/>
      <c r="F355" s="550"/>
      <c r="G355" s="550"/>
      <c r="H355" s="550"/>
      <c r="I355" s="550"/>
      <c r="J355" s="550"/>
      <c r="K355" s="550"/>
      <c r="L355" s="550"/>
      <c r="M355" s="550"/>
      <c r="N355" s="550"/>
      <c r="O355" s="550"/>
      <c r="P355" s="550"/>
      <c r="Q355" s="550"/>
      <c r="R355" s="550"/>
      <c r="S355" s="550"/>
      <c r="T355" s="550"/>
      <c r="U355" s="550"/>
      <c r="V355" s="550"/>
      <c r="W355" s="550"/>
      <c r="X355" s="550"/>
      <c r="Y355" s="550"/>
      <c r="Z355" s="550"/>
      <c r="AA355" s="550"/>
      <c r="AB355" s="550"/>
      <c r="AC355" s="550"/>
      <c r="AD355" s="550"/>
      <c r="AE355" s="550"/>
      <c r="AF355" s="550"/>
      <c r="AG355" s="550"/>
      <c r="AH355" s="550"/>
      <c r="AI355" s="550"/>
      <c r="AJ355" s="550"/>
    </row>
    <row r="356" spans="2:36">
      <c r="B356" s="550"/>
      <c r="C356" s="550"/>
      <c r="D356" s="550"/>
      <c r="E356" s="550"/>
      <c r="F356" s="550"/>
      <c r="G356" s="550"/>
      <c r="H356" s="550"/>
      <c r="I356" s="550"/>
      <c r="J356" s="550"/>
      <c r="K356" s="550"/>
      <c r="L356" s="550"/>
      <c r="M356" s="550"/>
      <c r="N356" s="550"/>
      <c r="O356" s="550"/>
      <c r="P356" s="550"/>
      <c r="Q356" s="550"/>
      <c r="R356" s="550"/>
      <c r="S356" s="550"/>
      <c r="T356" s="550"/>
      <c r="U356" s="550"/>
      <c r="V356" s="550"/>
      <c r="W356" s="550"/>
      <c r="X356" s="550"/>
      <c r="Y356" s="550"/>
      <c r="Z356" s="550"/>
      <c r="AA356" s="550"/>
      <c r="AB356" s="550"/>
      <c r="AC356" s="550"/>
      <c r="AD356" s="550"/>
      <c r="AE356" s="550"/>
      <c r="AF356" s="550"/>
      <c r="AG356" s="550"/>
      <c r="AH356" s="550"/>
      <c r="AI356" s="550"/>
      <c r="AJ356" s="550"/>
    </row>
    <row r="357" spans="2:36">
      <c r="B357" s="550"/>
      <c r="C357" s="550"/>
      <c r="D357" s="550"/>
      <c r="E357" s="550"/>
      <c r="F357" s="550"/>
      <c r="G357" s="550"/>
      <c r="H357" s="550"/>
      <c r="I357" s="550"/>
      <c r="J357" s="550"/>
      <c r="K357" s="550"/>
      <c r="L357" s="550"/>
      <c r="M357" s="550"/>
      <c r="N357" s="550"/>
      <c r="O357" s="550"/>
      <c r="P357" s="550"/>
      <c r="Q357" s="550"/>
      <c r="R357" s="550"/>
      <c r="S357" s="550"/>
      <c r="T357" s="550"/>
      <c r="U357" s="550"/>
      <c r="V357" s="550"/>
      <c r="W357" s="550"/>
      <c r="X357" s="550"/>
      <c r="Y357" s="550"/>
      <c r="Z357" s="550"/>
      <c r="AA357" s="550"/>
      <c r="AB357" s="550"/>
      <c r="AC357" s="550"/>
      <c r="AD357" s="550"/>
      <c r="AE357" s="550"/>
      <c r="AF357" s="550"/>
      <c r="AG357" s="550"/>
      <c r="AH357" s="550"/>
      <c r="AI357" s="550"/>
      <c r="AJ357" s="550"/>
    </row>
    <row r="358" spans="2:36">
      <c r="B358" s="550"/>
      <c r="C358" s="550"/>
      <c r="D358" s="550"/>
      <c r="E358" s="550"/>
      <c r="F358" s="550"/>
      <c r="G358" s="550"/>
      <c r="H358" s="550"/>
      <c r="I358" s="550"/>
      <c r="J358" s="550"/>
      <c r="K358" s="550"/>
      <c r="L358" s="550"/>
      <c r="M358" s="550"/>
      <c r="N358" s="550"/>
      <c r="O358" s="550"/>
      <c r="P358" s="550"/>
      <c r="Q358" s="550"/>
      <c r="R358" s="550"/>
      <c r="S358" s="550"/>
      <c r="T358" s="550"/>
      <c r="U358" s="550"/>
      <c r="V358" s="550"/>
      <c r="W358" s="550"/>
      <c r="X358" s="550"/>
      <c r="Y358" s="550"/>
      <c r="Z358" s="550"/>
      <c r="AA358" s="550"/>
      <c r="AB358" s="550"/>
      <c r="AC358" s="550"/>
      <c r="AD358" s="550"/>
      <c r="AE358" s="550"/>
      <c r="AF358" s="550"/>
      <c r="AG358" s="550"/>
      <c r="AH358" s="550"/>
      <c r="AI358" s="550"/>
      <c r="AJ358" s="550"/>
    </row>
    <row r="359" spans="2:36">
      <c r="B359" s="550"/>
      <c r="C359" s="550"/>
      <c r="D359" s="550"/>
      <c r="E359" s="550"/>
      <c r="F359" s="550"/>
      <c r="G359" s="550"/>
      <c r="H359" s="550"/>
      <c r="I359" s="550"/>
      <c r="J359" s="550"/>
      <c r="K359" s="550"/>
      <c r="L359" s="550"/>
      <c r="M359" s="550"/>
      <c r="N359" s="550"/>
      <c r="O359" s="550"/>
      <c r="P359" s="550"/>
      <c r="Q359" s="550"/>
      <c r="R359" s="550"/>
      <c r="S359" s="550"/>
      <c r="T359" s="550"/>
      <c r="U359" s="550"/>
      <c r="V359" s="550"/>
      <c r="W359" s="550"/>
      <c r="X359" s="550"/>
      <c r="Y359" s="550"/>
      <c r="Z359" s="550"/>
      <c r="AA359" s="550"/>
      <c r="AB359" s="550"/>
      <c r="AC359" s="550"/>
      <c r="AD359" s="550"/>
      <c r="AE359" s="550"/>
      <c r="AF359" s="550"/>
      <c r="AG359" s="550"/>
      <c r="AH359" s="550"/>
      <c r="AI359" s="550"/>
      <c r="AJ359" s="550"/>
    </row>
    <row r="360" spans="2:36">
      <c r="B360" s="550"/>
      <c r="C360" s="550"/>
      <c r="D360" s="550"/>
      <c r="E360" s="550"/>
      <c r="F360" s="550"/>
      <c r="G360" s="550"/>
      <c r="H360" s="550"/>
      <c r="I360" s="550"/>
      <c r="J360" s="550"/>
      <c r="K360" s="550"/>
      <c r="L360" s="550"/>
      <c r="M360" s="550"/>
      <c r="N360" s="550"/>
      <c r="O360" s="550"/>
      <c r="P360" s="550"/>
      <c r="Q360" s="550"/>
      <c r="R360" s="550"/>
      <c r="S360" s="550"/>
      <c r="T360" s="550"/>
      <c r="U360" s="550"/>
      <c r="V360" s="550"/>
      <c r="W360" s="550"/>
      <c r="X360" s="550"/>
      <c r="Y360" s="550"/>
      <c r="Z360" s="550"/>
      <c r="AA360" s="550"/>
      <c r="AB360" s="550"/>
      <c r="AC360" s="550"/>
      <c r="AD360" s="550"/>
      <c r="AE360" s="550"/>
      <c r="AF360" s="550"/>
      <c r="AG360" s="550"/>
      <c r="AH360" s="550"/>
      <c r="AI360" s="550"/>
      <c r="AJ360" s="550"/>
    </row>
    <row r="361" spans="2:36">
      <c r="B361" s="550"/>
      <c r="C361" s="550"/>
      <c r="D361" s="550"/>
      <c r="E361" s="550"/>
      <c r="F361" s="550"/>
      <c r="G361" s="550"/>
      <c r="H361" s="550"/>
      <c r="I361" s="550"/>
      <c r="J361" s="550"/>
      <c r="K361" s="550"/>
      <c r="L361" s="550"/>
      <c r="M361" s="550"/>
      <c r="N361" s="550"/>
      <c r="O361" s="550"/>
      <c r="P361" s="550"/>
      <c r="Q361" s="550"/>
      <c r="R361" s="550"/>
      <c r="S361" s="550"/>
      <c r="T361" s="550"/>
      <c r="U361" s="550"/>
      <c r="V361" s="550"/>
      <c r="W361" s="550"/>
      <c r="X361" s="550"/>
      <c r="Y361" s="550"/>
      <c r="Z361" s="550"/>
      <c r="AA361" s="550"/>
      <c r="AB361" s="550"/>
      <c r="AC361" s="550"/>
      <c r="AD361" s="550"/>
      <c r="AE361" s="550"/>
      <c r="AF361" s="550"/>
      <c r="AG361" s="550"/>
      <c r="AH361" s="550"/>
      <c r="AI361" s="550"/>
      <c r="AJ361" s="550"/>
    </row>
    <row r="362" spans="2:36">
      <c r="B362" s="550"/>
      <c r="C362" s="550"/>
      <c r="D362" s="550"/>
      <c r="E362" s="550"/>
      <c r="F362" s="550"/>
      <c r="G362" s="550"/>
      <c r="H362" s="550"/>
      <c r="I362" s="550"/>
      <c r="J362" s="550"/>
      <c r="K362" s="550"/>
      <c r="L362" s="550"/>
      <c r="M362" s="550"/>
      <c r="N362" s="550"/>
      <c r="O362" s="550"/>
      <c r="P362" s="550"/>
      <c r="Q362" s="550"/>
      <c r="R362" s="550"/>
      <c r="S362" s="550"/>
      <c r="T362" s="550"/>
      <c r="U362" s="550"/>
      <c r="V362" s="550"/>
      <c r="W362" s="550"/>
      <c r="X362" s="550"/>
      <c r="Y362" s="550"/>
      <c r="Z362" s="550"/>
      <c r="AA362" s="550"/>
      <c r="AB362" s="550"/>
      <c r="AC362" s="550"/>
      <c r="AD362" s="550"/>
      <c r="AE362" s="550"/>
      <c r="AF362" s="550"/>
      <c r="AG362" s="550"/>
      <c r="AH362" s="550"/>
      <c r="AI362" s="550"/>
      <c r="AJ362" s="550"/>
    </row>
    <row r="363" spans="2:36">
      <c r="B363" s="550"/>
      <c r="C363" s="550"/>
      <c r="D363" s="550"/>
      <c r="E363" s="550"/>
      <c r="F363" s="550"/>
      <c r="G363" s="550"/>
      <c r="H363" s="550"/>
      <c r="I363" s="550"/>
      <c r="J363" s="550"/>
      <c r="K363" s="550"/>
      <c r="L363" s="550"/>
      <c r="M363" s="550"/>
      <c r="N363" s="550"/>
      <c r="O363" s="550"/>
      <c r="P363" s="550"/>
      <c r="Q363" s="550"/>
      <c r="R363" s="550"/>
      <c r="S363" s="550"/>
      <c r="T363" s="550"/>
      <c r="U363" s="550"/>
      <c r="V363" s="550"/>
      <c r="W363" s="550"/>
      <c r="X363" s="550"/>
      <c r="Y363" s="550"/>
      <c r="Z363" s="550"/>
      <c r="AA363" s="550"/>
      <c r="AB363" s="550"/>
      <c r="AC363" s="550"/>
      <c r="AD363" s="550"/>
      <c r="AE363" s="550"/>
      <c r="AF363" s="550"/>
      <c r="AG363" s="550"/>
      <c r="AH363" s="550"/>
      <c r="AI363" s="550"/>
      <c r="AJ363" s="550"/>
    </row>
    <row r="364" spans="2:36">
      <c r="B364" s="550"/>
      <c r="C364" s="550"/>
      <c r="D364" s="550"/>
      <c r="E364" s="550"/>
      <c r="F364" s="550"/>
      <c r="G364" s="550"/>
      <c r="H364" s="550"/>
      <c r="I364" s="550"/>
      <c r="J364" s="550"/>
      <c r="K364" s="550"/>
      <c r="L364" s="550"/>
      <c r="M364" s="550"/>
      <c r="N364" s="550"/>
      <c r="O364" s="550"/>
      <c r="P364" s="550"/>
      <c r="Q364" s="550"/>
      <c r="R364" s="550"/>
      <c r="S364" s="550"/>
      <c r="T364" s="550"/>
      <c r="U364" s="550"/>
      <c r="V364" s="550"/>
      <c r="W364" s="550"/>
      <c r="X364" s="550"/>
      <c r="Y364" s="550"/>
      <c r="Z364" s="550"/>
      <c r="AA364" s="550"/>
      <c r="AB364" s="550"/>
      <c r="AC364" s="550"/>
      <c r="AD364" s="550"/>
      <c r="AE364" s="550"/>
      <c r="AF364" s="550"/>
      <c r="AG364" s="550"/>
      <c r="AH364" s="550"/>
      <c r="AI364" s="550"/>
      <c r="AJ364" s="550"/>
    </row>
    <row r="365" spans="2:36">
      <c r="B365" s="550"/>
      <c r="C365" s="550"/>
      <c r="D365" s="550"/>
      <c r="E365" s="550"/>
      <c r="F365" s="550"/>
      <c r="G365" s="550"/>
      <c r="H365" s="550"/>
      <c r="I365" s="550"/>
      <c r="J365" s="550"/>
      <c r="K365" s="550"/>
      <c r="L365" s="550"/>
      <c r="M365" s="550"/>
      <c r="N365" s="550"/>
      <c r="O365" s="550"/>
      <c r="P365" s="550"/>
      <c r="Q365" s="550"/>
      <c r="R365" s="550"/>
      <c r="S365" s="550"/>
      <c r="T365" s="550"/>
      <c r="U365" s="550"/>
      <c r="V365" s="550"/>
      <c r="W365" s="550"/>
      <c r="X365" s="550"/>
      <c r="Y365" s="550"/>
      <c r="Z365" s="550"/>
      <c r="AA365" s="550"/>
      <c r="AB365" s="550"/>
      <c r="AC365" s="550"/>
      <c r="AD365" s="550"/>
      <c r="AE365" s="550"/>
      <c r="AF365" s="550"/>
      <c r="AG365" s="550"/>
      <c r="AH365" s="550"/>
      <c r="AI365" s="550"/>
      <c r="AJ365" s="550"/>
    </row>
    <row r="366" spans="2:36">
      <c r="B366" s="550"/>
      <c r="C366" s="550"/>
      <c r="D366" s="550"/>
      <c r="E366" s="550"/>
      <c r="F366" s="550"/>
      <c r="G366" s="550"/>
      <c r="H366" s="550"/>
      <c r="I366" s="550"/>
      <c r="J366" s="550"/>
      <c r="K366" s="550"/>
      <c r="L366" s="550"/>
      <c r="M366" s="550"/>
      <c r="N366" s="550"/>
      <c r="O366" s="550"/>
      <c r="P366" s="550"/>
      <c r="Q366" s="550"/>
      <c r="R366" s="550"/>
      <c r="S366" s="550"/>
      <c r="T366" s="550"/>
      <c r="U366" s="550"/>
      <c r="V366" s="550"/>
      <c r="W366" s="550"/>
      <c r="X366" s="550"/>
      <c r="Y366" s="550"/>
      <c r="Z366" s="550"/>
      <c r="AA366" s="550"/>
      <c r="AB366" s="550"/>
      <c r="AC366" s="550"/>
      <c r="AD366" s="550"/>
      <c r="AE366" s="550"/>
      <c r="AF366" s="550"/>
      <c r="AG366" s="550"/>
      <c r="AH366" s="550"/>
      <c r="AI366" s="550"/>
      <c r="AJ366" s="550"/>
    </row>
    <row r="367" spans="2:36">
      <c r="B367" s="550"/>
      <c r="C367" s="550"/>
      <c r="D367" s="550"/>
      <c r="E367" s="550"/>
      <c r="F367" s="550"/>
      <c r="G367" s="550"/>
      <c r="H367" s="550"/>
      <c r="I367" s="550"/>
      <c r="J367" s="550"/>
      <c r="K367" s="550"/>
      <c r="L367" s="550"/>
      <c r="M367" s="550"/>
      <c r="N367" s="550"/>
      <c r="O367" s="550"/>
      <c r="P367" s="550"/>
      <c r="Q367" s="550"/>
      <c r="R367" s="550"/>
      <c r="S367" s="550"/>
      <c r="T367" s="550"/>
      <c r="U367" s="550"/>
      <c r="V367" s="550"/>
      <c r="W367" s="550"/>
      <c r="X367" s="550"/>
      <c r="Y367" s="550"/>
      <c r="Z367" s="550"/>
      <c r="AA367" s="550"/>
      <c r="AB367" s="550"/>
      <c r="AC367" s="550"/>
      <c r="AD367" s="550"/>
      <c r="AE367" s="550"/>
      <c r="AF367" s="550"/>
      <c r="AG367" s="550"/>
      <c r="AH367" s="550"/>
      <c r="AI367" s="550"/>
      <c r="AJ367" s="550"/>
    </row>
    <row r="368" spans="2:36">
      <c r="B368" s="550"/>
      <c r="C368" s="550"/>
      <c r="D368" s="550"/>
      <c r="E368" s="550"/>
      <c r="F368" s="550"/>
      <c r="G368" s="550"/>
      <c r="H368" s="550"/>
      <c r="I368" s="550"/>
      <c r="J368" s="550"/>
      <c r="K368" s="550"/>
      <c r="L368" s="550"/>
      <c r="M368" s="550"/>
      <c r="N368" s="550"/>
      <c r="O368" s="550"/>
      <c r="P368" s="550"/>
      <c r="Q368" s="550"/>
      <c r="R368" s="550"/>
      <c r="S368" s="550"/>
      <c r="T368" s="550"/>
      <c r="U368" s="550"/>
      <c r="V368" s="550"/>
      <c r="W368" s="550"/>
      <c r="X368" s="550"/>
      <c r="Y368" s="550"/>
      <c r="Z368" s="550"/>
      <c r="AA368" s="550"/>
      <c r="AB368" s="550"/>
      <c r="AC368" s="550"/>
      <c r="AD368" s="550"/>
      <c r="AE368" s="550"/>
      <c r="AF368" s="550"/>
      <c r="AG368" s="550"/>
      <c r="AH368" s="550"/>
      <c r="AI368" s="550"/>
      <c r="AJ368" s="550"/>
    </row>
    <row r="369" spans="2:36">
      <c r="B369" s="550"/>
      <c r="C369" s="550"/>
      <c r="D369" s="550"/>
      <c r="E369" s="550"/>
      <c r="F369" s="550"/>
      <c r="G369" s="550"/>
      <c r="H369" s="550"/>
      <c r="I369" s="550"/>
      <c r="J369" s="550"/>
      <c r="K369" s="550"/>
      <c r="L369" s="550"/>
      <c r="M369" s="550"/>
      <c r="N369" s="550"/>
      <c r="O369" s="550"/>
      <c r="P369" s="550"/>
      <c r="Q369" s="550"/>
      <c r="R369" s="550"/>
      <c r="S369" s="550"/>
      <c r="T369" s="550"/>
      <c r="U369" s="550"/>
      <c r="V369" s="550"/>
      <c r="W369" s="550"/>
      <c r="X369" s="550"/>
      <c r="Y369" s="550"/>
      <c r="Z369" s="550"/>
      <c r="AA369" s="550"/>
      <c r="AB369" s="550"/>
      <c r="AC369" s="550"/>
      <c r="AD369" s="550"/>
      <c r="AE369" s="550"/>
      <c r="AF369" s="550"/>
      <c r="AG369" s="550"/>
      <c r="AH369" s="550"/>
      <c r="AI369" s="550"/>
      <c r="AJ369" s="550"/>
    </row>
    <row r="370" spans="2:36">
      <c r="B370" s="550"/>
      <c r="C370" s="550"/>
      <c r="D370" s="550"/>
      <c r="E370" s="550"/>
      <c r="F370" s="550"/>
      <c r="G370" s="550"/>
      <c r="H370" s="550"/>
      <c r="I370" s="550"/>
      <c r="J370" s="550"/>
      <c r="K370" s="550"/>
      <c r="L370" s="550"/>
      <c r="M370" s="550"/>
      <c r="N370" s="550"/>
      <c r="O370" s="550"/>
      <c r="P370" s="550"/>
      <c r="Q370" s="550"/>
      <c r="R370" s="550"/>
      <c r="S370" s="550"/>
      <c r="T370" s="550"/>
      <c r="U370" s="550"/>
      <c r="V370" s="550"/>
      <c r="W370" s="550"/>
      <c r="X370" s="550"/>
      <c r="Y370" s="550"/>
      <c r="Z370" s="550"/>
      <c r="AA370" s="550"/>
      <c r="AB370" s="550"/>
      <c r="AC370" s="550"/>
      <c r="AD370" s="550"/>
      <c r="AE370" s="550"/>
      <c r="AF370" s="550"/>
      <c r="AG370" s="550"/>
      <c r="AH370" s="550"/>
      <c r="AI370" s="550"/>
      <c r="AJ370" s="550"/>
    </row>
    <row r="371" spans="2:36">
      <c r="B371" s="550"/>
      <c r="C371" s="550"/>
      <c r="D371" s="550"/>
      <c r="E371" s="550"/>
      <c r="F371" s="550"/>
      <c r="G371" s="550"/>
      <c r="H371" s="550"/>
      <c r="I371" s="550"/>
      <c r="J371" s="550"/>
      <c r="K371" s="550"/>
      <c r="L371" s="550"/>
      <c r="M371" s="550"/>
      <c r="N371" s="550"/>
      <c r="O371" s="550"/>
      <c r="P371" s="550"/>
      <c r="Q371" s="550"/>
      <c r="R371" s="550"/>
      <c r="S371" s="550"/>
      <c r="T371" s="550"/>
      <c r="U371" s="550"/>
      <c r="V371" s="550"/>
      <c r="W371" s="550"/>
      <c r="X371" s="550"/>
      <c r="Y371" s="550"/>
      <c r="Z371" s="550"/>
      <c r="AA371" s="550"/>
      <c r="AB371" s="550"/>
      <c r="AC371" s="550"/>
      <c r="AD371" s="550"/>
      <c r="AE371" s="550"/>
      <c r="AF371" s="550"/>
      <c r="AG371" s="550"/>
      <c r="AH371" s="550"/>
      <c r="AI371" s="550"/>
      <c r="AJ371" s="550"/>
    </row>
    <row r="372" spans="2:36">
      <c r="B372" s="550"/>
      <c r="C372" s="550"/>
      <c r="D372" s="550"/>
      <c r="E372" s="550"/>
      <c r="F372" s="550"/>
      <c r="G372" s="550"/>
      <c r="H372" s="550"/>
      <c r="I372" s="550"/>
      <c r="J372" s="550"/>
      <c r="K372" s="550"/>
      <c r="L372" s="550"/>
      <c r="M372" s="550"/>
      <c r="N372" s="550"/>
      <c r="O372" s="550"/>
      <c r="P372" s="550"/>
      <c r="Q372" s="550"/>
      <c r="R372" s="550"/>
      <c r="S372" s="550"/>
      <c r="T372" s="550"/>
      <c r="U372" s="550"/>
      <c r="V372" s="550"/>
      <c r="W372" s="550"/>
      <c r="X372" s="550"/>
      <c r="Y372" s="550"/>
      <c r="Z372" s="550"/>
      <c r="AA372" s="550"/>
      <c r="AB372" s="550"/>
      <c r="AC372" s="550"/>
      <c r="AD372" s="550"/>
      <c r="AE372" s="550"/>
      <c r="AF372" s="550"/>
      <c r="AG372" s="550"/>
      <c r="AH372" s="550"/>
      <c r="AI372" s="550"/>
      <c r="AJ372" s="550"/>
    </row>
    <row r="373" spans="2:36">
      <c r="B373" s="550"/>
      <c r="C373" s="550"/>
      <c r="D373" s="550"/>
      <c r="E373" s="550"/>
      <c r="F373" s="550"/>
      <c r="G373" s="550"/>
      <c r="H373" s="550"/>
      <c r="I373" s="550"/>
      <c r="J373" s="550"/>
      <c r="K373" s="550"/>
      <c r="L373" s="550"/>
      <c r="M373" s="550"/>
      <c r="N373" s="550"/>
      <c r="O373" s="550"/>
      <c r="P373" s="550"/>
      <c r="Q373" s="550"/>
      <c r="R373" s="550"/>
      <c r="S373" s="550"/>
      <c r="T373" s="550"/>
      <c r="U373" s="550"/>
      <c r="V373" s="550"/>
      <c r="W373" s="550"/>
      <c r="X373" s="550"/>
      <c r="Y373" s="550"/>
      <c r="Z373" s="550"/>
      <c r="AA373" s="550"/>
      <c r="AB373" s="550"/>
      <c r="AC373" s="550"/>
      <c r="AD373" s="550"/>
      <c r="AE373" s="550"/>
      <c r="AF373" s="550"/>
      <c r="AG373" s="550"/>
      <c r="AH373" s="550"/>
      <c r="AI373" s="550"/>
      <c r="AJ373" s="550"/>
    </row>
    <row r="374" spans="2:36">
      <c r="B374" s="550"/>
      <c r="C374" s="550"/>
      <c r="D374" s="550"/>
      <c r="E374" s="550"/>
      <c r="F374" s="550"/>
      <c r="G374" s="550"/>
      <c r="H374" s="550"/>
      <c r="I374" s="550"/>
      <c r="J374" s="550"/>
      <c r="K374" s="550"/>
      <c r="L374" s="550"/>
      <c r="M374" s="550"/>
      <c r="N374" s="550"/>
      <c r="O374" s="550"/>
      <c r="P374" s="550"/>
      <c r="Q374" s="550"/>
      <c r="R374" s="550"/>
      <c r="S374" s="550"/>
      <c r="T374" s="550"/>
      <c r="U374" s="550"/>
      <c r="V374" s="550"/>
      <c r="W374" s="550"/>
      <c r="X374" s="550"/>
      <c r="Y374" s="550"/>
      <c r="Z374" s="550"/>
      <c r="AA374" s="550"/>
      <c r="AB374" s="550"/>
      <c r="AC374" s="550"/>
      <c r="AD374" s="550"/>
      <c r="AE374" s="550"/>
      <c r="AF374" s="550"/>
      <c r="AG374" s="550"/>
      <c r="AH374" s="550"/>
      <c r="AI374" s="550"/>
      <c r="AJ374" s="550"/>
    </row>
    <row r="375" spans="2:36">
      <c r="B375" s="550"/>
      <c r="C375" s="550"/>
      <c r="D375" s="550"/>
      <c r="E375" s="550"/>
      <c r="F375" s="550"/>
      <c r="G375" s="550"/>
      <c r="H375" s="550"/>
      <c r="I375" s="550"/>
      <c r="J375" s="550"/>
      <c r="K375" s="550"/>
      <c r="L375" s="550"/>
      <c r="M375" s="550"/>
      <c r="N375" s="550"/>
      <c r="O375" s="550"/>
      <c r="P375" s="550"/>
      <c r="Q375" s="550"/>
      <c r="R375" s="550"/>
      <c r="S375" s="550"/>
      <c r="T375" s="550"/>
      <c r="U375" s="550"/>
      <c r="V375" s="550"/>
      <c r="W375" s="550"/>
      <c r="X375" s="550"/>
      <c r="Y375" s="550"/>
      <c r="Z375" s="550"/>
      <c r="AA375" s="550"/>
      <c r="AB375" s="550"/>
      <c r="AC375" s="550"/>
      <c r="AD375" s="550"/>
      <c r="AE375" s="550"/>
      <c r="AF375" s="550"/>
      <c r="AG375" s="550"/>
      <c r="AH375" s="550"/>
      <c r="AI375" s="550"/>
      <c r="AJ375" s="550"/>
    </row>
    <row r="376" spans="2:36">
      <c r="B376" s="550"/>
      <c r="C376" s="550"/>
      <c r="D376" s="550"/>
      <c r="E376" s="550"/>
      <c r="F376" s="550"/>
      <c r="G376" s="550"/>
      <c r="H376" s="550"/>
      <c r="I376" s="550"/>
      <c r="J376" s="550"/>
      <c r="K376" s="550"/>
      <c r="L376" s="550"/>
      <c r="M376" s="550"/>
      <c r="N376" s="550"/>
      <c r="O376" s="550"/>
      <c r="P376" s="550"/>
      <c r="Q376" s="550"/>
      <c r="R376" s="550"/>
      <c r="S376" s="550"/>
      <c r="T376" s="550"/>
      <c r="U376" s="550"/>
      <c r="V376" s="550"/>
      <c r="W376" s="550"/>
      <c r="X376" s="550"/>
      <c r="Y376" s="550"/>
      <c r="Z376" s="550"/>
      <c r="AA376" s="550"/>
      <c r="AB376" s="550"/>
      <c r="AC376" s="550"/>
      <c r="AD376" s="550"/>
      <c r="AE376" s="550"/>
      <c r="AF376" s="550"/>
      <c r="AG376" s="550"/>
      <c r="AH376" s="550"/>
      <c r="AI376" s="550"/>
      <c r="AJ376" s="550"/>
    </row>
    <row r="377" spans="2:36">
      <c r="B377" s="550"/>
      <c r="C377" s="550"/>
      <c r="D377" s="550"/>
      <c r="E377" s="550"/>
      <c r="F377" s="550"/>
      <c r="G377" s="550"/>
      <c r="H377" s="550"/>
      <c r="I377" s="550"/>
      <c r="J377" s="550"/>
      <c r="K377" s="550"/>
      <c r="L377" s="550"/>
      <c r="M377" s="550"/>
      <c r="N377" s="550"/>
      <c r="O377" s="550"/>
      <c r="P377" s="550"/>
      <c r="Q377" s="550"/>
      <c r="R377" s="550"/>
      <c r="S377" s="550"/>
      <c r="T377" s="550"/>
      <c r="U377" s="550"/>
      <c r="V377" s="550"/>
      <c r="W377" s="550"/>
      <c r="X377" s="550"/>
      <c r="Y377" s="550"/>
      <c r="Z377" s="550"/>
      <c r="AA377" s="550"/>
      <c r="AB377" s="550"/>
      <c r="AC377" s="550"/>
      <c r="AD377" s="550"/>
      <c r="AE377" s="550"/>
      <c r="AF377" s="550"/>
      <c r="AG377" s="550"/>
      <c r="AH377" s="550"/>
      <c r="AI377" s="550"/>
      <c r="AJ377" s="550"/>
    </row>
    <row r="378" spans="2:36">
      <c r="B378" s="550"/>
      <c r="C378" s="550"/>
      <c r="D378" s="550"/>
      <c r="E378" s="550"/>
      <c r="F378" s="550"/>
      <c r="G378" s="550"/>
      <c r="H378" s="550"/>
      <c r="I378" s="550"/>
      <c r="J378" s="550"/>
      <c r="K378" s="550"/>
      <c r="L378" s="550"/>
      <c r="M378" s="550"/>
      <c r="N378" s="550"/>
      <c r="O378" s="550"/>
      <c r="P378" s="550"/>
      <c r="Q378" s="550"/>
      <c r="R378" s="550"/>
      <c r="S378" s="550"/>
      <c r="T378" s="550"/>
      <c r="U378" s="550"/>
      <c r="V378" s="550"/>
      <c r="W378" s="550"/>
      <c r="X378" s="550"/>
      <c r="Y378" s="550"/>
      <c r="Z378" s="550"/>
      <c r="AA378" s="550"/>
      <c r="AB378" s="550"/>
      <c r="AC378" s="550"/>
      <c r="AD378" s="550"/>
      <c r="AE378" s="550"/>
      <c r="AF378" s="550"/>
      <c r="AG378" s="550"/>
      <c r="AH378" s="550"/>
      <c r="AI378" s="550"/>
      <c r="AJ378" s="550"/>
    </row>
    <row r="379" spans="2:36">
      <c r="B379" s="550"/>
      <c r="C379" s="550"/>
      <c r="D379" s="550"/>
      <c r="E379" s="550"/>
      <c r="F379" s="550"/>
      <c r="G379" s="550"/>
      <c r="H379" s="550"/>
      <c r="I379" s="550"/>
      <c r="J379" s="550"/>
      <c r="K379" s="550"/>
      <c r="L379" s="550"/>
      <c r="M379" s="550"/>
      <c r="N379" s="550"/>
      <c r="O379" s="550"/>
      <c r="P379" s="550"/>
      <c r="Q379" s="550"/>
      <c r="R379" s="550"/>
      <c r="S379" s="550"/>
      <c r="T379" s="550"/>
      <c r="U379" s="550"/>
      <c r="V379" s="550"/>
      <c r="W379" s="550"/>
      <c r="X379" s="550"/>
      <c r="Y379" s="550"/>
      <c r="Z379" s="550"/>
      <c r="AA379" s="550"/>
      <c r="AB379" s="550"/>
      <c r="AC379" s="550"/>
      <c r="AD379" s="550"/>
      <c r="AE379" s="550"/>
      <c r="AF379" s="550"/>
      <c r="AG379" s="550"/>
      <c r="AH379" s="550"/>
      <c r="AI379" s="550"/>
      <c r="AJ379" s="550"/>
    </row>
    <row r="380" spans="2:36">
      <c r="B380" s="550"/>
      <c r="C380" s="550"/>
      <c r="D380" s="550"/>
      <c r="E380" s="550"/>
      <c r="F380" s="550"/>
      <c r="G380" s="550"/>
      <c r="H380" s="550"/>
      <c r="I380" s="550"/>
      <c r="J380" s="550"/>
      <c r="K380" s="550"/>
      <c r="L380" s="550"/>
      <c r="M380" s="550"/>
      <c r="N380" s="550"/>
      <c r="O380" s="550"/>
      <c r="P380" s="550"/>
      <c r="Q380" s="550"/>
      <c r="R380" s="550"/>
      <c r="S380" s="550"/>
      <c r="T380" s="550"/>
      <c r="U380" s="550"/>
      <c r="V380" s="550"/>
      <c r="W380" s="550"/>
      <c r="X380" s="550"/>
      <c r="Y380" s="550"/>
      <c r="Z380" s="550"/>
      <c r="AA380" s="550"/>
      <c r="AB380" s="550"/>
      <c r="AC380" s="550"/>
      <c r="AD380" s="550"/>
      <c r="AE380" s="550"/>
      <c r="AF380" s="550"/>
      <c r="AG380" s="550"/>
      <c r="AH380" s="550"/>
      <c r="AI380" s="550"/>
      <c r="AJ380" s="550"/>
    </row>
    <row r="381" spans="2:36">
      <c r="B381" s="550"/>
      <c r="C381" s="550"/>
      <c r="D381" s="550"/>
      <c r="E381" s="550"/>
      <c r="F381" s="550"/>
      <c r="G381" s="550"/>
      <c r="H381" s="550"/>
      <c r="I381" s="550"/>
      <c r="J381" s="550"/>
      <c r="K381" s="550"/>
      <c r="L381" s="550"/>
      <c r="M381" s="550"/>
      <c r="N381" s="550"/>
      <c r="O381" s="550"/>
      <c r="P381" s="550"/>
      <c r="Q381" s="550"/>
      <c r="R381" s="550"/>
      <c r="S381" s="550"/>
      <c r="T381" s="550"/>
      <c r="U381" s="550"/>
      <c r="V381" s="550"/>
      <c r="W381" s="550"/>
      <c r="X381" s="550"/>
      <c r="Y381" s="550"/>
      <c r="Z381" s="550"/>
      <c r="AA381" s="550"/>
      <c r="AB381" s="550"/>
      <c r="AC381" s="550"/>
      <c r="AD381" s="550"/>
      <c r="AE381" s="550"/>
      <c r="AF381" s="550"/>
      <c r="AG381" s="550"/>
      <c r="AH381" s="550"/>
      <c r="AI381" s="550"/>
      <c r="AJ381" s="550"/>
    </row>
    <row r="382" spans="2:36">
      <c r="B382" s="550"/>
      <c r="C382" s="550"/>
      <c r="D382" s="550"/>
      <c r="E382" s="550"/>
      <c r="F382" s="550"/>
      <c r="G382" s="550"/>
      <c r="H382" s="550"/>
      <c r="I382" s="550"/>
      <c r="J382" s="550"/>
      <c r="K382" s="550"/>
      <c r="L382" s="550"/>
      <c r="M382" s="550"/>
      <c r="N382" s="550"/>
      <c r="O382" s="550"/>
      <c r="P382" s="550"/>
      <c r="Q382" s="550"/>
      <c r="R382" s="550"/>
      <c r="S382" s="550"/>
      <c r="T382" s="550"/>
      <c r="U382" s="550"/>
      <c r="V382" s="550"/>
      <c r="W382" s="550"/>
      <c r="X382" s="550"/>
      <c r="Y382" s="550"/>
      <c r="Z382" s="550"/>
      <c r="AA382" s="550"/>
      <c r="AB382" s="550"/>
      <c r="AC382" s="550"/>
      <c r="AD382" s="550"/>
      <c r="AE382" s="550"/>
      <c r="AF382" s="550"/>
      <c r="AG382" s="550"/>
      <c r="AH382" s="550"/>
      <c r="AI382" s="550"/>
      <c r="AJ382" s="550"/>
    </row>
    <row r="383" spans="2:36">
      <c r="B383" s="550"/>
      <c r="C383" s="550"/>
      <c r="D383" s="550"/>
      <c r="E383" s="550"/>
      <c r="F383" s="550"/>
      <c r="G383" s="550"/>
      <c r="H383" s="550"/>
      <c r="I383" s="550"/>
      <c r="J383" s="550"/>
      <c r="K383" s="550"/>
      <c r="L383" s="550"/>
      <c r="M383" s="550"/>
      <c r="N383" s="550"/>
      <c r="O383" s="550"/>
      <c r="P383" s="550"/>
      <c r="Q383" s="550"/>
      <c r="R383" s="550"/>
      <c r="S383" s="550"/>
      <c r="T383" s="550"/>
      <c r="U383" s="550"/>
      <c r="V383" s="550"/>
      <c r="W383" s="550"/>
      <c r="X383" s="550"/>
      <c r="Y383" s="550"/>
      <c r="Z383" s="550"/>
      <c r="AA383" s="550"/>
      <c r="AB383" s="550"/>
      <c r="AC383" s="550"/>
      <c r="AD383" s="550"/>
      <c r="AE383" s="550"/>
      <c r="AF383" s="550"/>
      <c r="AG383" s="550"/>
      <c r="AH383" s="550"/>
      <c r="AI383" s="550"/>
      <c r="AJ383" s="550"/>
    </row>
    <row r="384" spans="2:36">
      <c r="B384" s="550"/>
      <c r="C384" s="550"/>
      <c r="D384" s="550"/>
      <c r="E384" s="550"/>
      <c r="F384" s="550"/>
      <c r="G384" s="550"/>
      <c r="H384" s="550"/>
      <c r="I384" s="550"/>
      <c r="J384" s="550"/>
      <c r="K384" s="550"/>
      <c r="L384" s="550"/>
      <c r="M384" s="550"/>
      <c r="N384" s="550"/>
      <c r="O384" s="550"/>
      <c r="P384" s="550"/>
      <c r="Q384" s="550"/>
      <c r="R384" s="550"/>
      <c r="S384" s="550"/>
      <c r="T384" s="550"/>
      <c r="U384" s="550"/>
      <c r="V384" s="550"/>
      <c r="W384" s="550"/>
      <c r="X384" s="550"/>
      <c r="Y384" s="550"/>
      <c r="Z384" s="550"/>
      <c r="AA384" s="550"/>
      <c r="AB384" s="550"/>
      <c r="AC384" s="550"/>
      <c r="AD384" s="550"/>
      <c r="AE384" s="550"/>
      <c r="AF384" s="550"/>
      <c r="AG384" s="550"/>
      <c r="AH384" s="550"/>
      <c r="AI384" s="550"/>
      <c r="AJ384" s="550"/>
    </row>
    <row r="385" spans="2:36">
      <c r="B385" s="550"/>
      <c r="C385" s="550"/>
      <c r="D385" s="550"/>
      <c r="E385" s="550"/>
      <c r="F385" s="550"/>
      <c r="G385" s="550"/>
      <c r="H385" s="550"/>
      <c r="I385" s="550"/>
      <c r="J385" s="550"/>
      <c r="K385" s="550"/>
      <c r="L385" s="550"/>
      <c r="M385" s="550"/>
      <c r="N385" s="550"/>
      <c r="O385" s="550"/>
      <c r="P385" s="550"/>
      <c r="Q385" s="550"/>
      <c r="R385" s="550"/>
      <c r="S385" s="550"/>
      <c r="T385" s="550"/>
      <c r="U385" s="550"/>
      <c r="V385" s="550"/>
      <c r="W385" s="550"/>
      <c r="X385" s="550"/>
      <c r="Y385" s="550"/>
      <c r="Z385" s="550"/>
      <c r="AA385" s="550"/>
      <c r="AB385" s="550"/>
      <c r="AC385" s="550"/>
      <c r="AD385" s="550"/>
      <c r="AE385" s="550"/>
      <c r="AF385" s="550"/>
      <c r="AG385" s="550"/>
      <c r="AH385" s="550"/>
      <c r="AI385" s="550"/>
      <c r="AJ385" s="550"/>
    </row>
    <row r="386" spans="2:36">
      <c r="B386" s="550"/>
      <c r="C386" s="550"/>
      <c r="D386" s="550"/>
      <c r="E386" s="550"/>
      <c r="F386" s="550"/>
      <c r="G386" s="550"/>
      <c r="H386" s="550"/>
      <c r="I386" s="550"/>
      <c r="J386" s="550"/>
      <c r="K386" s="550"/>
      <c r="L386" s="550"/>
      <c r="M386" s="550"/>
      <c r="N386" s="550"/>
      <c r="O386" s="550"/>
      <c r="P386" s="550"/>
      <c r="Q386" s="550"/>
      <c r="R386" s="550"/>
      <c r="S386" s="550"/>
      <c r="T386" s="550"/>
      <c r="U386" s="550"/>
      <c r="V386" s="550"/>
      <c r="W386" s="550"/>
      <c r="X386" s="550"/>
      <c r="Y386" s="550"/>
      <c r="Z386" s="550"/>
      <c r="AA386" s="550"/>
      <c r="AB386" s="550"/>
      <c r="AC386" s="550"/>
      <c r="AD386" s="550"/>
      <c r="AE386" s="550"/>
      <c r="AF386" s="550"/>
      <c r="AG386" s="550"/>
      <c r="AH386" s="550"/>
      <c r="AI386" s="550"/>
      <c r="AJ386" s="550"/>
    </row>
    <row r="387" spans="2:36">
      <c r="B387" s="550"/>
      <c r="C387" s="550"/>
      <c r="D387" s="550"/>
      <c r="E387" s="550"/>
      <c r="F387" s="550"/>
      <c r="G387" s="550"/>
      <c r="H387" s="550"/>
      <c r="I387" s="550"/>
      <c r="J387" s="550"/>
      <c r="K387" s="550"/>
      <c r="L387" s="550"/>
      <c r="M387" s="550"/>
      <c r="N387" s="550"/>
      <c r="O387" s="550"/>
      <c r="P387" s="550"/>
      <c r="Q387" s="550"/>
      <c r="R387" s="550"/>
      <c r="S387" s="550"/>
      <c r="T387" s="550"/>
      <c r="U387" s="550"/>
      <c r="V387" s="550"/>
      <c r="W387" s="550"/>
      <c r="X387" s="550"/>
      <c r="Y387" s="550"/>
      <c r="Z387" s="550"/>
      <c r="AA387" s="550"/>
      <c r="AB387" s="550"/>
      <c r="AC387" s="550"/>
      <c r="AD387" s="550"/>
      <c r="AE387" s="550"/>
      <c r="AF387" s="550"/>
      <c r="AG387" s="550"/>
      <c r="AH387" s="550"/>
      <c r="AI387" s="550"/>
      <c r="AJ387" s="550"/>
    </row>
    <row r="388" spans="2:36">
      <c r="B388" s="550"/>
      <c r="C388" s="550"/>
      <c r="D388" s="550"/>
      <c r="E388" s="550"/>
      <c r="F388" s="550"/>
      <c r="G388" s="550"/>
      <c r="H388" s="550"/>
      <c r="I388" s="550"/>
      <c r="J388" s="550"/>
      <c r="K388" s="550"/>
      <c r="L388" s="550"/>
      <c r="M388" s="550"/>
      <c r="N388" s="550"/>
      <c r="O388" s="550"/>
      <c r="P388" s="550"/>
      <c r="Q388" s="550"/>
      <c r="R388" s="550"/>
      <c r="S388" s="550"/>
      <c r="T388" s="550"/>
      <c r="U388" s="550"/>
      <c r="V388" s="550"/>
      <c r="W388" s="550"/>
      <c r="X388" s="550"/>
      <c r="Y388" s="550"/>
      <c r="Z388" s="550"/>
      <c r="AA388" s="550"/>
      <c r="AB388" s="550"/>
      <c r="AC388" s="550"/>
      <c r="AD388" s="550"/>
      <c r="AE388" s="550"/>
      <c r="AF388" s="550"/>
      <c r="AG388" s="550"/>
      <c r="AH388" s="550"/>
      <c r="AI388" s="550"/>
      <c r="AJ388" s="550"/>
    </row>
    <row r="389" spans="2:36">
      <c r="B389" s="550"/>
      <c r="C389" s="550"/>
      <c r="D389" s="550"/>
      <c r="E389" s="550"/>
      <c r="F389" s="550"/>
      <c r="G389" s="550"/>
      <c r="H389" s="550"/>
      <c r="I389" s="550"/>
      <c r="J389" s="550"/>
      <c r="K389" s="550"/>
      <c r="L389" s="550"/>
      <c r="M389" s="550"/>
      <c r="N389" s="550"/>
      <c r="O389" s="550"/>
      <c r="P389" s="550"/>
      <c r="Q389" s="550"/>
      <c r="R389" s="550"/>
      <c r="S389" s="550"/>
      <c r="T389" s="550"/>
      <c r="U389" s="550"/>
      <c r="V389" s="550"/>
      <c r="W389" s="550"/>
      <c r="X389" s="550"/>
      <c r="Y389" s="550"/>
      <c r="Z389" s="550"/>
      <c r="AA389" s="550"/>
      <c r="AB389" s="550"/>
      <c r="AC389" s="550"/>
      <c r="AD389" s="550"/>
      <c r="AE389" s="550"/>
      <c r="AF389" s="550"/>
      <c r="AG389" s="550"/>
      <c r="AH389" s="550"/>
      <c r="AI389" s="550"/>
      <c r="AJ389" s="550"/>
    </row>
    <row r="390" spans="2:36">
      <c r="B390" s="550"/>
      <c r="C390" s="550"/>
      <c r="D390" s="550"/>
      <c r="E390" s="550"/>
      <c r="F390" s="550"/>
      <c r="G390" s="550"/>
      <c r="H390" s="550"/>
      <c r="I390" s="550"/>
      <c r="J390" s="550"/>
      <c r="K390" s="550"/>
      <c r="L390" s="550"/>
      <c r="M390" s="550"/>
      <c r="N390" s="550"/>
      <c r="O390" s="550"/>
      <c r="P390" s="550"/>
      <c r="Q390" s="550"/>
      <c r="R390" s="550"/>
      <c r="S390" s="550"/>
      <c r="T390" s="550"/>
      <c r="U390" s="550"/>
      <c r="V390" s="550"/>
      <c r="W390" s="550"/>
      <c r="X390" s="550"/>
      <c r="Y390" s="550"/>
      <c r="Z390" s="550"/>
      <c r="AA390" s="550"/>
      <c r="AB390" s="550"/>
      <c r="AC390" s="550"/>
      <c r="AD390" s="550"/>
      <c r="AE390" s="550"/>
      <c r="AF390" s="550"/>
      <c r="AG390" s="550"/>
      <c r="AH390" s="550"/>
      <c r="AI390" s="550"/>
      <c r="AJ390" s="550"/>
    </row>
    <row r="391" spans="2:36">
      <c r="B391" s="550"/>
      <c r="C391" s="550"/>
      <c r="D391" s="550"/>
      <c r="E391" s="550"/>
      <c r="F391" s="550"/>
      <c r="G391" s="550"/>
      <c r="H391" s="550"/>
      <c r="I391" s="550"/>
      <c r="J391" s="550"/>
      <c r="K391" s="550"/>
      <c r="L391" s="550"/>
      <c r="M391" s="550"/>
      <c r="N391" s="550"/>
      <c r="O391" s="550"/>
      <c r="P391" s="550"/>
      <c r="Q391" s="550"/>
      <c r="R391" s="550"/>
      <c r="S391" s="550"/>
      <c r="T391" s="550"/>
      <c r="U391" s="550"/>
      <c r="V391" s="550"/>
      <c r="W391" s="550"/>
      <c r="X391" s="550"/>
      <c r="Y391" s="550"/>
      <c r="Z391" s="550"/>
      <c r="AA391" s="550"/>
      <c r="AB391" s="550"/>
      <c r="AC391" s="550"/>
      <c r="AD391" s="550"/>
      <c r="AE391" s="550"/>
      <c r="AF391" s="550"/>
      <c r="AG391" s="550"/>
      <c r="AH391" s="550"/>
      <c r="AI391" s="550"/>
      <c r="AJ391" s="550"/>
    </row>
    <row r="392" spans="2:36">
      <c r="B392" s="550"/>
      <c r="C392" s="550"/>
      <c r="D392" s="550"/>
      <c r="E392" s="550"/>
      <c r="F392" s="550"/>
      <c r="G392" s="550"/>
      <c r="H392" s="550"/>
      <c r="I392" s="550"/>
      <c r="J392" s="550"/>
      <c r="K392" s="550"/>
      <c r="L392" s="550"/>
      <c r="M392" s="550"/>
      <c r="N392" s="550"/>
      <c r="O392" s="550"/>
      <c r="P392" s="550"/>
      <c r="Q392" s="550"/>
      <c r="R392" s="550"/>
      <c r="S392" s="550"/>
      <c r="T392" s="550"/>
      <c r="U392" s="550"/>
      <c r="V392" s="550"/>
      <c r="W392" s="550"/>
      <c r="X392" s="550"/>
      <c r="Y392" s="550"/>
      <c r="Z392" s="550"/>
      <c r="AA392" s="550"/>
      <c r="AB392" s="550"/>
      <c r="AC392" s="550"/>
      <c r="AD392" s="550"/>
      <c r="AE392" s="550"/>
      <c r="AF392" s="550"/>
      <c r="AG392" s="550"/>
      <c r="AH392" s="550"/>
      <c r="AI392" s="550"/>
      <c r="AJ392" s="550"/>
    </row>
    <row r="393" spans="2:36">
      <c r="B393" s="550"/>
      <c r="C393" s="550"/>
      <c r="D393" s="550"/>
      <c r="E393" s="550"/>
      <c r="F393" s="550"/>
      <c r="G393" s="550"/>
      <c r="H393" s="550"/>
      <c r="I393" s="550"/>
      <c r="J393" s="550"/>
      <c r="K393" s="550"/>
      <c r="L393" s="550"/>
      <c r="M393" s="550"/>
      <c r="N393" s="550"/>
      <c r="O393" s="550"/>
      <c r="P393" s="550"/>
      <c r="Q393" s="550"/>
      <c r="R393" s="550"/>
      <c r="S393" s="550"/>
      <c r="T393" s="550"/>
      <c r="U393" s="550"/>
      <c r="V393" s="550"/>
      <c r="W393" s="550"/>
      <c r="X393" s="550"/>
      <c r="Y393" s="550"/>
      <c r="Z393" s="550"/>
      <c r="AA393" s="550"/>
      <c r="AB393" s="550"/>
      <c r="AC393" s="550"/>
      <c r="AD393" s="550"/>
      <c r="AE393" s="550"/>
      <c r="AF393" s="550"/>
      <c r="AG393" s="550"/>
      <c r="AH393" s="550"/>
      <c r="AI393" s="550"/>
      <c r="AJ393" s="550"/>
    </row>
    <row r="394" spans="2:36">
      <c r="B394" s="550"/>
      <c r="C394" s="550"/>
      <c r="D394" s="550"/>
      <c r="E394" s="550"/>
      <c r="F394" s="550"/>
      <c r="G394" s="550"/>
      <c r="H394" s="550"/>
      <c r="I394" s="550"/>
      <c r="J394" s="550"/>
      <c r="K394" s="550"/>
      <c r="L394" s="550"/>
      <c r="M394" s="550"/>
      <c r="N394" s="550"/>
      <c r="O394" s="550"/>
      <c r="P394" s="550"/>
      <c r="Q394" s="550"/>
      <c r="R394" s="550"/>
      <c r="S394" s="550"/>
      <c r="T394" s="550"/>
      <c r="U394" s="550"/>
      <c r="V394" s="550"/>
      <c r="W394" s="550"/>
      <c r="X394" s="550"/>
      <c r="Y394" s="550"/>
      <c r="Z394" s="550"/>
      <c r="AA394" s="550"/>
      <c r="AB394" s="550"/>
      <c r="AC394" s="550"/>
      <c r="AD394" s="550"/>
      <c r="AE394" s="550"/>
      <c r="AF394" s="550"/>
      <c r="AG394" s="550"/>
      <c r="AH394" s="550"/>
      <c r="AI394" s="550"/>
      <c r="AJ394" s="550"/>
    </row>
    <row r="395" spans="2:36">
      <c r="B395" s="550"/>
      <c r="C395" s="550"/>
      <c r="D395" s="550"/>
      <c r="E395" s="550"/>
      <c r="F395" s="550"/>
      <c r="G395" s="550"/>
      <c r="H395" s="550"/>
      <c r="I395" s="550"/>
      <c r="J395" s="550"/>
      <c r="K395" s="550"/>
      <c r="L395" s="550"/>
      <c r="M395" s="550"/>
      <c r="N395" s="550"/>
      <c r="O395" s="550"/>
      <c r="P395" s="550"/>
      <c r="Q395" s="550"/>
      <c r="R395" s="550"/>
      <c r="S395" s="550"/>
      <c r="T395" s="550"/>
      <c r="U395" s="550"/>
      <c r="V395" s="550"/>
      <c r="W395" s="550"/>
      <c r="X395" s="550"/>
      <c r="Y395" s="550"/>
      <c r="Z395" s="550"/>
      <c r="AA395" s="550"/>
      <c r="AB395" s="550"/>
      <c r="AC395" s="550"/>
      <c r="AD395" s="550"/>
      <c r="AE395" s="550"/>
      <c r="AF395" s="550"/>
      <c r="AG395" s="550"/>
      <c r="AH395" s="550"/>
      <c r="AI395" s="550"/>
      <c r="AJ395" s="550"/>
    </row>
    <row r="396" spans="2:36">
      <c r="B396" s="550"/>
      <c r="C396" s="550"/>
      <c r="D396" s="550"/>
      <c r="E396" s="550"/>
      <c r="F396" s="550"/>
      <c r="G396" s="550"/>
      <c r="H396" s="550"/>
      <c r="I396" s="550"/>
      <c r="J396" s="550"/>
      <c r="K396" s="550"/>
      <c r="L396" s="550"/>
      <c r="M396" s="550"/>
      <c r="N396" s="550"/>
      <c r="O396" s="550"/>
      <c r="P396" s="550"/>
      <c r="Q396" s="550"/>
      <c r="R396" s="550"/>
      <c r="S396" s="550"/>
      <c r="T396" s="550"/>
      <c r="U396" s="550"/>
      <c r="V396" s="550"/>
      <c r="W396" s="550"/>
      <c r="X396" s="550"/>
      <c r="Y396" s="550"/>
      <c r="Z396" s="550"/>
      <c r="AA396" s="550"/>
      <c r="AB396" s="550"/>
      <c r="AC396" s="550"/>
      <c r="AD396" s="550"/>
      <c r="AE396" s="550"/>
      <c r="AF396" s="550"/>
      <c r="AG396" s="550"/>
      <c r="AH396" s="550"/>
      <c r="AI396" s="550"/>
      <c r="AJ396" s="550"/>
    </row>
    <row r="397" spans="2:36">
      <c r="B397" s="550"/>
      <c r="C397" s="550"/>
      <c r="D397" s="550"/>
      <c r="E397" s="550"/>
      <c r="F397" s="550"/>
      <c r="G397" s="550"/>
      <c r="H397" s="550"/>
      <c r="I397" s="550"/>
      <c r="J397" s="550"/>
      <c r="K397" s="550"/>
      <c r="L397" s="550"/>
      <c r="M397" s="550"/>
      <c r="N397" s="550"/>
      <c r="O397" s="550"/>
      <c r="P397" s="550"/>
      <c r="Q397" s="550"/>
      <c r="R397" s="550"/>
      <c r="S397" s="550"/>
      <c r="T397" s="550"/>
      <c r="U397" s="550"/>
      <c r="V397" s="550"/>
      <c r="W397" s="550"/>
      <c r="X397" s="550"/>
      <c r="Y397" s="550"/>
      <c r="Z397" s="550"/>
      <c r="AA397" s="550"/>
      <c r="AB397" s="550"/>
      <c r="AC397" s="550"/>
      <c r="AD397" s="550"/>
      <c r="AE397" s="550"/>
      <c r="AF397" s="550"/>
      <c r="AG397" s="550"/>
      <c r="AH397" s="550"/>
      <c r="AI397" s="550"/>
      <c r="AJ397" s="550"/>
    </row>
    <row r="398" spans="2:36">
      <c r="B398" s="550"/>
      <c r="C398" s="550"/>
      <c r="D398" s="550"/>
      <c r="E398" s="550"/>
      <c r="F398" s="550"/>
      <c r="G398" s="550"/>
      <c r="H398" s="550"/>
      <c r="I398" s="550"/>
      <c r="J398" s="550"/>
      <c r="K398" s="550"/>
      <c r="L398" s="550"/>
      <c r="M398" s="550"/>
      <c r="N398" s="550"/>
      <c r="O398" s="550"/>
      <c r="P398" s="550"/>
      <c r="Q398" s="550"/>
      <c r="R398" s="550"/>
      <c r="S398" s="550"/>
      <c r="T398" s="550"/>
      <c r="U398" s="550"/>
      <c r="V398" s="550"/>
      <c r="W398" s="550"/>
      <c r="X398" s="550"/>
      <c r="Y398" s="550"/>
      <c r="Z398" s="550"/>
      <c r="AA398" s="550"/>
      <c r="AB398" s="550"/>
      <c r="AC398" s="550"/>
      <c r="AD398" s="550"/>
      <c r="AE398" s="550"/>
      <c r="AF398" s="550"/>
      <c r="AG398" s="550"/>
      <c r="AH398" s="550"/>
      <c r="AI398" s="550"/>
      <c r="AJ398" s="550"/>
    </row>
    <row r="399" spans="2:36">
      <c r="B399" s="550"/>
      <c r="C399" s="550"/>
      <c r="D399" s="550"/>
      <c r="E399" s="550"/>
      <c r="F399" s="550"/>
      <c r="G399" s="550"/>
      <c r="H399" s="550"/>
      <c r="I399" s="550"/>
      <c r="J399" s="550"/>
      <c r="K399" s="550"/>
      <c r="L399" s="550"/>
      <c r="M399" s="550"/>
      <c r="N399" s="550"/>
      <c r="O399" s="550"/>
      <c r="P399" s="550"/>
      <c r="Q399" s="550"/>
      <c r="R399" s="550"/>
      <c r="S399" s="550"/>
      <c r="T399" s="550"/>
      <c r="U399" s="550"/>
      <c r="V399" s="550"/>
      <c r="W399" s="550"/>
      <c r="X399" s="550"/>
      <c r="Y399" s="550"/>
      <c r="Z399" s="550"/>
      <c r="AA399" s="550"/>
      <c r="AB399" s="550"/>
      <c r="AC399" s="550"/>
      <c r="AD399" s="550"/>
      <c r="AE399" s="550"/>
      <c r="AF399" s="550"/>
      <c r="AG399" s="550"/>
      <c r="AH399" s="550"/>
      <c r="AI399" s="550"/>
      <c r="AJ399" s="550"/>
    </row>
    <row r="400" spans="2:36">
      <c r="B400" s="550"/>
      <c r="C400" s="550"/>
      <c r="D400" s="550"/>
      <c r="E400" s="550"/>
      <c r="F400" s="550"/>
      <c r="G400" s="550"/>
      <c r="H400" s="550"/>
      <c r="I400" s="550"/>
      <c r="J400" s="550"/>
      <c r="K400" s="550"/>
      <c r="L400" s="550"/>
      <c r="M400" s="550"/>
      <c r="N400" s="550"/>
      <c r="O400" s="550"/>
      <c r="P400" s="550"/>
      <c r="Q400" s="550"/>
      <c r="R400" s="550"/>
      <c r="S400" s="550"/>
      <c r="T400" s="550"/>
      <c r="U400" s="550"/>
      <c r="V400" s="550"/>
      <c r="W400" s="550"/>
      <c r="X400" s="550"/>
      <c r="Y400" s="550"/>
      <c r="Z400" s="550"/>
      <c r="AA400" s="550"/>
      <c r="AB400" s="550"/>
      <c r="AC400" s="550"/>
      <c r="AD400" s="550"/>
      <c r="AE400" s="550"/>
      <c r="AF400" s="550"/>
      <c r="AG400" s="550"/>
      <c r="AH400" s="550"/>
      <c r="AI400" s="550"/>
      <c r="AJ400" s="550"/>
    </row>
    <row r="401" spans="2:36">
      <c r="B401" s="550"/>
      <c r="C401" s="550"/>
      <c r="D401" s="550"/>
      <c r="E401" s="550"/>
      <c r="F401" s="550"/>
      <c r="G401" s="550"/>
      <c r="H401" s="550"/>
      <c r="I401" s="550"/>
      <c r="J401" s="550"/>
      <c r="K401" s="550"/>
      <c r="L401" s="550"/>
      <c r="M401" s="550"/>
      <c r="N401" s="550"/>
      <c r="O401" s="550"/>
      <c r="P401" s="550"/>
      <c r="Q401" s="550"/>
      <c r="R401" s="550"/>
      <c r="S401" s="550"/>
      <c r="T401" s="550"/>
      <c r="U401" s="550"/>
      <c r="V401" s="550"/>
      <c r="W401" s="550"/>
      <c r="X401" s="550"/>
      <c r="Y401" s="550"/>
      <c r="Z401" s="550"/>
      <c r="AA401" s="550"/>
      <c r="AB401" s="550"/>
      <c r="AC401" s="550"/>
      <c r="AD401" s="550"/>
      <c r="AE401" s="550"/>
      <c r="AF401" s="550"/>
      <c r="AG401" s="550"/>
      <c r="AH401" s="550"/>
      <c r="AI401" s="550"/>
      <c r="AJ401" s="550"/>
    </row>
    <row r="402" spans="2:36">
      <c r="B402" s="550"/>
      <c r="C402" s="550"/>
      <c r="D402" s="550"/>
      <c r="E402" s="550"/>
      <c r="F402" s="550"/>
      <c r="G402" s="550"/>
      <c r="H402" s="550"/>
      <c r="I402" s="550"/>
      <c r="J402" s="550"/>
      <c r="K402" s="550"/>
      <c r="L402" s="550"/>
      <c r="M402" s="550"/>
      <c r="N402" s="550"/>
      <c r="O402" s="550"/>
      <c r="P402" s="550"/>
      <c r="Q402" s="550"/>
      <c r="R402" s="550"/>
      <c r="S402" s="550"/>
      <c r="T402" s="550"/>
      <c r="U402" s="550"/>
      <c r="V402" s="550"/>
      <c r="W402" s="550"/>
      <c r="X402" s="550"/>
      <c r="Y402" s="550"/>
      <c r="Z402" s="550"/>
      <c r="AA402" s="550"/>
      <c r="AB402" s="550"/>
      <c r="AC402" s="550"/>
      <c r="AD402" s="550"/>
      <c r="AE402" s="550"/>
      <c r="AF402" s="550"/>
      <c r="AG402" s="550"/>
      <c r="AH402" s="550"/>
      <c r="AI402" s="550"/>
      <c r="AJ402" s="550"/>
    </row>
    <row r="403" spans="2:36">
      <c r="B403" s="550"/>
      <c r="C403" s="550"/>
      <c r="D403" s="550"/>
      <c r="E403" s="550"/>
      <c r="F403" s="550"/>
      <c r="G403" s="550"/>
      <c r="H403" s="550"/>
      <c r="I403" s="550"/>
      <c r="J403" s="550"/>
      <c r="K403" s="550"/>
      <c r="L403" s="550"/>
      <c r="M403" s="550"/>
      <c r="N403" s="550"/>
      <c r="O403" s="550"/>
      <c r="P403" s="550"/>
      <c r="Q403" s="550"/>
      <c r="R403" s="550"/>
      <c r="S403" s="550"/>
      <c r="T403" s="550"/>
      <c r="U403" s="550"/>
      <c r="V403" s="550"/>
      <c r="W403" s="550"/>
      <c r="X403" s="550"/>
      <c r="Y403" s="550"/>
      <c r="Z403" s="550"/>
      <c r="AA403" s="550"/>
      <c r="AB403" s="550"/>
      <c r="AC403" s="550"/>
      <c r="AD403" s="550"/>
      <c r="AE403" s="550"/>
      <c r="AF403" s="550"/>
      <c r="AG403" s="550"/>
      <c r="AH403" s="550"/>
      <c r="AI403" s="550"/>
      <c r="AJ403" s="550"/>
    </row>
    <row r="404" spans="2:36">
      <c r="B404" s="550"/>
      <c r="C404" s="550"/>
      <c r="D404" s="550"/>
      <c r="E404" s="550"/>
      <c r="F404" s="550"/>
      <c r="G404" s="550"/>
      <c r="H404" s="550"/>
      <c r="I404" s="550"/>
      <c r="J404" s="550"/>
      <c r="K404" s="550"/>
      <c r="L404" s="550"/>
      <c r="M404" s="550"/>
      <c r="N404" s="550"/>
      <c r="O404" s="550"/>
      <c r="P404" s="550"/>
      <c r="Q404" s="550"/>
      <c r="R404" s="550"/>
      <c r="S404" s="550"/>
      <c r="T404" s="550"/>
      <c r="U404" s="550"/>
      <c r="V404" s="550"/>
      <c r="W404" s="550"/>
      <c r="X404" s="550"/>
      <c r="Y404" s="550"/>
      <c r="Z404" s="550"/>
      <c r="AA404" s="550"/>
      <c r="AB404" s="550"/>
      <c r="AC404" s="550"/>
      <c r="AD404" s="550"/>
      <c r="AE404" s="550"/>
      <c r="AF404" s="550"/>
      <c r="AG404" s="550"/>
      <c r="AH404" s="550"/>
      <c r="AI404" s="550"/>
      <c r="AJ404" s="550"/>
    </row>
    <row r="405" spans="2:36">
      <c r="B405" s="550"/>
      <c r="C405" s="550"/>
      <c r="D405" s="550"/>
      <c r="E405" s="550"/>
      <c r="F405" s="550"/>
      <c r="G405" s="550"/>
      <c r="H405" s="550"/>
      <c r="I405" s="550"/>
      <c r="J405" s="550"/>
      <c r="K405" s="550"/>
      <c r="L405" s="550"/>
      <c r="M405" s="550"/>
      <c r="N405" s="550"/>
      <c r="O405" s="550"/>
      <c r="P405" s="550"/>
      <c r="Q405" s="550"/>
      <c r="R405" s="550"/>
      <c r="S405" s="550"/>
      <c r="T405" s="550"/>
      <c r="U405" s="550"/>
      <c r="V405" s="550"/>
      <c r="W405" s="550"/>
      <c r="X405" s="550"/>
      <c r="Y405" s="550"/>
      <c r="Z405" s="550"/>
      <c r="AA405" s="550"/>
      <c r="AB405" s="550"/>
      <c r="AC405" s="550"/>
      <c r="AD405" s="550"/>
      <c r="AE405" s="550"/>
      <c r="AF405" s="550"/>
      <c r="AG405" s="550"/>
      <c r="AH405" s="550"/>
      <c r="AI405" s="550"/>
      <c r="AJ405" s="550"/>
    </row>
    <row r="406" spans="2:36">
      <c r="B406" s="550"/>
      <c r="C406" s="550"/>
      <c r="D406" s="550"/>
      <c r="E406" s="550"/>
      <c r="F406" s="550"/>
      <c r="G406" s="550"/>
      <c r="H406" s="550"/>
      <c r="I406" s="550"/>
      <c r="J406" s="550"/>
      <c r="K406" s="550"/>
      <c r="L406" s="550"/>
      <c r="M406" s="550"/>
      <c r="N406" s="550"/>
      <c r="O406" s="550"/>
      <c r="P406" s="550"/>
      <c r="Q406" s="550"/>
      <c r="R406" s="550"/>
      <c r="S406" s="550"/>
      <c r="T406" s="550"/>
      <c r="U406" s="550"/>
      <c r="V406" s="550"/>
      <c r="W406" s="550"/>
      <c r="X406" s="550"/>
      <c r="Y406" s="550"/>
      <c r="Z406" s="550"/>
      <c r="AA406" s="550"/>
      <c r="AB406" s="550"/>
      <c r="AC406" s="550"/>
      <c r="AD406" s="550"/>
      <c r="AE406" s="550"/>
      <c r="AF406" s="550"/>
      <c r="AG406" s="550"/>
      <c r="AH406" s="550"/>
      <c r="AI406" s="550"/>
      <c r="AJ406" s="550"/>
    </row>
    <row r="407" spans="2:36">
      <c r="B407" s="550"/>
      <c r="C407" s="550"/>
      <c r="D407" s="550"/>
      <c r="E407" s="550"/>
      <c r="F407" s="550"/>
      <c r="G407" s="550"/>
      <c r="H407" s="550"/>
      <c r="I407" s="550"/>
      <c r="J407" s="550"/>
      <c r="K407" s="550"/>
      <c r="L407" s="550"/>
      <c r="M407" s="550"/>
      <c r="N407" s="550"/>
      <c r="O407" s="550"/>
      <c r="P407" s="550"/>
      <c r="Q407" s="550"/>
      <c r="R407" s="550"/>
      <c r="S407" s="550"/>
      <c r="T407" s="550"/>
      <c r="U407" s="550"/>
      <c r="V407" s="550"/>
      <c r="W407" s="550"/>
      <c r="X407" s="550"/>
      <c r="Y407" s="550"/>
      <c r="Z407" s="550"/>
      <c r="AA407" s="550"/>
      <c r="AB407" s="550"/>
      <c r="AC407" s="550"/>
      <c r="AD407" s="550"/>
      <c r="AE407" s="550"/>
      <c r="AF407" s="550"/>
      <c r="AG407" s="550"/>
      <c r="AH407" s="550"/>
      <c r="AI407" s="550"/>
      <c r="AJ407" s="550"/>
    </row>
    <row r="408" spans="2:36">
      <c r="B408" s="550"/>
      <c r="C408" s="550"/>
      <c r="D408" s="550"/>
      <c r="E408" s="550"/>
      <c r="F408" s="550"/>
      <c r="G408" s="550"/>
      <c r="H408" s="550"/>
      <c r="I408" s="550"/>
      <c r="J408" s="550"/>
      <c r="K408" s="550"/>
      <c r="L408" s="550"/>
      <c r="M408" s="550"/>
      <c r="N408" s="550"/>
      <c r="O408" s="550"/>
      <c r="P408" s="550"/>
      <c r="Q408" s="550"/>
      <c r="R408" s="550"/>
      <c r="S408" s="550"/>
      <c r="T408" s="550"/>
      <c r="U408" s="550"/>
      <c r="V408" s="550"/>
      <c r="W408" s="550"/>
      <c r="X408" s="550"/>
      <c r="Y408" s="550"/>
      <c r="Z408" s="550"/>
      <c r="AA408" s="550"/>
      <c r="AB408" s="550"/>
      <c r="AC408" s="550"/>
      <c r="AD408" s="550"/>
      <c r="AE408" s="550"/>
      <c r="AF408" s="550"/>
      <c r="AG408" s="550"/>
      <c r="AH408" s="550"/>
      <c r="AI408" s="550"/>
      <c r="AJ408" s="550"/>
    </row>
    <row r="409" spans="2:36">
      <c r="B409" s="550"/>
      <c r="C409" s="550"/>
      <c r="D409" s="550"/>
      <c r="E409" s="550"/>
      <c r="F409" s="550"/>
      <c r="G409" s="550"/>
      <c r="H409" s="550"/>
      <c r="I409" s="550"/>
      <c r="J409" s="550"/>
      <c r="K409" s="550"/>
      <c r="L409" s="550"/>
      <c r="M409" s="550"/>
      <c r="N409" s="550"/>
      <c r="O409" s="550"/>
      <c r="P409" s="550"/>
      <c r="Q409" s="550"/>
      <c r="R409" s="550"/>
      <c r="S409" s="550"/>
      <c r="T409" s="550"/>
      <c r="U409" s="550"/>
      <c r="V409" s="550"/>
      <c r="W409" s="550"/>
      <c r="X409" s="550"/>
      <c r="Y409" s="550"/>
      <c r="Z409" s="550"/>
      <c r="AA409" s="550"/>
      <c r="AB409" s="550"/>
      <c r="AC409" s="550"/>
      <c r="AD409" s="550"/>
      <c r="AE409" s="550"/>
      <c r="AF409" s="550"/>
      <c r="AG409" s="550"/>
      <c r="AH409" s="550"/>
      <c r="AI409" s="550"/>
      <c r="AJ409" s="550"/>
    </row>
    <row r="410" spans="2:36">
      <c r="B410" s="550"/>
      <c r="C410" s="550"/>
      <c r="D410" s="550"/>
      <c r="E410" s="550"/>
      <c r="F410" s="550"/>
      <c r="G410" s="550"/>
      <c r="H410" s="550"/>
      <c r="I410" s="550"/>
      <c r="J410" s="550"/>
      <c r="K410" s="550"/>
      <c r="L410" s="550"/>
      <c r="M410" s="550"/>
      <c r="N410" s="550"/>
      <c r="O410" s="550"/>
      <c r="P410" s="550"/>
      <c r="Q410" s="550"/>
      <c r="R410" s="550"/>
      <c r="S410" s="550"/>
      <c r="T410" s="550"/>
      <c r="U410" s="550"/>
      <c r="V410" s="550"/>
      <c r="W410" s="550"/>
      <c r="X410" s="550"/>
      <c r="Y410" s="550"/>
      <c r="Z410" s="550"/>
      <c r="AA410" s="550"/>
      <c r="AB410" s="550"/>
      <c r="AC410" s="550"/>
      <c r="AD410" s="550"/>
      <c r="AE410" s="550"/>
      <c r="AF410" s="550"/>
      <c r="AG410" s="550"/>
      <c r="AH410" s="550"/>
      <c r="AI410" s="550"/>
      <c r="AJ410" s="550"/>
    </row>
    <row r="411" spans="2:36">
      <c r="B411" s="550"/>
      <c r="C411" s="550"/>
      <c r="D411" s="550"/>
      <c r="E411" s="550"/>
      <c r="F411" s="550"/>
      <c r="G411" s="550"/>
      <c r="H411" s="550"/>
      <c r="I411" s="550"/>
      <c r="J411" s="550"/>
      <c r="K411" s="550"/>
      <c r="L411" s="550"/>
      <c r="M411" s="550"/>
      <c r="N411" s="550"/>
      <c r="O411" s="550"/>
      <c r="P411" s="550"/>
      <c r="Q411" s="550"/>
      <c r="R411" s="550"/>
      <c r="S411" s="550"/>
      <c r="T411" s="550"/>
      <c r="U411" s="550"/>
      <c r="V411" s="550"/>
      <c r="W411" s="550"/>
      <c r="X411" s="550"/>
      <c r="Y411" s="550"/>
      <c r="Z411" s="550"/>
      <c r="AA411" s="550"/>
      <c r="AB411" s="550"/>
      <c r="AC411" s="550"/>
      <c r="AD411" s="550"/>
      <c r="AE411" s="550"/>
      <c r="AF411" s="550"/>
      <c r="AG411" s="550"/>
      <c r="AH411" s="550"/>
      <c r="AI411" s="550"/>
      <c r="AJ411" s="550"/>
    </row>
    <row r="412" spans="2:36">
      <c r="B412" s="550"/>
      <c r="C412" s="550"/>
      <c r="D412" s="550"/>
      <c r="E412" s="550"/>
      <c r="F412" s="550"/>
      <c r="G412" s="550"/>
      <c r="H412" s="550"/>
      <c r="I412" s="550"/>
      <c r="J412" s="550"/>
      <c r="K412" s="550"/>
      <c r="L412" s="550"/>
      <c r="M412" s="550"/>
      <c r="N412" s="550"/>
      <c r="O412" s="550"/>
      <c r="P412" s="550"/>
      <c r="Q412" s="550"/>
      <c r="R412" s="550"/>
      <c r="S412" s="550"/>
      <c r="T412" s="550"/>
      <c r="U412" s="550"/>
      <c r="V412" s="550"/>
      <c r="W412" s="550"/>
      <c r="X412" s="550"/>
      <c r="Y412" s="550"/>
      <c r="Z412" s="550"/>
      <c r="AA412" s="550"/>
      <c r="AB412" s="550"/>
      <c r="AC412" s="550"/>
      <c r="AD412" s="550"/>
      <c r="AE412" s="550"/>
      <c r="AF412" s="550"/>
      <c r="AG412" s="550"/>
      <c r="AH412" s="550"/>
      <c r="AI412" s="550"/>
      <c r="AJ412" s="550"/>
    </row>
    <row r="413" spans="2:36">
      <c r="B413" s="550"/>
      <c r="C413" s="550"/>
      <c r="D413" s="550"/>
      <c r="E413" s="550"/>
      <c r="F413" s="550"/>
      <c r="G413" s="550"/>
      <c r="H413" s="550"/>
      <c r="I413" s="550"/>
      <c r="J413" s="550"/>
      <c r="K413" s="550"/>
      <c r="L413" s="550"/>
      <c r="M413" s="550"/>
      <c r="N413" s="550"/>
      <c r="O413" s="550"/>
      <c r="P413" s="550"/>
      <c r="Q413" s="550"/>
      <c r="R413" s="550"/>
      <c r="S413" s="550"/>
      <c r="T413" s="550"/>
      <c r="U413" s="550"/>
      <c r="V413" s="550"/>
      <c r="W413" s="550"/>
      <c r="X413" s="550"/>
      <c r="Y413" s="550"/>
      <c r="Z413" s="550"/>
      <c r="AA413" s="550"/>
      <c r="AB413" s="550"/>
      <c r="AC413" s="550"/>
      <c r="AD413" s="550"/>
      <c r="AE413" s="550"/>
      <c r="AF413" s="550"/>
      <c r="AG413" s="550"/>
      <c r="AH413" s="550"/>
      <c r="AI413" s="550"/>
      <c r="AJ413" s="550"/>
    </row>
    <row r="414" spans="2:36">
      <c r="B414" s="550"/>
      <c r="C414" s="550"/>
      <c r="D414" s="550"/>
      <c r="E414" s="550"/>
      <c r="F414" s="550"/>
      <c r="G414" s="550"/>
      <c r="H414" s="550"/>
      <c r="I414" s="550"/>
      <c r="J414" s="550"/>
      <c r="K414" s="550"/>
      <c r="L414" s="550"/>
      <c r="M414" s="550"/>
      <c r="N414" s="550"/>
      <c r="O414" s="550"/>
      <c r="P414" s="550"/>
      <c r="Q414" s="550"/>
      <c r="R414" s="550"/>
      <c r="S414" s="550"/>
      <c r="T414" s="550"/>
      <c r="U414" s="550"/>
      <c r="V414" s="550"/>
      <c r="W414" s="550"/>
      <c r="X414" s="550"/>
      <c r="Y414" s="550"/>
      <c r="Z414" s="550"/>
      <c r="AA414" s="550"/>
      <c r="AB414" s="550"/>
      <c r="AC414" s="550"/>
      <c r="AD414" s="550"/>
      <c r="AE414" s="550"/>
      <c r="AF414" s="550"/>
      <c r="AG414" s="550"/>
      <c r="AH414" s="550"/>
      <c r="AI414" s="550"/>
      <c r="AJ414" s="550"/>
    </row>
  </sheetData>
  <mergeCells count="11">
    <mergeCell ref="Z7:AC7"/>
    <mergeCell ref="A1:AG1"/>
    <mergeCell ref="A2:AG2"/>
    <mergeCell ref="A3:AG3"/>
    <mergeCell ref="B7:E7"/>
    <mergeCell ref="F7:I7"/>
    <mergeCell ref="J7:M7"/>
    <mergeCell ref="N7:Q7"/>
    <mergeCell ref="AD7:AG7"/>
    <mergeCell ref="V7:Y7"/>
    <mergeCell ref="R7:U7"/>
  </mergeCells>
  <phoneticPr fontId="19" type="noConversion"/>
  <pageMargins left="0.39370078740157483" right="0.59055118110236227" top="0.39370078740157483" bottom="0.39370078740157483" header="0" footer="0"/>
  <pageSetup paperSize="5" scale="73" orientation="landscape" horizontalDpi="300" verticalDpi="3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48"/>
  <sheetViews>
    <sheetView topLeftCell="F34" zoomScale="75" workbookViewId="0">
      <selection activeCell="V47" sqref="V47"/>
    </sheetView>
  </sheetViews>
  <sheetFormatPr baseColWidth="10" defaultColWidth="26.85546875" defaultRowHeight="12"/>
  <cols>
    <col min="1" max="1" width="26.85546875" style="208" customWidth="1"/>
    <col min="2" max="78" width="7.140625" style="208" customWidth="1"/>
    <col min="79" max="16384" width="26.85546875" style="208"/>
  </cols>
  <sheetData>
    <row r="1" spans="1:33">
      <c r="A1" s="1393" t="s">
        <v>996</v>
      </c>
      <c r="B1" s="1393"/>
      <c r="C1" s="1393"/>
      <c r="D1" s="1393"/>
      <c r="E1" s="1393"/>
      <c r="F1" s="1393"/>
      <c r="G1" s="1393"/>
      <c r="H1" s="1393"/>
      <c r="I1" s="1393"/>
      <c r="J1" s="1393"/>
      <c r="K1" s="1393"/>
      <c r="L1" s="1393"/>
      <c r="M1" s="1393"/>
      <c r="N1" s="1393"/>
      <c r="O1" s="1393"/>
      <c r="P1" s="1393"/>
      <c r="Q1" s="1393"/>
      <c r="R1" s="1393"/>
      <c r="S1" s="1393"/>
      <c r="T1" s="1393"/>
      <c r="U1" s="1393"/>
      <c r="V1" s="1393"/>
      <c r="W1" s="1393"/>
      <c r="X1" s="1393"/>
      <c r="Y1" s="1393"/>
      <c r="Z1" s="1393"/>
      <c r="AA1" s="1393"/>
      <c r="AB1" s="1393"/>
      <c r="AC1" s="1393"/>
      <c r="AD1" s="1393"/>
      <c r="AE1" s="1393"/>
      <c r="AF1" s="1393"/>
      <c r="AG1" s="1393"/>
    </row>
    <row r="2" spans="1:33">
      <c r="A2" s="1393" t="s">
        <v>1039</v>
      </c>
      <c r="B2" s="1393"/>
      <c r="C2" s="1393"/>
      <c r="D2" s="1393"/>
      <c r="E2" s="1393"/>
      <c r="F2" s="1393"/>
      <c r="G2" s="1393"/>
      <c r="H2" s="1393"/>
      <c r="I2" s="1393"/>
      <c r="J2" s="1393"/>
      <c r="K2" s="1393"/>
      <c r="L2" s="1393"/>
      <c r="M2" s="1393"/>
      <c r="N2" s="1393"/>
      <c r="O2" s="1393"/>
      <c r="P2" s="1393"/>
      <c r="Q2" s="1393"/>
      <c r="R2" s="1393"/>
      <c r="S2" s="1393"/>
      <c r="T2" s="1393"/>
      <c r="U2" s="1393"/>
      <c r="V2" s="1393"/>
      <c r="W2" s="1393"/>
      <c r="X2" s="1393"/>
      <c r="Y2" s="1393"/>
      <c r="Z2" s="1393"/>
      <c r="AA2" s="1393"/>
      <c r="AB2" s="1393"/>
      <c r="AC2" s="1393"/>
      <c r="AD2" s="1393"/>
      <c r="AE2" s="1393"/>
      <c r="AF2" s="1393"/>
      <c r="AG2" s="1393"/>
    </row>
    <row r="3" spans="1:33">
      <c r="A3" s="1393" t="s">
        <v>910</v>
      </c>
      <c r="B3" s="1393"/>
      <c r="C3" s="1393"/>
      <c r="D3" s="1393"/>
      <c r="E3" s="1393"/>
      <c r="F3" s="1393"/>
      <c r="G3" s="1393"/>
      <c r="H3" s="1393"/>
      <c r="I3" s="1393"/>
      <c r="J3" s="1393"/>
      <c r="K3" s="1393"/>
      <c r="L3" s="1393"/>
      <c r="M3" s="1393"/>
      <c r="N3" s="1393"/>
      <c r="O3" s="1393"/>
      <c r="P3" s="1393"/>
      <c r="Q3" s="1393"/>
      <c r="R3" s="1393"/>
      <c r="S3" s="1393"/>
      <c r="T3" s="1393"/>
      <c r="U3" s="1393"/>
      <c r="V3" s="1393"/>
      <c r="W3" s="1393"/>
      <c r="X3" s="1393"/>
      <c r="Y3" s="1393"/>
      <c r="Z3" s="1393"/>
      <c r="AA3" s="1393"/>
      <c r="AB3" s="1393"/>
      <c r="AC3" s="1393"/>
      <c r="AD3" s="1393"/>
      <c r="AE3" s="1393"/>
      <c r="AF3" s="1393"/>
      <c r="AG3" s="1393"/>
    </row>
    <row r="6" spans="1:33">
      <c r="A6" s="399" t="s">
        <v>998</v>
      </c>
    </row>
    <row r="7" spans="1:33" s="8" customFormat="1" ht="18" customHeight="1">
      <c r="A7" s="339" t="s">
        <v>999</v>
      </c>
      <c r="B7" s="1419" t="s">
        <v>1000</v>
      </c>
      <c r="C7" s="1420"/>
      <c r="D7" s="1420"/>
      <c r="E7" s="1420"/>
      <c r="F7" s="1419" t="s">
        <v>916</v>
      </c>
      <c r="G7" s="1420"/>
      <c r="H7" s="1420"/>
      <c r="I7" s="1421"/>
      <c r="J7" s="1420" t="s">
        <v>1001</v>
      </c>
      <c r="K7" s="1420"/>
      <c r="L7" s="1420"/>
      <c r="M7" s="1420"/>
      <c r="N7" s="1419" t="s">
        <v>966</v>
      </c>
      <c r="O7" s="1420"/>
      <c r="P7" s="1420"/>
      <c r="Q7" s="1421"/>
      <c r="R7" s="1419" t="s">
        <v>1288</v>
      </c>
      <c r="S7" s="1420"/>
      <c r="T7" s="1420"/>
      <c r="U7" s="1421"/>
      <c r="V7" s="1388" t="s">
        <v>1040</v>
      </c>
      <c r="W7" s="1389"/>
      <c r="X7" s="1389"/>
      <c r="Y7" s="1390"/>
      <c r="Z7" s="1388" t="str">
        <f>+'50'!Z7</f>
        <v>CONS. LOS ANDES N°1 MUNICIPAL</v>
      </c>
      <c r="AA7" s="1389"/>
      <c r="AB7" s="1389"/>
      <c r="AC7" s="1390"/>
      <c r="AD7" s="1420" t="s">
        <v>656</v>
      </c>
      <c r="AE7" s="1420"/>
      <c r="AF7" s="1420"/>
      <c r="AG7" s="1421"/>
    </row>
    <row r="8" spans="1:33" s="8" customFormat="1" ht="18" customHeight="1">
      <c r="A8" s="15"/>
      <c r="B8" s="301">
        <f>+'50'!B8</f>
        <v>2012</v>
      </c>
      <c r="C8" s="301">
        <f>+'50'!C8</f>
        <v>2013</v>
      </c>
      <c r="D8" s="301">
        <f>+'50'!D8</f>
        <v>2014</v>
      </c>
      <c r="E8" s="301">
        <f>+'50'!E8</f>
        <v>2015</v>
      </c>
      <c r="F8" s="542">
        <f>+'50'!F8</f>
        <v>2012</v>
      </c>
      <c r="G8" s="539">
        <f>+'50'!G8</f>
        <v>2013</v>
      </c>
      <c r="H8" s="539">
        <f>+'50'!H8</f>
        <v>2014</v>
      </c>
      <c r="I8" s="540">
        <f>+'50'!I8</f>
        <v>2015</v>
      </c>
      <c r="J8" s="301">
        <f>+'50'!J8</f>
        <v>2012</v>
      </c>
      <c r="K8" s="301">
        <f>+'50'!K8</f>
        <v>2013</v>
      </c>
      <c r="L8" s="301">
        <f>+'50'!L8</f>
        <v>2014</v>
      </c>
      <c r="M8" s="301">
        <f>+'50'!M8</f>
        <v>2015</v>
      </c>
      <c r="N8" s="542">
        <f>+'50'!N8</f>
        <v>2012</v>
      </c>
      <c r="O8" s="539">
        <f>+'50'!O8</f>
        <v>2013</v>
      </c>
      <c r="P8" s="539">
        <f>+'50'!P8</f>
        <v>2014</v>
      </c>
      <c r="Q8" s="539">
        <f>+'50'!Q8</f>
        <v>2015</v>
      </c>
      <c r="R8" s="359">
        <f>+N8</f>
        <v>2012</v>
      </c>
      <c r="S8" s="360">
        <f>+O8</f>
        <v>2013</v>
      </c>
      <c r="T8" s="360">
        <f>+P8</f>
        <v>2014</v>
      </c>
      <c r="U8" s="361">
        <f>+Q8</f>
        <v>2015</v>
      </c>
      <c r="V8" s="481">
        <f>+'50'!V8</f>
        <v>2012</v>
      </c>
      <c r="W8" s="531">
        <f>+'50'!W8</f>
        <v>2013</v>
      </c>
      <c r="X8" s="531">
        <f>+'50'!X8</f>
        <v>2014</v>
      </c>
      <c r="Y8" s="536">
        <f>+'50'!Y8</f>
        <v>2015</v>
      </c>
      <c r="Z8" s="377">
        <f>+V8</f>
        <v>2012</v>
      </c>
      <c r="AA8" s="378">
        <f>+W8</f>
        <v>2013</v>
      </c>
      <c r="AB8" s="378">
        <f>+X8</f>
        <v>2014</v>
      </c>
      <c r="AC8" s="379">
        <f>+Y8</f>
        <v>2015</v>
      </c>
      <c r="AD8" s="531">
        <f>+'50'!AD8</f>
        <v>2012</v>
      </c>
      <c r="AE8" s="531">
        <f>+'50'!AE8</f>
        <v>2013</v>
      </c>
      <c r="AF8" s="531">
        <f>+'50'!AF8</f>
        <v>2014</v>
      </c>
      <c r="AG8" s="536">
        <f>+'50'!AG8</f>
        <v>2015</v>
      </c>
    </row>
    <row r="9" spans="1:33" s="8" customFormat="1" ht="18" customHeight="1">
      <c r="A9" s="339" t="s">
        <v>1002</v>
      </c>
      <c r="B9" s="558"/>
      <c r="C9" s="559"/>
      <c r="D9" s="559"/>
      <c r="E9" s="14"/>
      <c r="F9" s="558"/>
      <c r="G9" s="559"/>
      <c r="H9" s="559"/>
      <c r="I9" s="14"/>
      <c r="J9" s="558"/>
      <c r="K9" s="559"/>
      <c r="L9" s="559"/>
      <c r="M9" s="14"/>
      <c r="N9" s="559"/>
      <c r="O9" s="559"/>
      <c r="P9" s="559"/>
      <c r="Q9" s="559"/>
      <c r="R9" s="558"/>
      <c r="S9" s="495"/>
      <c r="T9" s="495"/>
      <c r="U9" s="493"/>
      <c r="V9" s="560"/>
      <c r="W9" s="561"/>
      <c r="X9" s="561"/>
      <c r="Y9" s="108"/>
      <c r="Z9" s="561"/>
      <c r="AA9" s="561"/>
      <c r="AB9" s="561"/>
      <c r="AC9" s="108"/>
      <c r="AD9" s="548">
        <f t="shared" ref="AD9:AG10" si="0">+N9+J9+F9+B9+V9+Z9</f>
        <v>0</v>
      </c>
      <c r="AE9" s="548">
        <f t="shared" si="0"/>
        <v>0</v>
      </c>
      <c r="AF9" s="548">
        <f t="shared" si="0"/>
        <v>0</v>
      </c>
      <c r="AG9" s="533">
        <f t="shared" si="0"/>
        <v>0</v>
      </c>
    </row>
    <row r="10" spans="1:33" s="8" customFormat="1" ht="18" customHeight="1">
      <c r="A10" s="94" t="s">
        <v>1003</v>
      </c>
      <c r="B10" s="548">
        <v>6591</v>
      </c>
      <c r="C10" s="548">
        <v>6661</v>
      </c>
      <c r="D10" s="548">
        <v>7613</v>
      </c>
      <c r="E10" s="533">
        <v>7621</v>
      </c>
      <c r="F10" s="548">
        <v>4434</v>
      </c>
      <c r="G10" s="548">
        <v>4421</v>
      </c>
      <c r="H10" s="548">
        <v>3711</v>
      </c>
      <c r="I10" s="533">
        <v>4268</v>
      </c>
      <c r="J10" s="549"/>
      <c r="K10" s="548"/>
      <c r="L10" s="548"/>
      <c r="M10" s="533"/>
      <c r="N10" s="548"/>
      <c r="O10" s="548"/>
      <c r="P10" s="548"/>
      <c r="Q10" s="548"/>
      <c r="R10" s="549"/>
      <c r="S10" s="370"/>
      <c r="T10" s="370"/>
      <c r="U10" s="492"/>
      <c r="V10" s="549"/>
      <c r="W10" s="548"/>
      <c r="X10" s="548"/>
      <c r="Y10" s="533"/>
      <c r="Z10" s="548"/>
      <c r="AA10" s="548"/>
      <c r="AB10" s="548"/>
      <c r="AC10" s="533"/>
      <c r="AD10" s="548">
        <f t="shared" si="0"/>
        <v>11025</v>
      </c>
      <c r="AE10" s="548">
        <f t="shared" si="0"/>
        <v>11082</v>
      </c>
      <c r="AF10" s="548">
        <f t="shared" si="0"/>
        <v>11324</v>
      </c>
      <c r="AG10" s="533">
        <f t="shared" si="0"/>
        <v>11889</v>
      </c>
    </row>
    <row r="11" spans="1:33" s="8" customFormat="1" ht="18" customHeight="1">
      <c r="A11" s="94" t="s">
        <v>1004</v>
      </c>
      <c r="B11" s="548"/>
      <c r="C11" s="548"/>
      <c r="D11" s="548"/>
      <c r="E11" s="533"/>
      <c r="F11" s="548"/>
      <c r="G11" s="548"/>
      <c r="H11" s="548"/>
      <c r="I11" s="533"/>
      <c r="J11" s="549"/>
      <c r="K11" s="548"/>
      <c r="L11" s="548"/>
      <c r="M11" s="533"/>
      <c r="N11" s="548"/>
      <c r="O11" s="548"/>
      <c r="P11" s="548"/>
      <c r="Q11" s="548"/>
      <c r="R11" s="549"/>
      <c r="S11" s="370"/>
      <c r="T11" s="370"/>
      <c r="U11" s="492"/>
      <c r="V11" s="549"/>
      <c r="W11" s="548"/>
      <c r="X11" s="548"/>
      <c r="Y11" s="533"/>
      <c r="Z11" s="548"/>
      <c r="AA11" s="548"/>
      <c r="AB11" s="548"/>
      <c r="AC11" s="533"/>
      <c r="AD11" s="548">
        <f t="shared" ref="AD11:AD35" si="1">+N11+J11+F11+B11+V11+Z11</f>
        <v>0</v>
      </c>
      <c r="AE11" s="548">
        <f t="shared" ref="AE11:AE35" si="2">+O11+K11+G11+C11+W11+AA11</f>
        <v>0</v>
      </c>
      <c r="AF11" s="548">
        <f t="shared" ref="AF11:AF27" si="3">+P11+L11+H11+D11+X11+AB11</f>
        <v>0</v>
      </c>
      <c r="AG11" s="533">
        <f t="shared" ref="AG11:AG27" si="4">+Q11+M11+I11+E11+Y11+AC11</f>
        <v>0</v>
      </c>
    </row>
    <row r="12" spans="1:33" s="8" customFormat="1" ht="18" customHeight="1">
      <c r="A12" s="94" t="s">
        <v>1005</v>
      </c>
      <c r="B12" s="548"/>
      <c r="C12" s="548"/>
      <c r="D12" s="548"/>
      <c r="E12" s="533"/>
      <c r="F12" s="548">
        <v>549</v>
      </c>
      <c r="G12" s="548">
        <v>444</v>
      </c>
      <c r="H12" s="548">
        <v>263</v>
      </c>
      <c r="I12" s="533">
        <v>207</v>
      </c>
      <c r="J12" s="549"/>
      <c r="K12" s="548"/>
      <c r="L12" s="548"/>
      <c r="M12" s="533"/>
      <c r="N12" s="548"/>
      <c r="O12" s="548"/>
      <c r="P12" s="548"/>
      <c r="Q12" s="548"/>
      <c r="R12" s="549"/>
      <c r="S12" s="370"/>
      <c r="T12" s="370"/>
      <c r="U12" s="492"/>
      <c r="V12" s="549"/>
      <c r="W12" s="548"/>
      <c r="X12" s="548"/>
      <c r="Y12" s="533"/>
      <c r="Z12" s="548"/>
      <c r="AA12" s="548"/>
      <c r="AB12" s="548"/>
      <c r="AC12" s="533"/>
      <c r="AD12" s="548">
        <f t="shared" si="1"/>
        <v>549</v>
      </c>
      <c r="AE12" s="548">
        <f t="shared" si="2"/>
        <v>444</v>
      </c>
      <c r="AF12" s="548">
        <f t="shared" si="3"/>
        <v>263</v>
      </c>
      <c r="AG12" s="533">
        <f t="shared" si="4"/>
        <v>207</v>
      </c>
    </row>
    <row r="13" spans="1:33" s="8" customFormat="1" ht="18" customHeight="1">
      <c r="A13" s="94" t="s">
        <v>1038</v>
      </c>
      <c r="B13" s="548">
        <v>903</v>
      </c>
      <c r="C13" s="548">
        <v>1015</v>
      </c>
      <c r="D13" s="548">
        <v>889</v>
      </c>
      <c r="E13" s="533">
        <v>871</v>
      </c>
      <c r="F13" s="548">
        <v>843</v>
      </c>
      <c r="G13" s="548">
        <v>765</v>
      </c>
      <c r="H13" s="548">
        <v>716</v>
      </c>
      <c r="I13" s="533">
        <v>641</v>
      </c>
      <c r="J13" s="549"/>
      <c r="K13" s="548"/>
      <c r="L13" s="548"/>
      <c r="M13" s="533"/>
      <c r="N13" s="548"/>
      <c r="O13" s="548"/>
      <c r="P13" s="548"/>
      <c r="Q13" s="548"/>
      <c r="R13" s="549"/>
      <c r="S13" s="370"/>
      <c r="T13" s="370"/>
      <c r="U13" s="492"/>
      <c r="V13" s="549"/>
      <c r="W13" s="548"/>
      <c r="X13" s="548"/>
      <c r="Y13" s="533"/>
      <c r="Z13" s="548"/>
      <c r="AA13" s="548"/>
      <c r="AB13" s="548"/>
      <c r="AC13" s="533"/>
      <c r="AD13" s="548">
        <f t="shared" si="1"/>
        <v>1746</v>
      </c>
      <c r="AE13" s="548">
        <f t="shared" si="2"/>
        <v>1780</v>
      </c>
      <c r="AF13" s="548">
        <f t="shared" si="3"/>
        <v>1605</v>
      </c>
      <c r="AG13" s="533">
        <f t="shared" si="4"/>
        <v>1512</v>
      </c>
    </row>
    <row r="14" spans="1:33" s="8" customFormat="1" ht="18" customHeight="1">
      <c r="A14" s="532" t="s">
        <v>1007</v>
      </c>
      <c r="B14" s="548"/>
      <c r="C14" s="548"/>
      <c r="D14" s="548"/>
      <c r="E14" s="533"/>
      <c r="F14" s="548">
        <v>819</v>
      </c>
      <c r="G14" s="548">
        <v>401</v>
      </c>
      <c r="H14" s="548">
        <v>372</v>
      </c>
      <c r="I14" s="533">
        <v>783</v>
      </c>
      <c r="J14" s="549"/>
      <c r="K14" s="548"/>
      <c r="L14" s="548"/>
      <c r="M14" s="533"/>
      <c r="N14" s="548"/>
      <c r="O14" s="548"/>
      <c r="P14" s="548"/>
      <c r="Q14" s="548"/>
      <c r="R14" s="549"/>
      <c r="S14" s="370"/>
      <c r="T14" s="370"/>
      <c r="U14" s="492"/>
      <c r="V14" s="549"/>
      <c r="W14" s="548"/>
      <c r="X14" s="548"/>
      <c r="Y14" s="533"/>
      <c r="Z14" s="548"/>
      <c r="AA14" s="548"/>
      <c r="AB14" s="548"/>
      <c r="AC14" s="533"/>
      <c r="AD14" s="548">
        <f t="shared" si="1"/>
        <v>819</v>
      </c>
      <c r="AE14" s="548">
        <f t="shared" si="2"/>
        <v>401</v>
      </c>
      <c r="AF14" s="548">
        <f t="shared" si="3"/>
        <v>372</v>
      </c>
      <c r="AG14" s="533">
        <f t="shared" si="4"/>
        <v>783</v>
      </c>
    </row>
    <row r="15" spans="1:33" s="8" customFormat="1" ht="18" customHeight="1">
      <c r="A15" s="532" t="s">
        <v>1008</v>
      </c>
      <c r="B15" s="548">
        <v>508</v>
      </c>
      <c r="C15" s="548">
        <v>453</v>
      </c>
      <c r="D15" s="548">
        <v>530</v>
      </c>
      <c r="E15" s="533">
        <v>502</v>
      </c>
      <c r="F15" s="548">
        <v>335</v>
      </c>
      <c r="G15" s="548">
        <v>294</v>
      </c>
      <c r="H15" s="548">
        <v>220</v>
      </c>
      <c r="I15" s="533">
        <v>255</v>
      </c>
      <c r="J15" s="549"/>
      <c r="K15" s="548"/>
      <c r="L15" s="548"/>
      <c r="M15" s="533"/>
      <c r="N15" s="548"/>
      <c r="O15" s="548"/>
      <c r="P15" s="548"/>
      <c r="Q15" s="548"/>
      <c r="R15" s="549"/>
      <c r="S15" s="370"/>
      <c r="T15" s="370"/>
      <c r="U15" s="492"/>
      <c r="V15" s="549"/>
      <c r="W15" s="548"/>
      <c r="X15" s="548"/>
      <c r="Y15" s="533"/>
      <c r="Z15" s="548"/>
      <c r="AA15" s="548"/>
      <c r="AB15" s="548"/>
      <c r="AC15" s="533"/>
      <c r="AD15" s="548">
        <f t="shared" si="1"/>
        <v>843</v>
      </c>
      <c r="AE15" s="548">
        <f t="shared" si="2"/>
        <v>747</v>
      </c>
      <c r="AF15" s="548">
        <f t="shared" si="3"/>
        <v>750</v>
      </c>
      <c r="AG15" s="533">
        <f t="shared" si="4"/>
        <v>757</v>
      </c>
    </row>
    <row r="16" spans="1:33" s="8" customFormat="1" ht="18" customHeight="1">
      <c r="A16" s="532" t="s">
        <v>1009</v>
      </c>
      <c r="B16" s="548">
        <v>322</v>
      </c>
      <c r="C16" s="548">
        <v>314</v>
      </c>
      <c r="D16" s="548">
        <v>373</v>
      </c>
      <c r="E16" s="533">
        <v>186</v>
      </c>
      <c r="F16" s="548"/>
      <c r="G16" s="548"/>
      <c r="H16" s="548"/>
      <c r="I16" s="533"/>
      <c r="J16" s="549"/>
      <c r="K16" s="548"/>
      <c r="L16" s="548"/>
      <c r="M16" s="533"/>
      <c r="N16" s="548"/>
      <c r="O16" s="548"/>
      <c r="P16" s="548"/>
      <c r="Q16" s="548"/>
      <c r="R16" s="549"/>
      <c r="S16" s="370"/>
      <c r="T16" s="370"/>
      <c r="U16" s="492"/>
      <c r="V16" s="549"/>
      <c r="W16" s="548"/>
      <c r="X16" s="548"/>
      <c r="Y16" s="533"/>
      <c r="Z16" s="548"/>
      <c r="AA16" s="548"/>
      <c r="AB16" s="548"/>
      <c r="AC16" s="533"/>
      <c r="AD16" s="548">
        <f t="shared" si="1"/>
        <v>322</v>
      </c>
      <c r="AE16" s="548">
        <f t="shared" si="2"/>
        <v>314</v>
      </c>
      <c r="AF16" s="548">
        <f t="shared" si="3"/>
        <v>373</v>
      </c>
      <c r="AG16" s="533">
        <f t="shared" si="4"/>
        <v>186</v>
      </c>
    </row>
    <row r="17" spans="1:33" s="8" customFormat="1" ht="18" customHeight="1">
      <c r="A17" s="532" t="s">
        <v>1010</v>
      </c>
      <c r="B17" s="548">
        <v>522</v>
      </c>
      <c r="C17" s="548">
        <v>551</v>
      </c>
      <c r="D17" s="548">
        <v>534</v>
      </c>
      <c r="E17" s="533">
        <v>380</v>
      </c>
      <c r="F17" s="548"/>
      <c r="G17" s="548"/>
      <c r="H17" s="548"/>
      <c r="I17" s="533"/>
      <c r="J17" s="549"/>
      <c r="K17" s="548"/>
      <c r="L17" s="548"/>
      <c r="M17" s="533"/>
      <c r="N17" s="548"/>
      <c r="O17" s="548"/>
      <c r="P17" s="548"/>
      <c r="Q17" s="548"/>
      <c r="R17" s="549"/>
      <c r="S17" s="370"/>
      <c r="T17" s="370"/>
      <c r="U17" s="492"/>
      <c r="V17" s="549"/>
      <c r="W17" s="548"/>
      <c r="X17" s="548"/>
      <c r="Y17" s="533"/>
      <c r="Z17" s="548"/>
      <c r="AA17" s="548"/>
      <c r="AB17" s="548"/>
      <c r="AC17" s="533"/>
      <c r="AD17" s="548">
        <f t="shared" si="1"/>
        <v>522</v>
      </c>
      <c r="AE17" s="548">
        <f t="shared" si="2"/>
        <v>551</v>
      </c>
      <c r="AF17" s="548">
        <f t="shared" si="3"/>
        <v>534</v>
      </c>
      <c r="AG17" s="533">
        <f t="shared" si="4"/>
        <v>380</v>
      </c>
    </row>
    <row r="18" spans="1:33" s="8" customFormat="1" ht="18" customHeight="1">
      <c r="A18" s="532" t="s">
        <v>1011</v>
      </c>
      <c r="B18" s="548"/>
      <c r="C18" s="548"/>
      <c r="D18" s="548"/>
      <c r="E18" s="533"/>
      <c r="F18" s="548">
        <v>1865</v>
      </c>
      <c r="G18" s="548">
        <v>1436</v>
      </c>
      <c r="H18" s="548">
        <v>1212</v>
      </c>
      <c r="I18" s="533">
        <v>1226</v>
      </c>
      <c r="J18" s="549"/>
      <c r="K18" s="548"/>
      <c r="L18" s="548"/>
      <c r="M18" s="533"/>
      <c r="N18" s="548"/>
      <c r="O18" s="548"/>
      <c r="P18" s="548"/>
      <c r="Q18" s="548"/>
      <c r="R18" s="549"/>
      <c r="S18" s="370"/>
      <c r="T18" s="370"/>
      <c r="U18" s="492"/>
      <c r="V18" s="549"/>
      <c r="W18" s="548"/>
      <c r="X18" s="548"/>
      <c r="Y18" s="533"/>
      <c r="Z18" s="548"/>
      <c r="AA18" s="548"/>
      <c r="AB18" s="548"/>
      <c r="AC18" s="533"/>
      <c r="AD18" s="548">
        <f t="shared" si="1"/>
        <v>1865</v>
      </c>
      <c r="AE18" s="548">
        <f t="shared" si="2"/>
        <v>1436</v>
      </c>
      <c r="AF18" s="548">
        <f t="shared" si="3"/>
        <v>1212</v>
      </c>
      <c r="AG18" s="533">
        <f t="shared" si="4"/>
        <v>1226</v>
      </c>
    </row>
    <row r="19" spans="1:33" s="8" customFormat="1" ht="18" customHeight="1">
      <c r="A19" s="94" t="s">
        <v>1012</v>
      </c>
      <c r="B19" s="548"/>
      <c r="C19" s="548"/>
      <c r="D19" s="548"/>
      <c r="E19" s="533"/>
      <c r="F19" s="548">
        <v>2026</v>
      </c>
      <c r="G19" s="548">
        <v>2032</v>
      </c>
      <c r="H19" s="548">
        <v>1917</v>
      </c>
      <c r="I19" s="533">
        <v>1778</v>
      </c>
      <c r="J19" s="549"/>
      <c r="K19" s="548"/>
      <c r="L19" s="548"/>
      <c r="M19" s="533"/>
      <c r="N19" s="548"/>
      <c r="O19" s="548"/>
      <c r="P19" s="548"/>
      <c r="Q19" s="548"/>
      <c r="R19" s="549"/>
      <c r="S19" s="370"/>
      <c r="T19" s="370"/>
      <c r="U19" s="492"/>
      <c r="V19" s="549"/>
      <c r="W19" s="548"/>
      <c r="X19" s="548"/>
      <c r="Y19" s="533"/>
      <c r="Z19" s="548"/>
      <c r="AA19" s="548"/>
      <c r="AB19" s="548"/>
      <c r="AC19" s="533"/>
      <c r="AD19" s="548">
        <f t="shared" si="1"/>
        <v>2026</v>
      </c>
      <c r="AE19" s="548">
        <f t="shared" si="2"/>
        <v>2032</v>
      </c>
      <c r="AF19" s="548">
        <f t="shared" si="3"/>
        <v>1917</v>
      </c>
      <c r="AG19" s="533">
        <f t="shared" si="4"/>
        <v>1778</v>
      </c>
    </row>
    <row r="20" spans="1:33" s="8" customFormat="1" ht="18" customHeight="1">
      <c r="A20" s="94" t="s">
        <v>1013</v>
      </c>
      <c r="B20" s="548"/>
      <c r="C20" s="548"/>
      <c r="D20" s="548"/>
      <c r="E20" s="533"/>
      <c r="F20" s="548">
        <v>410</v>
      </c>
      <c r="G20" s="548">
        <v>324</v>
      </c>
      <c r="H20" s="548">
        <v>307</v>
      </c>
      <c r="I20" s="533">
        <v>323</v>
      </c>
      <c r="J20" s="549"/>
      <c r="K20" s="548"/>
      <c r="L20" s="548"/>
      <c r="M20" s="533"/>
      <c r="N20" s="548"/>
      <c r="O20" s="548"/>
      <c r="P20" s="548"/>
      <c r="Q20" s="548"/>
      <c r="R20" s="549"/>
      <c r="S20" s="370"/>
      <c r="T20" s="370"/>
      <c r="U20" s="492"/>
      <c r="V20" s="549"/>
      <c r="W20" s="548"/>
      <c r="X20" s="548"/>
      <c r="Y20" s="533"/>
      <c r="Z20" s="548"/>
      <c r="AA20" s="548"/>
      <c r="AB20" s="548"/>
      <c r="AC20" s="533"/>
      <c r="AD20" s="548">
        <f t="shared" si="1"/>
        <v>410</v>
      </c>
      <c r="AE20" s="548">
        <f t="shared" si="2"/>
        <v>324</v>
      </c>
      <c r="AF20" s="548">
        <f t="shared" si="3"/>
        <v>307</v>
      </c>
      <c r="AG20" s="533">
        <f t="shared" si="4"/>
        <v>323</v>
      </c>
    </row>
    <row r="21" spans="1:33" s="8" customFormat="1" ht="18" customHeight="1">
      <c r="A21" s="1053" t="s">
        <v>807</v>
      </c>
      <c r="B21" s="548"/>
      <c r="C21" s="548"/>
      <c r="D21" s="548"/>
      <c r="E21" s="533"/>
      <c r="F21" s="548">
        <v>316</v>
      </c>
      <c r="G21" s="548">
        <v>395</v>
      </c>
      <c r="H21" s="548">
        <v>482</v>
      </c>
      <c r="I21" s="533">
        <v>455</v>
      </c>
      <c r="J21" s="549"/>
      <c r="K21" s="548"/>
      <c r="L21" s="548"/>
      <c r="M21" s="533"/>
      <c r="N21" s="548"/>
      <c r="O21" s="548"/>
      <c r="P21" s="548"/>
      <c r="Q21" s="548"/>
      <c r="R21" s="549"/>
      <c r="S21" s="370"/>
      <c r="T21" s="370"/>
      <c r="U21" s="492"/>
      <c r="V21" s="548"/>
      <c r="W21" s="548"/>
      <c r="X21" s="548"/>
      <c r="Y21" s="533"/>
      <c r="Z21" s="548"/>
      <c r="AA21" s="548"/>
      <c r="AB21" s="548"/>
      <c r="AC21" s="533"/>
      <c r="AD21" s="548">
        <f>+N21+J21+F21+B21+V21+Z21</f>
        <v>316</v>
      </c>
      <c r="AE21" s="548">
        <f>+O21+K21+G21+C21+W21+AA21</f>
        <v>395</v>
      </c>
      <c r="AF21" s="548">
        <f t="shared" si="3"/>
        <v>482</v>
      </c>
      <c r="AG21" s="533">
        <f t="shared" si="4"/>
        <v>455</v>
      </c>
    </row>
    <row r="22" spans="1:33" s="8" customFormat="1" ht="18" customHeight="1">
      <c r="A22" s="94" t="s">
        <v>1014</v>
      </c>
      <c r="B22" s="548">
        <v>1967</v>
      </c>
      <c r="C22" s="548">
        <v>1674</v>
      </c>
      <c r="D22" s="548">
        <v>1737</v>
      </c>
      <c r="E22" s="533">
        <v>3047</v>
      </c>
      <c r="F22" s="548">
        <v>85</v>
      </c>
      <c r="G22" s="548">
        <v>124</v>
      </c>
      <c r="H22" s="548">
        <v>101</v>
      </c>
      <c r="I22" s="533">
        <v>108</v>
      </c>
      <c r="J22" s="549"/>
      <c r="K22" s="548"/>
      <c r="L22" s="548"/>
      <c r="M22" s="533"/>
      <c r="N22" s="548"/>
      <c r="O22" s="548"/>
      <c r="P22" s="548"/>
      <c r="Q22" s="548"/>
      <c r="R22" s="549"/>
      <c r="S22" s="370"/>
      <c r="T22" s="370"/>
      <c r="U22" s="492"/>
      <c r="V22" s="548"/>
      <c r="W22" s="548"/>
      <c r="X22" s="548"/>
      <c r="Y22" s="533"/>
      <c r="Z22" s="548"/>
      <c r="AA22" s="548"/>
      <c r="AB22" s="548"/>
      <c r="AC22" s="533"/>
      <c r="AD22" s="548">
        <f t="shared" si="1"/>
        <v>2052</v>
      </c>
      <c r="AE22" s="548">
        <f t="shared" si="2"/>
        <v>1798</v>
      </c>
      <c r="AF22" s="548">
        <f t="shared" si="3"/>
        <v>1838</v>
      </c>
      <c r="AG22" s="533">
        <f t="shared" si="4"/>
        <v>3155</v>
      </c>
    </row>
    <row r="23" spans="1:33" s="8" customFormat="1" ht="18" customHeight="1">
      <c r="A23" s="94" t="s">
        <v>1015</v>
      </c>
      <c r="B23" s="548"/>
      <c r="C23" s="548"/>
      <c r="D23" s="548"/>
      <c r="E23" s="533"/>
      <c r="F23" s="548"/>
      <c r="G23" s="548"/>
      <c r="H23" s="548"/>
      <c r="I23" s="533"/>
      <c r="J23" s="549"/>
      <c r="K23" s="548"/>
      <c r="L23" s="548"/>
      <c r="M23" s="533"/>
      <c r="N23" s="548">
        <v>3361</v>
      </c>
      <c r="O23" s="548">
        <v>2870</v>
      </c>
      <c r="P23" s="548">
        <v>2635</v>
      </c>
      <c r="Q23" s="548">
        <v>1685</v>
      </c>
      <c r="R23" s="549">
        <v>410</v>
      </c>
      <c r="S23" s="370">
        <v>495</v>
      </c>
      <c r="T23" s="370">
        <v>468</v>
      </c>
      <c r="U23" s="492">
        <v>104</v>
      </c>
      <c r="V23" s="548"/>
      <c r="W23" s="548"/>
      <c r="X23" s="548"/>
      <c r="Y23" s="533"/>
      <c r="Z23" s="548"/>
      <c r="AA23" s="548"/>
      <c r="AB23" s="548"/>
      <c r="AC23" s="533"/>
      <c r="AD23" s="548">
        <f>+N23+J23+F23+B23+V23+Z23+R23</f>
        <v>3771</v>
      </c>
      <c r="AE23" s="548">
        <f>+O23+K23+G23+C23+W23+AA23+S23</f>
        <v>3365</v>
      </c>
      <c r="AF23" s="548">
        <f>+P23+L23+H23+D23+X23+AB23+T23</f>
        <v>3103</v>
      </c>
      <c r="AG23" s="533">
        <f>+Q23+M23+I23+E23+U23+Y23+AC23</f>
        <v>1789</v>
      </c>
    </row>
    <row r="24" spans="1:33" s="8" customFormat="1" ht="18" customHeight="1">
      <c r="A24" s="94" t="s">
        <v>1016</v>
      </c>
      <c r="B24" s="548">
        <v>6502</v>
      </c>
      <c r="C24" s="548">
        <v>6150</v>
      </c>
      <c r="D24" s="548">
        <v>6141</v>
      </c>
      <c r="E24" s="533">
        <v>6416</v>
      </c>
      <c r="F24" s="548">
        <v>3729</v>
      </c>
      <c r="G24" s="548">
        <v>3604</v>
      </c>
      <c r="H24" s="548">
        <v>3684</v>
      </c>
      <c r="I24" s="533">
        <v>3534</v>
      </c>
      <c r="J24" s="549"/>
      <c r="K24" s="548"/>
      <c r="L24" s="548"/>
      <c r="M24" s="533"/>
      <c r="N24" s="548"/>
      <c r="O24" s="548"/>
      <c r="P24" s="548"/>
      <c r="Q24" s="548"/>
      <c r="R24" s="549"/>
      <c r="S24" s="370"/>
      <c r="T24" s="370"/>
      <c r="U24" s="492"/>
      <c r="V24" s="548"/>
      <c r="W24" s="548"/>
      <c r="X24" s="548"/>
      <c r="Y24" s="533"/>
      <c r="Z24" s="548"/>
      <c r="AA24" s="548"/>
      <c r="AB24" s="548"/>
      <c r="AC24" s="533"/>
      <c r="AD24" s="548">
        <f t="shared" si="1"/>
        <v>10231</v>
      </c>
      <c r="AE24" s="548">
        <f t="shared" si="2"/>
        <v>9754</v>
      </c>
      <c r="AF24" s="548">
        <f t="shared" si="3"/>
        <v>9825</v>
      </c>
      <c r="AG24" s="533">
        <f t="shared" si="4"/>
        <v>9950</v>
      </c>
    </row>
    <row r="25" spans="1:33" s="8" customFormat="1" ht="18" customHeight="1">
      <c r="A25" s="94" t="s">
        <v>1017</v>
      </c>
      <c r="B25" s="548"/>
      <c r="C25" s="548"/>
      <c r="D25" s="548"/>
      <c r="E25" s="533"/>
      <c r="F25" s="548">
        <v>1147</v>
      </c>
      <c r="G25" s="548">
        <v>1241</v>
      </c>
      <c r="H25" s="548">
        <v>1335</v>
      </c>
      <c r="I25" s="533">
        <v>1191</v>
      </c>
      <c r="J25" s="549"/>
      <c r="K25" s="548"/>
      <c r="L25" s="548"/>
      <c r="M25" s="533"/>
      <c r="N25" s="548"/>
      <c r="O25" s="548"/>
      <c r="P25" s="548"/>
      <c r="Q25" s="548"/>
      <c r="R25" s="549"/>
      <c r="S25" s="370"/>
      <c r="T25" s="370"/>
      <c r="U25" s="492"/>
      <c r="V25" s="548"/>
      <c r="W25" s="548"/>
      <c r="X25" s="548"/>
      <c r="Y25" s="533"/>
      <c r="Z25" s="548"/>
      <c r="AA25" s="548"/>
      <c r="AB25" s="548"/>
      <c r="AC25" s="533"/>
      <c r="AD25" s="548">
        <f t="shared" si="1"/>
        <v>1147</v>
      </c>
      <c r="AE25" s="548">
        <f t="shared" si="2"/>
        <v>1241</v>
      </c>
      <c r="AF25" s="548">
        <f t="shared" si="3"/>
        <v>1335</v>
      </c>
      <c r="AG25" s="533">
        <f t="shared" si="4"/>
        <v>1191</v>
      </c>
    </row>
    <row r="26" spans="1:33" s="8" customFormat="1" ht="18" customHeight="1">
      <c r="A26" s="1053" t="s">
        <v>1136</v>
      </c>
      <c r="B26" s="548"/>
      <c r="C26" s="548"/>
      <c r="D26" s="548"/>
      <c r="E26" s="533"/>
      <c r="F26" s="548"/>
      <c r="G26" s="548"/>
      <c r="H26" s="548"/>
      <c r="I26" s="533"/>
      <c r="J26" s="549"/>
      <c r="K26" s="548"/>
      <c r="L26" s="548"/>
      <c r="M26" s="533"/>
      <c r="N26" s="548"/>
      <c r="O26" s="548"/>
      <c r="P26" s="548"/>
      <c r="Q26" s="548"/>
      <c r="R26" s="549"/>
      <c r="S26" s="370"/>
      <c r="T26" s="370"/>
      <c r="U26" s="492"/>
      <c r="V26" s="548"/>
      <c r="W26" s="548"/>
      <c r="X26" s="548"/>
      <c r="Y26" s="533"/>
      <c r="Z26" s="548"/>
      <c r="AA26" s="548"/>
      <c r="AB26" s="548"/>
      <c r="AC26" s="533"/>
      <c r="AD26" s="548">
        <f>+N26+J26+F26+B26+V26+Z26</f>
        <v>0</v>
      </c>
      <c r="AE26" s="548">
        <f>+O26+K26+G26+C26+W26+AA26</f>
        <v>0</v>
      </c>
      <c r="AF26" s="548">
        <f t="shared" si="3"/>
        <v>0</v>
      </c>
      <c r="AG26" s="533">
        <f t="shared" si="4"/>
        <v>0</v>
      </c>
    </row>
    <row r="27" spans="1:33" s="8" customFormat="1" ht="18" customHeight="1">
      <c r="A27" s="94" t="s">
        <v>1018</v>
      </c>
      <c r="B27" s="548"/>
      <c r="C27" s="548"/>
      <c r="D27" s="548"/>
      <c r="E27" s="533"/>
      <c r="F27" s="548">
        <v>347</v>
      </c>
      <c r="G27" s="548">
        <v>509</v>
      </c>
      <c r="H27" s="548">
        <v>594</v>
      </c>
      <c r="I27" s="533">
        <v>551</v>
      </c>
      <c r="J27" s="549"/>
      <c r="K27" s="548"/>
      <c r="L27" s="548"/>
      <c r="M27" s="533"/>
      <c r="N27" s="548"/>
      <c r="O27" s="548"/>
      <c r="P27" s="548"/>
      <c r="Q27" s="548"/>
      <c r="R27" s="549"/>
      <c r="S27" s="370"/>
      <c r="T27" s="370"/>
      <c r="U27" s="492"/>
      <c r="V27" s="548"/>
      <c r="W27" s="548"/>
      <c r="X27" s="548"/>
      <c r="Y27" s="533"/>
      <c r="Z27" s="548"/>
      <c r="AA27" s="548"/>
      <c r="AB27" s="548"/>
      <c r="AC27" s="533"/>
      <c r="AD27" s="548">
        <f t="shared" si="1"/>
        <v>347</v>
      </c>
      <c r="AE27" s="548">
        <f t="shared" si="2"/>
        <v>509</v>
      </c>
      <c r="AF27" s="548">
        <f t="shared" si="3"/>
        <v>594</v>
      </c>
      <c r="AG27" s="533">
        <f t="shared" si="4"/>
        <v>551</v>
      </c>
    </row>
    <row r="28" spans="1:33" s="8" customFormat="1" ht="18" customHeight="1">
      <c r="A28" s="94" t="s">
        <v>1019</v>
      </c>
      <c r="B28" s="548">
        <v>2244</v>
      </c>
      <c r="C28" s="548">
        <v>1907</v>
      </c>
      <c r="D28" s="548">
        <v>2080</v>
      </c>
      <c r="E28" s="533">
        <v>2237</v>
      </c>
      <c r="F28" s="548"/>
      <c r="G28" s="548"/>
      <c r="H28" s="548"/>
      <c r="I28" s="533"/>
      <c r="J28" s="548"/>
      <c r="K28" s="548"/>
      <c r="L28" s="548"/>
      <c r="M28" s="533"/>
      <c r="N28" s="548"/>
      <c r="O28" s="548"/>
      <c r="P28" s="548"/>
      <c r="Q28" s="548"/>
      <c r="R28" s="549"/>
      <c r="S28" s="370"/>
      <c r="T28" s="370"/>
      <c r="U28" s="492"/>
      <c r="V28" s="548"/>
      <c r="W28" s="548"/>
      <c r="X28" s="548"/>
      <c r="Y28" s="533"/>
      <c r="Z28" s="548"/>
      <c r="AA28" s="548"/>
      <c r="AB28" s="548"/>
      <c r="AC28" s="533"/>
      <c r="AD28" s="548">
        <f t="shared" si="1"/>
        <v>2244</v>
      </c>
      <c r="AE28" s="548">
        <f t="shared" si="2"/>
        <v>1907</v>
      </c>
      <c r="AF28" s="548">
        <f t="shared" ref="AF28:AF35" si="5">+P28+L28+H28+D28+X28+AB28</f>
        <v>2080</v>
      </c>
      <c r="AG28" s="533">
        <f t="shared" ref="AG28:AG35" si="6">+Q28+M28+I28+E28+Y28+AC28</f>
        <v>2237</v>
      </c>
    </row>
    <row r="29" spans="1:33" s="8" customFormat="1" ht="18" customHeight="1">
      <c r="A29" s="94" t="s">
        <v>1020</v>
      </c>
      <c r="B29" s="548">
        <v>2662</v>
      </c>
      <c r="C29" s="548">
        <v>2311</v>
      </c>
      <c r="D29" s="548">
        <v>2224</v>
      </c>
      <c r="E29" s="533">
        <v>2399</v>
      </c>
      <c r="F29" s="548">
        <v>2329</v>
      </c>
      <c r="G29" s="548">
        <v>2505</v>
      </c>
      <c r="H29" s="548">
        <v>2726</v>
      </c>
      <c r="I29" s="533">
        <v>3123</v>
      </c>
      <c r="J29" s="548">
        <v>891</v>
      </c>
      <c r="K29" s="548">
        <v>695</v>
      </c>
      <c r="L29" s="548">
        <v>735</v>
      </c>
      <c r="M29" s="533">
        <v>784</v>
      </c>
      <c r="N29" s="548"/>
      <c r="O29" s="548"/>
      <c r="P29" s="548"/>
      <c r="Q29" s="548"/>
      <c r="R29" s="549"/>
      <c r="S29" s="370"/>
      <c r="T29" s="370"/>
      <c r="U29" s="492"/>
      <c r="V29" s="548"/>
      <c r="W29" s="548"/>
      <c r="X29" s="548"/>
      <c r="Y29" s="533"/>
      <c r="Z29" s="548"/>
      <c r="AA29" s="548"/>
      <c r="AB29" s="548"/>
      <c r="AC29" s="533"/>
      <c r="AD29" s="548">
        <f t="shared" si="1"/>
        <v>5882</v>
      </c>
      <c r="AE29" s="548">
        <f t="shared" si="2"/>
        <v>5511</v>
      </c>
      <c r="AF29" s="548">
        <f t="shared" si="5"/>
        <v>5685</v>
      </c>
      <c r="AG29" s="533">
        <f t="shared" si="6"/>
        <v>6306</v>
      </c>
    </row>
    <row r="30" spans="1:33" s="8" customFormat="1" ht="18" customHeight="1">
      <c r="A30" s="94" t="s">
        <v>1021</v>
      </c>
      <c r="B30" s="548">
        <v>4031</v>
      </c>
      <c r="C30" s="548">
        <v>3654</v>
      </c>
      <c r="D30" s="548">
        <v>3918</v>
      </c>
      <c r="E30" s="533">
        <v>3931</v>
      </c>
      <c r="F30" s="548">
        <v>3639</v>
      </c>
      <c r="G30" s="548">
        <v>4066</v>
      </c>
      <c r="H30" s="548">
        <v>3570</v>
      </c>
      <c r="I30" s="533">
        <v>3688</v>
      </c>
      <c r="J30" s="548">
        <v>558</v>
      </c>
      <c r="K30" s="548">
        <v>146</v>
      </c>
      <c r="L30" s="548"/>
      <c r="M30" s="533"/>
      <c r="N30" s="548"/>
      <c r="O30" s="548"/>
      <c r="P30" s="548"/>
      <c r="Q30" s="548"/>
      <c r="R30" s="549"/>
      <c r="S30" s="370"/>
      <c r="T30" s="370"/>
      <c r="U30" s="492"/>
      <c r="V30" s="548"/>
      <c r="W30" s="548"/>
      <c r="X30" s="548"/>
      <c r="Y30" s="533"/>
      <c r="Z30" s="548"/>
      <c r="AA30" s="548"/>
      <c r="AB30" s="548"/>
      <c r="AC30" s="533"/>
      <c r="AD30" s="548">
        <f t="shared" si="1"/>
        <v>8228</v>
      </c>
      <c r="AE30" s="548">
        <f t="shared" si="2"/>
        <v>7866</v>
      </c>
      <c r="AF30" s="548">
        <f t="shared" si="5"/>
        <v>7488</v>
      </c>
      <c r="AG30" s="533">
        <f t="shared" si="6"/>
        <v>7619</v>
      </c>
    </row>
    <row r="31" spans="1:33" s="8" customFormat="1" ht="18" customHeight="1">
      <c r="A31" s="94" t="s">
        <v>1022</v>
      </c>
      <c r="B31" s="548">
        <v>2326</v>
      </c>
      <c r="C31" s="548">
        <v>2073</v>
      </c>
      <c r="D31" s="548">
        <v>1580</v>
      </c>
      <c r="E31" s="533">
        <v>2241</v>
      </c>
      <c r="F31" s="548"/>
      <c r="G31" s="548"/>
      <c r="H31" s="548"/>
      <c r="I31" s="533"/>
      <c r="J31" s="549"/>
      <c r="K31" s="548"/>
      <c r="L31" s="548"/>
      <c r="M31" s="533"/>
      <c r="N31" s="548"/>
      <c r="O31" s="548"/>
      <c r="P31" s="548"/>
      <c r="Q31" s="548"/>
      <c r="R31" s="549"/>
      <c r="S31" s="370"/>
      <c r="T31" s="370"/>
      <c r="U31" s="492"/>
      <c r="V31" s="548"/>
      <c r="W31" s="548"/>
      <c r="X31" s="548"/>
      <c r="Y31" s="533"/>
      <c r="Z31" s="548">
        <v>823</v>
      </c>
      <c r="AA31" s="548">
        <v>47</v>
      </c>
      <c r="AB31" s="548"/>
      <c r="AC31" s="533">
        <v>1020</v>
      </c>
      <c r="AD31" s="548">
        <f t="shared" si="1"/>
        <v>3149</v>
      </c>
      <c r="AE31" s="548">
        <f t="shared" si="2"/>
        <v>2120</v>
      </c>
      <c r="AF31" s="548">
        <f t="shared" si="5"/>
        <v>1580</v>
      </c>
      <c r="AG31" s="533">
        <f t="shared" si="6"/>
        <v>3261</v>
      </c>
    </row>
    <row r="32" spans="1:33" s="8" customFormat="1" ht="18" customHeight="1">
      <c r="A32" s="94" t="s">
        <v>1023</v>
      </c>
      <c r="B32" s="548">
        <v>1011</v>
      </c>
      <c r="C32" s="548">
        <v>1043</v>
      </c>
      <c r="D32" s="548">
        <v>1131</v>
      </c>
      <c r="E32" s="533">
        <v>2808</v>
      </c>
      <c r="F32" s="548"/>
      <c r="G32" s="548"/>
      <c r="H32" s="548"/>
      <c r="I32" s="533"/>
      <c r="J32" s="549"/>
      <c r="K32" s="548"/>
      <c r="L32" s="548"/>
      <c r="M32" s="533"/>
      <c r="N32" s="548"/>
      <c r="O32" s="548"/>
      <c r="P32" s="548"/>
      <c r="Q32" s="548"/>
      <c r="R32" s="549"/>
      <c r="S32" s="370"/>
      <c r="T32" s="370"/>
      <c r="U32" s="492"/>
      <c r="V32" s="548"/>
      <c r="W32" s="548"/>
      <c r="X32" s="548"/>
      <c r="Y32" s="533"/>
      <c r="Z32" s="548"/>
      <c r="AA32" s="548"/>
      <c r="AB32" s="548"/>
      <c r="AC32" s="533"/>
      <c r="AD32" s="548">
        <f t="shared" si="1"/>
        <v>1011</v>
      </c>
      <c r="AE32" s="548">
        <f t="shared" si="2"/>
        <v>1043</v>
      </c>
      <c r="AF32" s="548">
        <f t="shared" si="5"/>
        <v>1131</v>
      </c>
      <c r="AG32" s="533">
        <f t="shared" si="6"/>
        <v>2808</v>
      </c>
    </row>
    <row r="33" spans="1:33" s="8" customFormat="1" ht="18" customHeight="1">
      <c r="A33" s="94" t="s">
        <v>1024</v>
      </c>
      <c r="B33" s="548"/>
      <c r="C33" s="548"/>
      <c r="D33" s="548"/>
      <c r="E33" s="533"/>
      <c r="F33" s="548">
        <v>5817</v>
      </c>
      <c r="G33" s="548">
        <v>5463</v>
      </c>
      <c r="H33" s="548">
        <v>5143</v>
      </c>
      <c r="I33" s="533">
        <v>4978</v>
      </c>
      <c r="J33" s="549"/>
      <c r="K33" s="548"/>
      <c r="L33" s="548"/>
      <c r="M33" s="533"/>
      <c r="N33" s="548"/>
      <c r="O33" s="548"/>
      <c r="P33" s="548"/>
      <c r="Q33" s="548"/>
      <c r="R33" s="549"/>
      <c r="S33" s="370"/>
      <c r="T33" s="370"/>
      <c r="U33" s="492"/>
      <c r="V33" s="549"/>
      <c r="W33" s="548"/>
      <c r="X33" s="548"/>
      <c r="Y33" s="533"/>
      <c r="Z33" s="548"/>
      <c r="AA33" s="548"/>
      <c r="AB33" s="548"/>
      <c r="AC33" s="533"/>
      <c r="AD33" s="548">
        <f t="shared" si="1"/>
        <v>5817</v>
      </c>
      <c r="AE33" s="548">
        <f t="shared" si="2"/>
        <v>5463</v>
      </c>
      <c r="AF33" s="548">
        <f t="shared" si="5"/>
        <v>5143</v>
      </c>
      <c r="AG33" s="533">
        <f t="shared" si="6"/>
        <v>4978</v>
      </c>
    </row>
    <row r="34" spans="1:33" s="8" customFormat="1" ht="18" customHeight="1">
      <c r="A34" s="94" t="s">
        <v>1025</v>
      </c>
      <c r="B34" s="548">
        <v>116</v>
      </c>
      <c r="C34" s="548">
        <v>68</v>
      </c>
      <c r="D34" s="548">
        <v>54</v>
      </c>
      <c r="E34" s="533">
        <v>4</v>
      </c>
      <c r="F34" s="548">
        <v>1917</v>
      </c>
      <c r="G34" s="548">
        <v>1687</v>
      </c>
      <c r="H34" s="548">
        <v>1486</v>
      </c>
      <c r="I34" s="533">
        <v>1697</v>
      </c>
      <c r="J34" s="549"/>
      <c r="K34" s="548"/>
      <c r="L34" s="548"/>
      <c r="M34" s="533"/>
      <c r="N34" s="548"/>
      <c r="O34" s="548"/>
      <c r="P34" s="548"/>
      <c r="Q34" s="548"/>
      <c r="R34" s="549"/>
      <c r="S34" s="370"/>
      <c r="T34" s="370"/>
      <c r="U34" s="492"/>
      <c r="V34" s="549"/>
      <c r="W34" s="548"/>
      <c r="X34" s="548"/>
      <c r="Y34" s="533"/>
      <c r="Z34" s="548"/>
      <c r="AA34" s="548"/>
      <c r="AB34" s="548"/>
      <c r="AC34" s="533"/>
      <c r="AD34" s="548">
        <f t="shared" si="1"/>
        <v>2033</v>
      </c>
      <c r="AE34" s="548">
        <f t="shared" si="2"/>
        <v>1755</v>
      </c>
      <c r="AF34" s="548">
        <f t="shared" si="5"/>
        <v>1540</v>
      </c>
      <c r="AG34" s="533">
        <f t="shared" si="6"/>
        <v>1701</v>
      </c>
    </row>
    <row r="35" spans="1:33" s="8" customFormat="1" ht="18" customHeight="1">
      <c r="A35" s="94" t="s">
        <v>1026</v>
      </c>
      <c r="B35" s="548">
        <v>656</v>
      </c>
      <c r="C35" s="548">
        <v>537</v>
      </c>
      <c r="D35" s="548">
        <v>249</v>
      </c>
      <c r="E35" s="533">
        <v>429</v>
      </c>
      <c r="F35" s="548"/>
      <c r="G35" s="548"/>
      <c r="H35" s="548"/>
      <c r="I35" s="533"/>
      <c r="J35" s="549"/>
      <c r="K35" s="548"/>
      <c r="L35" s="548"/>
      <c r="M35" s="533"/>
      <c r="N35" s="548"/>
      <c r="O35" s="548"/>
      <c r="P35" s="548"/>
      <c r="Q35" s="548"/>
      <c r="R35" s="549"/>
      <c r="S35" s="370"/>
      <c r="T35" s="370"/>
      <c r="U35" s="492"/>
      <c r="V35" s="549"/>
      <c r="W35" s="548"/>
      <c r="X35" s="548"/>
      <c r="Y35" s="533"/>
      <c r="Z35" s="548"/>
      <c r="AA35" s="548"/>
      <c r="AB35" s="548"/>
      <c r="AC35" s="533"/>
      <c r="AD35" s="548">
        <f t="shared" si="1"/>
        <v>656</v>
      </c>
      <c r="AE35" s="548">
        <f t="shared" si="2"/>
        <v>537</v>
      </c>
      <c r="AF35" s="548">
        <f t="shared" si="5"/>
        <v>249</v>
      </c>
      <c r="AG35" s="533">
        <f t="shared" si="6"/>
        <v>429</v>
      </c>
    </row>
    <row r="36" spans="1:33" s="8" customFormat="1" ht="18" customHeight="1">
      <c r="A36" s="15" t="s">
        <v>863</v>
      </c>
      <c r="B36" s="553">
        <f t="shared" ref="B36:E36" si="7">SUM(B9:B35)</f>
        <v>30361</v>
      </c>
      <c r="C36" s="551">
        <f t="shared" si="7"/>
        <v>28411</v>
      </c>
      <c r="D36" s="551">
        <f t="shared" si="7"/>
        <v>29053</v>
      </c>
      <c r="E36" s="552">
        <f t="shared" si="7"/>
        <v>33072</v>
      </c>
      <c r="F36" s="553">
        <f t="shared" ref="F36:AG36" si="8">SUM(F9:F35)</f>
        <v>30607</v>
      </c>
      <c r="G36" s="551">
        <f t="shared" si="8"/>
        <v>29711</v>
      </c>
      <c r="H36" s="551">
        <f t="shared" si="8"/>
        <v>27839</v>
      </c>
      <c r="I36" s="552">
        <f t="shared" si="8"/>
        <v>28806</v>
      </c>
      <c r="J36" s="553">
        <f t="shared" si="8"/>
        <v>1449</v>
      </c>
      <c r="K36" s="551">
        <f t="shared" si="8"/>
        <v>841</v>
      </c>
      <c r="L36" s="551">
        <f t="shared" si="8"/>
        <v>735</v>
      </c>
      <c r="M36" s="552">
        <f t="shared" si="8"/>
        <v>784</v>
      </c>
      <c r="N36" s="551">
        <v>3775</v>
      </c>
      <c r="O36" s="551">
        <v>3361</v>
      </c>
      <c r="P36" s="551">
        <v>2870</v>
      </c>
      <c r="Q36" s="552">
        <f t="shared" si="8"/>
        <v>1685</v>
      </c>
      <c r="R36" s="374">
        <f>SUM(R23:R35)</f>
        <v>410</v>
      </c>
      <c r="S36" s="374">
        <f>SUM(S23:S35)</f>
        <v>495</v>
      </c>
      <c r="T36" s="374">
        <f>SUM(T23:T35)</f>
        <v>468</v>
      </c>
      <c r="U36" s="552">
        <f t="shared" si="8"/>
        <v>104</v>
      </c>
      <c r="V36" s="553">
        <f t="shared" si="8"/>
        <v>0</v>
      </c>
      <c r="W36" s="551">
        <f t="shared" si="8"/>
        <v>0</v>
      </c>
      <c r="X36" s="551">
        <f t="shared" si="8"/>
        <v>0</v>
      </c>
      <c r="Y36" s="552">
        <f t="shared" si="8"/>
        <v>0</v>
      </c>
      <c r="Z36" s="551">
        <f t="shared" si="8"/>
        <v>823</v>
      </c>
      <c r="AA36" s="551">
        <f t="shared" si="8"/>
        <v>47</v>
      </c>
      <c r="AB36" s="551">
        <f t="shared" si="8"/>
        <v>0</v>
      </c>
      <c r="AC36" s="552">
        <f t="shared" si="8"/>
        <v>1020</v>
      </c>
      <c r="AD36" s="551">
        <f t="shared" si="8"/>
        <v>67011</v>
      </c>
      <c r="AE36" s="551">
        <f t="shared" si="8"/>
        <v>62375</v>
      </c>
      <c r="AF36" s="551">
        <f t="shared" si="8"/>
        <v>60730</v>
      </c>
      <c r="AG36" s="552">
        <f t="shared" si="8"/>
        <v>65471</v>
      </c>
    </row>
    <row r="37" spans="1:33" s="8" customFormat="1" ht="18" customHeight="1">
      <c r="R37" s="561"/>
      <c r="S37" s="554"/>
      <c r="T37" s="554"/>
      <c r="U37" s="554"/>
    </row>
    <row r="38" spans="1:33" s="8" customFormat="1" ht="18" customHeight="1">
      <c r="A38" s="511" t="s">
        <v>1027</v>
      </c>
      <c r="F38" s="562"/>
      <c r="R38" s="561"/>
      <c r="S38" s="554"/>
      <c r="T38" s="554"/>
      <c r="U38" s="554"/>
    </row>
    <row r="39" spans="1:33" s="8" customFormat="1" ht="18" customHeight="1">
      <c r="A39" s="1050" t="s">
        <v>1028</v>
      </c>
      <c r="B39" s="556">
        <v>248</v>
      </c>
      <c r="C39" s="556">
        <v>540</v>
      </c>
      <c r="D39" s="556">
        <v>415</v>
      </c>
      <c r="E39" s="557">
        <v>438</v>
      </c>
      <c r="F39" s="556">
        <v>2547</v>
      </c>
      <c r="G39" s="556">
        <v>3173</v>
      </c>
      <c r="H39" s="556">
        <v>2603</v>
      </c>
      <c r="I39" s="556">
        <v>2693</v>
      </c>
      <c r="J39" s="555"/>
      <c r="K39" s="556"/>
      <c r="L39" s="556"/>
      <c r="M39" s="557"/>
      <c r="N39" s="556"/>
      <c r="O39" s="556"/>
      <c r="P39" s="556"/>
      <c r="Q39" s="556"/>
      <c r="R39" s="555"/>
      <c r="S39" s="556"/>
      <c r="T39" s="556"/>
      <c r="U39" s="557"/>
      <c r="V39" s="555"/>
      <c r="W39" s="556"/>
      <c r="X39" s="556"/>
      <c r="Y39" s="557"/>
      <c r="Z39" s="556"/>
      <c r="AA39" s="556"/>
      <c r="AB39" s="556"/>
      <c r="AC39" s="557"/>
      <c r="AD39" s="556">
        <f t="shared" ref="AD39:AG40" si="9">+N39+J39+F39+B39</f>
        <v>2795</v>
      </c>
      <c r="AE39" s="556">
        <f t="shared" si="9"/>
        <v>3713</v>
      </c>
      <c r="AF39" s="556">
        <f t="shared" si="9"/>
        <v>3018</v>
      </c>
      <c r="AG39" s="557">
        <f t="shared" si="9"/>
        <v>3131</v>
      </c>
    </row>
    <row r="40" spans="1:33" s="8" customFormat="1" ht="18" customHeight="1">
      <c r="A40" s="1051" t="s">
        <v>1029</v>
      </c>
      <c r="B40" s="548">
        <v>2076</v>
      </c>
      <c r="C40" s="548">
        <v>1623</v>
      </c>
      <c r="D40" s="548">
        <v>297</v>
      </c>
      <c r="E40" s="533">
        <v>0</v>
      </c>
      <c r="F40" s="548">
        <v>466</v>
      </c>
      <c r="G40" s="548">
        <v>625</v>
      </c>
      <c r="H40" s="548">
        <v>351</v>
      </c>
      <c r="I40" s="548">
        <v>305</v>
      </c>
      <c r="J40" s="549"/>
      <c r="K40" s="548"/>
      <c r="L40" s="548"/>
      <c r="M40" s="533"/>
      <c r="N40" s="548"/>
      <c r="O40" s="548"/>
      <c r="P40" s="548"/>
      <c r="Q40" s="548"/>
      <c r="R40" s="549"/>
      <c r="S40" s="548"/>
      <c r="T40" s="548"/>
      <c r="U40" s="533"/>
      <c r="V40" s="549"/>
      <c r="W40" s="548"/>
      <c r="X40" s="548"/>
      <c r="Y40" s="533"/>
      <c r="Z40" s="548"/>
      <c r="AA40" s="548"/>
      <c r="AB40" s="548"/>
      <c r="AC40" s="533"/>
      <c r="AD40" s="548">
        <f t="shared" si="9"/>
        <v>2542</v>
      </c>
      <c r="AE40" s="548">
        <f t="shared" si="9"/>
        <v>2248</v>
      </c>
      <c r="AF40" s="548">
        <f t="shared" si="9"/>
        <v>648</v>
      </c>
      <c r="AG40" s="533">
        <f t="shared" si="9"/>
        <v>305</v>
      </c>
    </row>
    <row r="41" spans="1:33" s="8" customFormat="1" ht="18" customHeight="1">
      <c r="A41" s="1051" t="s">
        <v>1030</v>
      </c>
      <c r="B41" s="548">
        <v>1124</v>
      </c>
      <c r="C41" s="548">
        <v>1129</v>
      </c>
      <c r="D41" s="548">
        <v>1177</v>
      </c>
      <c r="E41" s="533">
        <v>1385</v>
      </c>
      <c r="F41" s="548">
        <v>1510</v>
      </c>
      <c r="G41" s="548">
        <v>1596</v>
      </c>
      <c r="H41" s="548">
        <v>1280</v>
      </c>
      <c r="I41" s="548">
        <v>1490</v>
      </c>
      <c r="J41" s="549"/>
      <c r="K41" s="548"/>
      <c r="L41" s="548"/>
      <c r="M41" s="533"/>
      <c r="N41" s="548"/>
      <c r="O41" s="548"/>
      <c r="P41" s="548"/>
      <c r="Q41" s="548"/>
      <c r="R41" s="549"/>
      <c r="S41" s="548"/>
      <c r="T41" s="548"/>
      <c r="U41" s="533"/>
      <c r="V41" s="549"/>
      <c r="W41" s="548"/>
      <c r="X41" s="548"/>
      <c r="Y41" s="533"/>
      <c r="Z41" s="548"/>
      <c r="AA41" s="548"/>
      <c r="AB41" s="548"/>
      <c r="AC41" s="533"/>
      <c r="AD41" s="548">
        <f t="shared" ref="AD41:AG45" si="10">+N41+J41+F41+B41</f>
        <v>2634</v>
      </c>
      <c r="AE41" s="548">
        <f t="shared" si="10"/>
        <v>2725</v>
      </c>
      <c r="AF41" s="548">
        <f t="shared" si="10"/>
        <v>2457</v>
      </c>
      <c r="AG41" s="533">
        <f t="shared" si="10"/>
        <v>2875</v>
      </c>
    </row>
    <row r="42" spans="1:33" s="8" customFormat="1" ht="18" customHeight="1">
      <c r="A42" s="1051" t="s">
        <v>1031</v>
      </c>
      <c r="B42" s="548">
        <v>756</v>
      </c>
      <c r="C42" s="548">
        <v>612</v>
      </c>
      <c r="D42" s="548">
        <v>436</v>
      </c>
      <c r="E42" s="533">
        <v>599</v>
      </c>
      <c r="F42" s="548">
        <v>788</v>
      </c>
      <c r="G42" s="548">
        <v>931</v>
      </c>
      <c r="H42" s="548">
        <v>867</v>
      </c>
      <c r="I42" s="548">
        <v>826</v>
      </c>
      <c r="J42" s="549"/>
      <c r="K42" s="548"/>
      <c r="L42" s="548"/>
      <c r="M42" s="533"/>
      <c r="N42" s="548"/>
      <c r="O42" s="548"/>
      <c r="P42" s="548"/>
      <c r="Q42" s="548"/>
      <c r="R42" s="549"/>
      <c r="S42" s="548"/>
      <c r="T42" s="548"/>
      <c r="U42" s="533"/>
      <c r="V42" s="549"/>
      <c r="W42" s="548"/>
      <c r="X42" s="548"/>
      <c r="Y42" s="533"/>
      <c r="Z42" s="548"/>
      <c r="AA42" s="548"/>
      <c r="AB42" s="548"/>
      <c r="AC42" s="533"/>
      <c r="AD42" s="548">
        <f t="shared" si="10"/>
        <v>1544</v>
      </c>
      <c r="AE42" s="548">
        <f t="shared" si="10"/>
        <v>1543</v>
      </c>
      <c r="AF42" s="548">
        <f t="shared" si="10"/>
        <v>1303</v>
      </c>
      <c r="AG42" s="533">
        <f t="shared" si="10"/>
        <v>1425</v>
      </c>
    </row>
    <row r="43" spans="1:33" s="8" customFormat="1" ht="18" customHeight="1">
      <c r="A43" s="1051" t="s">
        <v>1032</v>
      </c>
      <c r="B43" s="548">
        <v>337</v>
      </c>
      <c r="C43" s="548">
        <v>475</v>
      </c>
      <c r="D43" s="548">
        <v>558</v>
      </c>
      <c r="E43" s="533">
        <v>665</v>
      </c>
      <c r="F43" s="548"/>
      <c r="G43" s="548"/>
      <c r="H43" s="548"/>
      <c r="I43" s="548"/>
      <c r="J43" s="549"/>
      <c r="K43" s="548"/>
      <c r="L43" s="548"/>
      <c r="M43" s="533"/>
      <c r="N43" s="548"/>
      <c r="O43" s="548"/>
      <c r="P43" s="548"/>
      <c r="Q43" s="548"/>
      <c r="R43" s="549"/>
      <c r="S43" s="548"/>
      <c r="T43" s="548"/>
      <c r="U43" s="533"/>
      <c r="V43" s="549"/>
      <c r="W43" s="548"/>
      <c r="X43" s="548"/>
      <c r="Y43" s="533"/>
      <c r="Z43" s="548"/>
      <c r="AA43" s="548"/>
      <c r="AB43" s="548"/>
      <c r="AC43" s="533"/>
      <c r="AD43" s="548">
        <f t="shared" si="10"/>
        <v>337</v>
      </c>
      <c r="AE43" s="548">
        <f t="shared" si="10"/>
        <v>475</v>
      </c>
      <c r="AF43" s="548">
        <f t="shared" si="10"/>
        <v>558</v>
      </c>
      <c r="AG43" s="533">
        <f t="shared" si="10"/>
        <v>665</v>
      </c>
    </row>
    <row r="44" spans="1:33" s="8" customFormat="1" ht="18" customHeight="1">
      <c r="A44" s="532" t="s">
        <v>1033</v>
      </c>
      <c r="B44" s="548">
        <v>6267</v>
      </c>
      <c r="C44" s="548">
        <v>6938</v>
      </c>
      <c r="D44" s="548">
        <v>6573</v>
      </c>
      <c r="E44" s="533">
        <v>6722</v>
      </c>
      <c r="F44" s="548">
        <v>10252</v>
      </c>
      <c r="G44" s="548">
        <v>8651</v>
      </c>
      <c r="H44" s="548">
        <v>8341</v>
      </c>
      <c r="I44" s="548">
        <v>7819</v>
      </c>
      <c r="J44" s="549"/>
      <c r="K44" s="548"/>
      <c r="L44" s="548"/>
      <c r="M44" s="533"/>
      <c r="N44" s="548"/>
      <c r="O44" s="548"/>
      <c r="P44" s="548"/>
      <c r="Q44" s="548"/>
      <c r="R44" s="549"/>
      <c r="S44" s="548"/>
      <c r="T44" s="548"/>
      <c r="U44" s="533"/>
      <c r="V44" s="549"/>
      <c r="W44" s="548"/>
      <c r="X44" s="548"/>
      <c r="Y44" s="533"/>
      <c r="Z44" s="548"/>
      <c r="AA44" s="548"/>
      <c r="AB44" s="548"/>
      <c r="AC44" s="533"/>
      <c r="AD44" s="548">
        <f t="shared" si="10"/>
        <v>16519</v>
      </c>
      <c r="AE44" s="548">
        <f t="shared" si="10"/>
        <v>15589</v>
      </c>
      <c r="AF44" s="548">
        <f t="shared" si="10"/>
        <v>14914</v>
      </c>
      <c r="AG44" s="533">
        <f t="shared" si="10"/>
        <v>14541</v>
      </c>
    </row>
    <row r="45" spans="1:33" ht="18" customHeight="1">
      <c r="A45" s="532" t="s">
        <v>1034</v>
      </c>
      <c r="B45" s="370">
        <v>1425</v>
      </c>
      <c r="C45" s="370">
        <v>694</v>
      </c>
      <c r="D45" s="370">
        <v>30</v>
      </c>
      <c r="E45" s="492">
        <v>773</v>
      </c>
      <c r="F45" s="370"/>
      <c r="G45" s="370"/>
      <c r="H45" s="370"/>
      <c r="I45" s="370"/>
      <c r="J45" s="369"/>
      <c r="K45" s="370"/>
      <c r="L45" s="370"/>
      <c r="M45" s="492"/>
      <c r="N45" s="370"/>
      <c r="O45" s="370"/>
      <c r="P45" s="370"/>
      <c r="Q45" s="370"/>
      <c r="R45" s="369"/>
      <c r="S45" s="370"/>
      <c r="T45" s="370"/>
      <c r="U45" s="492"/>
      <c r="V45" s="369"/>
      <c r="W45" s="370"/>
      <c r="X45" s="370"/>
      <c r="Y45" s="492"/>
      <c r="Z45" s="370"/>
      <c r="AA45" s="370"/>
      <c r="AB45" s="370"/>
      <c r="AC45" s="533"/>
      <c r="AD45" s="548">
        <f t="shared" si="10"/>
        <v>1425</v>
      </c>
      <c r="AE45" s="548">
        <f t="shared" si="10"/>
        <v>694</v>
      </c>
      <c r="AF45" s="548">
        <f t="shared" si="10"/>
        <v>30</v>
      </c>
      <c r="AG45" s="492">
        <f t="shared" si="10"/>
        <v>773</v>
      </c>
    </row>
    <row r="46" spans="1:33" s="8" customFormat="1" ht="18" customHeight="1">
      <c r="A46" s="532" t="s">
        <v>1035</v>
      </c>
      <c r="B46" s="548">
        <v>2860</v>
      </c>
      <c r="C46" s="548">
        <v>3688</v>
      </c>
      <c r="D46" s="548">
        <v>2162</v>
      </c>
      <c r="E46" s="533">
        <v>1724</v>
      </c>
      <c r="F46" s="548"/>
      <c r="G46" s="548"/>
      <c r="H46" s="548"/>
      <c r="I46" s="548"/>
      <c r="J46" s="549"/>
      <c r="K46" s="548"/>
      <c r="L46" s="548"/>
      <c r="M46" s="533"/>
      <c r="N46" s="548"/>
      <c r="O46" s="548"/>
      <c r="P46" s="548"/>
      <c r="Q46" s="548"/>
      <c r="R46" s="549"/>
      <c r="S46" s="548"/>
      <c r="T46" s="548"/>
      <c r="U46" s="533"/>
      <c r="V46" s="549"/>
      <c r="W46" s="548"/>
      <c r="X46" s="548"/>
      <c r="Y46" s="533"/>
      <c r="Z46" s="548"/>
      <c r="AA46" s="548"/>
      <c r="AB46" s="548"/>
      <c r="AC46" s="533"/>
      <c r="AD46" s="548">
        <f t="shared" ref="AD46:AG47" si="11">+N46+J46+F46+B46</f>
        <v>2860</v>
      </c>
      <c r="AE46" s="548">
        <f t="shared" si="11"/>
        <v>3688</v>
      </c>
      <c r="AF46" s="548">
        <f t="shared" si="11"/>
        <v>2162</v>
      </c>
      <c r="AG46" s="533">
        <f t="shared" si="11"/>
        <v>1724</v>
      </c>
    </row>
    <row r="47" spans="1:33" s="8" customFormat="1" ht="18" customHeight="1">
      <c r="A47" s="1052" t="s">
        <v>1036</v>
      </c>
      <c r="B47" s="551">
        <v>3600</v>
      </c>
      <c r="C47" s="551">
        <v>3486</v>
      </c>
      <c r="D47" s="551">
        <v>3734</v>
      </c>
      <c r="E47" s="552">
        <v>3443</v>
      </c>
      <c r="F47" s="551">
        <v>1053</v>
      </c>
      <c r="G47" s="551">
        <v>1227</v>
      </c>
      <c r="H47" s="551">
        <v>1102</v>
      </c>
      <c r="I47" s="551">
        <v>1066</v>
      </c>
      <c r="J47" s="553"/>
      <c r="K47" s="551"/>
      <c r="L47" s="551"/>
      <c r="M47" s="552"/>
      <c r="N47" s="551">
        <v>58</v>
      </c>
      <c r="O47" s="551">
        <v>29</v>
      </c>
      <c r="P47" s="551">
        <v>21</v>
      </c>
      <c r="Q47" s="551">
        <v>2</v>
      </c>
      <c r="R47" s="553">
        <v>289</v>
      </c>
      <c r="S47" s="551">
        <v>206</v>
      </c>
      <c r="T47" s="551"/>
      <c r="U47" s="552">
        <v>255</v>
      </c>
      <c r="V47" s="553"/>
      <c r="W47" s="551"/>
      <c r="X47" s="551"/>
      <c r="Y47" s="552"/>
      <c r="Z47" s="551"/>
      <c r="AA47" s="551"/>
      <c r="AB47" s="551"/>
      <c r="AC47" s="552"/>
      <c r="AD47" s="551">
        <f t="shared" si="11"/>
        <v>4711</v>
      </c>
      <c r="AE47" s="551">
        <f>+O47+K47+G47+C47+S47</f>
        <v>4948</v>
      </c>
      <c r="AF47" s="551">
        <f>+P47+L47+H47+D47+T47</f>
        <v>4857</v>
      </c>
      <c r="AG47" s="552">
        <f>+Q47+M47+I47+E47+U47</f>
        <v>4766</v>
      </c>
    </row>
    <row r="48" spans="1:33">
      <c r="AG48" s="208">
        <f>+Q48+M48+I48+E48+U48</f>
        <v>0</v>
      </c>
    </row>
  </sheetData>
  <mergeCells count="11">
    <mergeCell ref="Z7:AC7"/>
    <mergeCell ref="A1:AG1"/>
    <mergeCell ref="A2:AG2"/>
    <mergeCell ref="A3:AG3"/>
    <mergeCell ref="B7:E7"/>
    <mergeCell ref="F7:I7"/>
    <mergeCell ref="J7:M7"/>
    <mergeCell ref="N7:Q7"/>
    <mergeCell ref="AD7:AG7"/>
    <mergeCell ref="V7:Y7"/>
    <mergeCell ref="R7:U7"/>
  </mergeCells>
  <phoneticPr fontId="19" type="noConversion"/>
  <pageMargins left="0.39370078740157483" right="0.59055118110236227" top="0.39370078740157483" bottom="0.39370078740157483" header="0" footer="0"/>
  <pageSetup paperSize="5" scale="73" orientation="landscape" horizontalDpi="300" verticalDpi="3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4"/>
  <sheetViews>
    <sheetView topLeftCell="F31" zoomScale="75" workbookViewId="0">
      <selection activeCell="AE47" sqref="AE47"/>
    </sheetView>
  </sheetViews>
  <sheetFormatPr baseColWidth="10" defaultColWidth="27" defaultRowHeight="12"/>
  <cols>
    <col min="1" max="1" width="27" style="208" customWidth="1"/>
    <col min="2" max="62" width="7.140625" style="208" customWidth="1"/>
    <col min="63" max="16384" width="27" style="208"/>
  </cols>
  <sheetData>
    <row r="1" spans="1:33">
      <c r="A1" s="1393" t="s">
        <v>996</v>
      </c>
      <c r="B1" s="1393"/>
      <c r="C1" s="1393"/>
      <c r="D1" s="1393"/>
      <c r="E1" s="1393"/>
      <c r="F1" s="1393"/>
      <c r="G1" s="1393"/>
      <c r="H1" s="1393"/>
      <c r="I1" s="1393"/>
      <c r="J1" s="1393"/>
      <c r="K1" s="1393"/>
      <c r="L1" s="1393"/>
      <c r="M1" s="1393"/>
      <c r="N1" s="1393"/>
      <c r="O1" s="1393"/>
      <c r="P1" s="1393"/>
      <c r="Q1" s="1393"/>
      <c r="R1" s="1393"/>
      <c r="S1" s="1393"/>
      <c r="T1" s="1393"/>
      <c r="U1" s="1393"/>
      <c r="V1" s="1393"/>
      <c r="W1" s="1393"/>
      <c r="X1" s="1393"/>
      <c r="Y1" s="1393"/>
      <c r="Z1" s="1393"/>
      <c r="AA1" s="1393"/>
      <c r="AB1" s="1393"/>
      <c r="AC1" s="1393"/>
      <c r="AD1" s="1393"/>
      <c r="AE1" s="1393"/>
      <c r="AF1" s="1393"/>
      <c r="AG1" s="1393"/>
    </row>
    <row r="2" spans="1:33">
      <c r="A2" s="1393" t="s">
        <v>1041</v>
      </c>
      <c r="B2" s="1393"/>
      <c r="C2" s="1393"/>
      <c r="D2" s="1393"/>
      <c r="E2" s="1393"/>
      <c r="F2" s="1393"/>
      <c r="G2" s="1393"/>
      <c r="H2" s="1393"/>
      <c r="I2" s="1393"/>
      <c r="J2" s="1393"/>
      <c r="K2" s="1393"/>
      <c r="L2" s="1393"/>
      <c r="M2" s="1393"/>
      <c r="N2" s="1393"/>
      <c r="O2" s="1393"/>
      <c r="P2" s="1393"/>
      <c r="Q2" s="1393"/>
      <c r="R2" s="1393"/>
      <c r="S2" s="1393"/>
      <c r="T2" s="1393"/>
      <c r="U2" s="1393"/>
      <c r="V2" s="1393"/>
      <c r="W2" s="1393"/>
      <c r="X2" s="1393"/>
      <c r="Y2" s="1393"/>
      <c r="Z2" s="1393"/>
      <c r="AA2" s="1393"/>
      <c r="AB2" s="1393"/>
      <c r="AC2" s="1393"/>
      <c r="AD2" s="1393"/>
      <c r="AE2" s="1393"/>
      <c r="AF2" s="1393"/>
      <c r="AG2" s="1393"/>
    </row>
    <row r="3" spans="1:33">
      <c r="A3" s="1393" t="s">
        <v>910</v>
      </c>
      <c r="B3" s="1393"/>
      <c r="C3" s="1393"/>
      <c r="D3" s="1393"/>
      <c r="E3" s="1393"/>
      <c r="F3" s="1393"/>
      <c r="G3" s="1393"/>
      <c r="H3" s="1393"/>
      <c r="I3" s="1393"/>
      <c r="J3" s="1393"/>
      <c r="K3" s="1393"/>
      <c r="L3" s="1393"/>
      <c r="M3" s="1393"/>
      <c r="N3" s="1393"/>
      <c r="O3" s="1393"/>
      <c r="P3" s="1393"/>
      <c r="Q3" s="1393"/>
      <c r="R3" s="1393"/>
      <c r="S3" s="1393"/>
      <c r="T3" s="1393"/>
      <c r="U3" s="1393"/>
      <c r="V3" s="1393"/>
      <c r="W3" s="1393"/>
      <c r="X3" s="1393"/>
      <c r="Y3" s="1393"/>
      <c r="Z3" s="1393"/>
      <c r="AA3" s="1393"/>
      <c r="AB3" s="1393"/>
      <c r="AC3" s="1393"/>
      <c r="AD3" s="1393"/>
      <c r="AE3" s="1393"/>
      <c r="AF3" s="1393"/>
      <c r="AG3" s="1393"/>
    </row>
    <row r="6" spans="1:33">
      <c r="A6" s="399" t="s">
        <v>998</v>
      </c>
    </row>
    <row r="7" spans="1:33" ht="18" customHeight="1">
      <c r="A7" s="339" t="s">
        <v>999</v>
      </c>
      <c r="B7" s="1419" t="s">
        <v>1000</v>
      </c>
      <c r="C7" s="1420"/>
      <c r="D7" s="1420"/>
      <c r="E7" s="1421"/>
      <c r="F7" s="1420" t="s">
        <v>979</v>
      </c>
      <c r="G7" s="1420"/>
      <c r="H7" s="1420"/>
      <c r="I7" s="1421"/>
      <c r="J7" s="1419" t="s">
        <v>1001</v>
      </c>
      <c r="K7" s="1420"/>
      <c r="L7" s="1420"/>
      <c r="M7" s="1421"/>
      <c r="N7" s="1420" t="s">
        <v>966</v>
      </c>
      <c r="O7" s="1420"/>
      <c r="P7" s="1420"/>
      <c r="Q7" s="1421"/>
      <c r="R7" s="1419" t="s">
        <v>1288</v>
      </c>
      <c r="S7" s="1420"/>
      <c r="T7" s="1420"/>
      <c r="U7" s="1421"/>
      <c r="V7" s="1388" t="s">
        <v>1040</v>
      </c>
      <c r="W7" s="1389"/>
      <c r="X7" s="1389"/>
      <c r="Y7" s="1390"/>
      <c r="Z7" s="1388" t="str">
        <f>+'51'!Z7:AC7</f>
        <v>CONS. LOS ANDES N°1 MUNICIPAL</v>
      </c>
      <c r="AA7" s="1389"/>
      <c r="AB7" s="1389"/>
      <c r="AC7" s="1390"/>
      <c r="AD7" s="1420" t="s">
        <v>656</v>
      </c>
      <c r="AE7" s="1420"/>
      <c r="AF7" s="1420"/>
      <c r="AG7" s="1421"/>
    </row>
    <row r="8" spans="1:33" ht="18" customHeight="1">
      <c r="A8" s="15"/>
      <c r="B8" s="537">
        <f>+'51'!B8</f>
        <v>2012</v>
      </c>
      <c r="C8" s="301">
        <f>+'51'!C8</f>
        <v>2013</v>
      </c>
      <c r="D8" s="301">
        <f>+'51'!D8</f>
        <v>2014</v>
      </c>
      <c r="E8" s="538">
        <f>+'51'!E8</f>
        <v>2015</v>
      </c>
      <c r="F8" s="539">
        <f>+'51'!F8</f>
        <v>2012</v>
      </c>
      <c r="G8" s="539">
        <f>+'51'!G8</f>
        <v>2013</v>
      </c>
      <c r="H8" s="539">
        <f>+'51'!H8</f>
        <v>2014</v>
      </c>
      <c r="I8" s="540">
        <f>+'51'!I8</f>
        <v>2015</v>
      </c>
      <c r="J8" s="563">
        <f>+'51'!J8</f>
        <v>2012</v>
      </c>
      <c r="K8" s="541">
        <f>+'51'!K8</f>
        <v>2013</v>
      </c>
      <c r="L8" s="541">
        <f>+'51'!L8</f>
        <v>2014</v>
      </c>
      <c r="M8" s="564">
        <f>+'51'!M8</f>
        <v>2015</v>
      </c>
      <c r="N8" s="1207">
        <f>+'51'!N8</f>
        <v>2012</v>
      </c>
      <c r="O8" s="1208">
        <f>+'51'!O8</f>
        <v>2013</v>
      </c>
      <c r="P8" s="1208">
        <f>+'51'!P8</f>
        <v>2014</v>
      </c>
      <c r="Q8" s="1209">
        <f>+'51'!Q8</f>
        <v>2015</v>
      </c>
      <c r="R8" s="364">
        <f>+N8</f>
        <v>2012</v>
      </c>
      <c r="S8" s="365">
        <f>+O8</f>
        <v>2013</v>
      </c>
      <c r="T8" s="365">
        <f>+P8</f>
        <v>2014</v>
      </c>
      <c r="U8" s="366">
        <f>+Q8</f>
        <v>2015</v>
      </c>
      <c r="V8" s="481">
        <f>+'51'!V8</f>
        <v>2012</v>
      </c>
      <c r="W8" s="531">
        <f>+'51'!W8</f>
        <v>2013</v>
      </c>
      <c r="X8" s="531">
        <f>+'51'!X8</f>
        <v>2014</v>
      </c>
      <c r="Y8" s="536">
        <f>+'51'!Y8</f>
        <v>2015</v>
      </c>
      <c r="Z8" s="481">
        <f>+'51'!Z8</f>
        <v>2012</v>
      </c>
      <c r="AA8" s="531">
        <f>+'51'!AA8</f>
        <v>2013</v>
      </c>
      <c r="AB8" s="531">
        <f>+'51'!AB8</f>
        <v>2014</v>
      </c>
      <c r="AC8" s="536">
        <f>+'51'!AC8</f>
        <v>2015</v>
      </c>
      <c r="AD8" s="541">
        <f>+'51'!AD8</f>
        <v>2012</v>
      </c>
      <c r="AE8" s="541">
        <f>+'51'!AE8</f>
        <v>2013</v>
      </c>
      <c r="AF8" s="541">
        <f>+'51'!AF8</f>
        <v>2014</v>
      </c>
      <c r="AG8" s="564">
        <f>+'51'!AG8</f>
        <v>2015</v>
      </c>
    </row>
    <row r="9" spans="1:33" ht="18" customHeight="1">
      <c r="A9" s="339" t="s">
        <v>1002</v>
      </c>
      <c r="B9" s="556"/>
      <c r="C9" s="556"/>
      <c r="D9" s="556"/>
      <c r="E9" s="557"/>
      <c r="F9" s="555"/>
      <c r="G9" s="556"/>
      <c r="H9" s="556"/>
      <c r="I9" s="557"/>
      <c r="J9" s="556"/>
      <c r="K9" s="556"/>
      <c r="L9" s="556"/>
      <c r="M9" s="557"/>
      <c r="N9" s="555"/>
      <c r="O9" s="556"/>
      <c r="P9" s="556"/>
      <c r="Q9" s="557"/>
      <c r="R9" s="548"/>
      <c r="S9" s="370"/>
      <c r="T9" s="370"/>
      <c r="U9" s="492"/>
      <c r="V9" s="549"/>
      <c r="W9" s="548"/>
      <c r="X9" s="548"/>
      <c r="Y9" s="533"/>
      <c r="Z9" s="548"/>
      <c r="AA9" s="548"/>
      <c r="AB9" s="548"/>
      <c r="AC9" s="533"/>
      <c r="AD9" s="548">
        <f t="shared" ref="AD9:AG10" si="0">+N9+J9+F9+B9+V9+Z9</f>
        <v>0</v>
      </c>
      <c r="AE9" s="548">
        <f t="shared" si="0"/>
        <v>0</v>
      </c>
      <c r="AF9" s="548">
        <f t="shared" si="0"/>
        <v>0</v>
      </c>
      <c r="AG9" s="533">
        <f t="shared" si="0"/>
        <v>0</v>
      </c>
    </row>
    <row r="10" spans="1:33" ht="18" customHeight="1">
      <c r="A10" s="94" t="s">
        <v>1003</v>
      </c>
      <c r="B10" s="548">
        <v>5703</v>
      </c>
      <c r="C10" s="548">
        <v>6529</v>
      </c>
      <c r="D10" s="548">
        <v>7759</v>
      </c>
      <c r="E10" s="533">
        <v>7959</v>
      </c>
      <c r="F10" s="548">
        <v>5080</v>
      </c>
      <c r="G10" s="548">
        <v>4617</v>
      </c>
      <c r="H10" s="548">
        <v>4287</v>
      </c>
      <c r="I10" s="533">
        <v>4261</v>
      </c>
      <c r="J10" s="548"/>
      <c r="K10" s="548"/>
      <c r="L10" s="548"/>
      <c r="M10" s="533"/>
      <c r="N10" s="549"/>
      <c r="O10" s="548"/>
      <c r="P10" s="548"/>
      <c r="Q10" s="533"/>
      <c r="R10" s="548"/>
      <c r="S10" s="370"/>
      <c r="T10" s="370"/>
      <c r="U10" s="492"/>
      <c r="V10" s="549"/>
      <c r="W10" s="548"/>
      <c r="X10" s="548"/>
      <c r="Y10" s="533"/>
      <c r="Z10" s="548"/>
      <c r="AA10" s="548"/>
      <c r="AB10" s="548"/>
      <c r="AC10" s="533"/>
      <c r="AD10" s="548">
        <f t="shared" si="0"/>
        <v>10783</v>
      </c>
      <c r="AE10" s="548">
        <f t="shared" si="0"/>
        <v>11146</v>
      </c>
      <c r="AF10" s="548">
        <f t="shared" si="0"/>
        <v>12046</v>
      </c>
      <c r="AG10" s="533">
        <f t="shared" si="0"/>
        <v>12220</v>
      </c>
    </row>
    <row r="11" spans="1:33" ht="18" customHeight="1">
      <c r="A11" s="94" t="s">
        <v>1004</v>
      </c>
      <c r="B11" s="548"/>
      <c r="C11" s="548"/>
      <c r="D11" s="548"/>
      <c r="E11" s="533"/>
      <c r="F11" s="548"/>
      <c r="G11" s="548"/>
      <c r="H11" s="548"/>
      <c r="I11" s="533"/>
      <c r="J11" s="548"/>
      <c r="K11" s="548"/>
      <c r="L11" s="548"/>
      <c r="M11" s="533"/>
      <c r="N11" s="549"/>
      <c r="O11" s="548"/>
      <c r="P11" s="548"/>
      <c r="Q11" s="533"/>
      <c r="R11" s="548"/>
      <c r="S11" s="370"/>
      <c r="T11" s="370"/>
      <c r="U11" s="492"/>
      <c r="V11" s="549"/>
      <c r="W11" s="548"/>
      <c r="X11" s="548"/>
      <c r="Y11" s="533"/>
      <c r="Z11" s="548"/>
      <c r="AA11" s="548"/>
      <c r="AB11" s="548"/>
      <c r="AC11" s="533"/>
      <c r="AD11" s="548">
        <f t="shared" ref="AD11:AD35" si="1">+N11+J11+F11+B11+V11+Z11</f>
        <v>0</v>
      </c>
      <c r="AE11" s="548">
        <f t="shared" ref="AE11:AE35" si="2">+O11+K11+G11+C11+W11+AA11</f>
        <v>0</v>
      </c>
      <c r="AF11" s="548">
        <f t="shared" ref="AF11:AF27" si="3">+P11+L11+H11+D11+X11+AB11</f>
        <v>0</v>
      </c>
      <c r="AG11" s="533">
        <f t="shared" ref="AG11:AG27" si="4">+Q11+M11+I11+E11+Y11+AC11</f>
        <v>0</v>
      </c>
    </row>
    <row r="12" spans="1:33" ht="18" customHeight="1">
      <c r="A12" s="94" t="s">
        <v>1005</v>
      </c>
      <c r="B12" s="548"/>
      <c r="C12" s="548"/>
      <c r="D12" s="548"/>
      <c r="E12" s="533"/>
      <c r="F12" s="548">
        <v>919</v>
      </c>
      <c r="G12" s="548">
        <v>849</v>
      </c>
      <c r="H12" s="548">
        <v>554</v>
      </c>
      <c r="I12" s="533">
        <v>350</v>
      </c>
      <c r="J12" s="548"/>
      <c r="K12" s="548"/>
      <c r="L12" s="548"/>
      <c r="M12" s="533"/>
      <c r="N12" s="549"/>
      <c r="O12" s="548"/>
      <c r="P12" s="548"/>
      <c r="Q12" s="533"/>
      <c r="R12" s="548"/>
      <c r="S12" s="370"/>
      <c r="T12" s="370"/>
      <c r="U12" s="492"/>
      <c r="V12" s="549"/>
      <c r="W12" s="548"/>
      <c r="X12" s="548"/>
      <c r="Y12" s="533"/>
      <c r="Z12" s="548"/>
      <c r="AA12" s="548"/>
      <c r="AB12" s="548"/>
      <c r="AC12" s="533"/>
      <c r="AD12" s="548">
        <f t="shared" si="1"/>
        <v>919</v>
      </c>
      <c r="AE12" s="548">
        <f t="shared" si="2"/>
        <v>849</v>
      </c>
      <c r="AF12" s="548">
        <f t="shared" si="3"/>
        <v>554</v>
      </c>
      <c r="AG12" s="533">
        <f t="shared" si="4"/>
        <v>350</v>
      </c>
    </row>
    <row r="13" spans="1:33" ht="18" customHeight="1">
      <c r="A13" s="94" t="s">
        <v>1038</v>
      </c>
      <c r="B13" s="548">
        <v>1551</v>
      </c>
      <c r="C13" s="548">
        <v>1761</v>
      </c>
      <c r="D13" s="548">
        <v>1667</v>
      </c>
      <c r="E13" s="533">
        <v>1585</v>
      </c>
      <c r="F13" s="548">
        <v>1153</v>
      </c>
      <c r="G13" s="548">
        <v>1039</v>
      </c>
      <c r="H13" s="548">
        <v>1147</v>
      </c>
      <c r="I13" s="533">
        <v>1068</v>
      </c>
      <c r="J13" s="548"/>
      <c r="K13" s="548"/>
      <c r="L13" s="548"/>
      <c r="M13" s="533"/>
      <c r="N13" s="549"/>
      <c r="O13" s="548"/>
      <c r="P13" s="548"/>
      <c r="Q13" s="533"/>
      <c r="R13" s="548"/>
      <c r="S13" s="370"/>
      <c r="T13" s="370"/>
      <c r="U13" s="492"/>
      <c r="V13" s="549"/>
      <c r="W13" s="548"/>
      <c r="X13" s="548"/>
      <c r="Y13" s="533"/>
      <c r="Z13" s="548"/>
      <c r="AA13" s="548"/>
      <c r="AB13" s="548"/>
      <c r="AC13" s="533"/>
      <c r="AD13" s="548">
        <f t="shared" si="1"/>
        <v>2704</v>
      </c>
      <c r="AE13" s="548">
        <f t="shared" si="2"/>
        <v>2800</v>
      </c>
      <c r="AF13" s="548">
        <f t="shared" si="3"/>
        <v>2814</v>
      </c>
      <c r="AG13" s="533">
        <f t="shared" si="4"/>
        <v>2653</v>
      </c>
    </row>
    <row r="14" spans="1:33" ht="18" customHeight="1">
      <c r="A14" s="532" t="s">
        <v>1007</v>
      </c>
      <c r="B14" s="548"/>
      <c r="C14" s="548"/>
      <c r="D14" s="548"/>
      <c r="E14" s="533"/>
      <c r="F14" s="548">
        <v>188</v>
      </c>
      <c r="G14" s="548">
        <v>116</v>
      </c>
      <c r="H14" s="548">
        <v>84</v>
      </c>
      <c r="I14" s="533">
        <v>184</v>
      </c>
      <c r="J14" s="548"/>
      <c r="K14" s="548"/>
      <c r="L14" s="548"/>
      <c r="M14" s="533"/>
      <c r="N14" s="549"/>
      <c r="O14" s="548"/>
      <c r="P14" s="548"/>
      <c r="Q14" s="533"/>
      <c r="R14" s="548"/>
      <c r="S14" s="370"/>
      <c r="T14" s="370"/>
      <c r="U14" s="492"/>
      <c r="V14" s="549"/>
      <c r="W14" s="548"/>
      <c r="X14" s="548"/>
      <c r="Y14" s="533"/>
      <c r="Z14" s="548"/>
      <c r="AA14" s="548"/>
      <c r="AB14" s="548"/>
      <c r="AC14" s="533"/>
      <c r="AD14" s="548">
        <f t="shared" si="1"/>
        <v>188</v>
      </c>
      <c r="AE14" s="548">
        <f t="shared" si="2"/>
        <v>116</v>
      </c>
      <c r="AF14" s="548">
        <f t="shared" si="3"/>
        <v>84</v>
      </c>
      <c r="AG14" s="533">
        <f t="shared" si="4"/>
        <v>184</v>
      </c>
    </row>
    <row r="15" spans="1:33" ht="18" customHeight="1">
      <c r="A15" s="532" t="s">
        <v>1008</v>
      </c>
      <c r="B15" s="548">
        <v>193</v>
      </c>
      <c r="C15" s="548">
        <v>207</v>
      </c>
      <c r="D15" s="548">
        <v>259</v>
      </c>
      <c r="E15" s="533">
        <v>248</v>
      </c>
      <c r="F15" s="548">
        <v>216</v>
      </c>
      <c r="G15" s="548">
        <v>194</v>
      </c>
      <c r="H15" s="548">
        <v>186</v>
      </c>
      <c r="I15" s="533">
        <v>182</v>
      </c>
      <c r="J15" s="548"/>
      <c r="K15" s="548"/>
      <c r="L15" s="548"/>
      <c r="M15" s="533"/>
      <c r="N15" s="549"/>
      <c r="O15" s="548"/>
      <c r="P15" s="548"/>
      <c r="Q15" s="533"/>
      <c r="R15" s="548"/>
      <c r="S15" s="370"/>
      <c r="T15" s="370"/>
      <c r="U15" s="492"/>
      <c r="V15" s="549"/>
      <c r="W15" s="548"/>
      <c r="X15" s="548"/>
      <c r="Y15" s="533"/>
      <c r="Z15" s="548"/>
      <c r="AA15" s="548"/>
      <c r="AB15" s="548"/>
      <c r="AC15" s="533"/>
      <c r="AD15" s="548">
        <f t="shared" si="1"/>
        <v>409</v>
      </c>
      <c r="AE15" s="548">
        <f t="shared" si="2"/>
        <v>401</v>
      </c>
      <c r="AF15" s="548">
        <f t="shared" si="3"/>
        <v>445</v>
      </c>
      <c r="AG15" s="533">
        <f t="shared" si="4"/>
        <v>430</v>
      </c>
    </row>
    <row r="16" spans="1:33" ht="18" customHeight="1">
      <c r="A16" s="532" t="s">
        <v>1009</v>
      </c>
      <c r="B16" s="548">
        <v>301</v>
      </c>
      <c r="C16" s="548">
        <v>295</v>
      </c>
      <c r="D16" s="548">
        <v>366</v>
      </c>
      <c r="E16" s="533">
        <v>189</v>
      </c>
      <c r="F16" s="548"/>
      <c r="G16" s="548"/>
      <c r="H16" s="548"/>
      <c r="I16" s="533"/>
      <c r="J16" s="548"/>
      <c r="K16" s="548"/>
      <c r="L16" s="548"/>
      <c r="M16" s="533"/>
      <c r="N16" s="549"/>
      <c r="O16" s="548"/>
      <c r="P16" s="548"/>
      <c r="Q16" s="533"/>
      <c r="R16" s="548"/>
      <c r="S16" s="370"/>
      <c r="T16" s="370"/>
      <c r="U16" s="492"/>
      <c r="V16" s="549"/>
      <c r="W16" s="548"/>
      <c r="X16" s="548"/>
      <c r="Y16" s="533"/>
      <c r="Z16" s="548"/>
      <c r="AA16" s="548"/>
      <c r="AB16" s="548"/>
      <c r="AC16" s="533"/>
      <c r="AD16" s="548">
        <f t="shared" si="1"/>
        <v>301</v>
      </c>
      <c r="AE16" s="548">
        <f t="shared" si="2"/>
        <v>295</v>
      </c>
      <c r="AF16" s="548">
        <f t="shared" si="3"/>
        <v>366</v>
      </c>
      <c r="AG16" s="533">
        <f t="shared" si="4"/>
        <v>189</v>
      </c>
    </row>
    <row r="17" spans="1:33" ht="18" customHeight="1">
      <c r="A17" s="532" t="s">
        <v>1010</v>
      </c>
      <c r="B17" s="548">
        <v>534</v>
      </c>
      <c r="C17" s="548">
        <v>625</v>
      </c>
      <c r="D17" s="548">
        <v>685</v>
      </c>
      <c r="E17" s="533">
        <v>451</v>
      </c>
      <c r="F17" s="548"/>
      <c r="G17" s="548"/>
      <c r="H17" s="548"/>
      <c r="I17" s="533"/>
      <c r="J17" s="548"/>
      <c r="K17" s="548"/>
      <c r="L17" s="548"/>
      <c r="M17" s="533"/>
      <c r="N17" s="549"/>
      <c r="O17" s="548"/>
      <c r="P17" s="548"/>
      <c r="Q17" s="533"/>
      <c r="R17" s="548"/>
      <c r="S17" s="370"/>
      <c r="T17" s="370"/>
      <c r="U17" s="492"/>
      <c r="V17" s="549"/>
      <c r="W17" s="548"/>
      <c r="X17" s="548"/>
      <c r="Y17" s="533"/>
      <c r="Z17" s="548"/>
      <c r="AA17" s="548"/>
      <c r="AB17" s="548"/>
      <c r="AC17" s="533"/>
      <c r="AD17" s="548">
        <f t="shared" si="1"/>
        <v>534</v>
      </c>
      <c r="AE17" s="548">
        <f t="shared" si="2"/>
        <v>625</v>
      </c>
      <c r="AF17" s="548">
        <f t="shared" si="3"/>
        <v>685</v>
      </c>
      <c r="AG17" s="533">
        <f t="shared" si="4"/>
        <v>451</v>
      </c>
    </row>
    <row r="18" spans="1:33" ht="18" customHeight="1">
      <c r="A18" s="532" t="s">
        <v>1011</v>
      </c>
      <c r="B18" s="548"/>
      <c r="C18" s="548"/>
      <c r="D18" s="548"/>
      <c r="E18" s="533"/>
      <c r="F18" s="548">
        <v>809</v>
      </c>
      <c r="G18" s="548">
        <v>670</v>
      </c>
      <c r="H18" s="548">
        <v>671</v>
      </c>
      <c r="I18" s="533">
        <v>706</v>
      </c>
      <c r="J18" s="548"/>
      <c r="K18" s="548"/>
      <c r="L18" s="548"/>
      <c r="M18" s="533"/>
      <c r="N18" s="549"/>
      <c r="O18" s="548"/>
      <c r="P18" s="548"/>
      <c r="Q18" s="533"/>
      <c r="R18" s="548"/>
      <c r="S18" s="370"/>
      <c r="T18" s="370"/>
      <c r="U18" s="492"/>
      <c r="V18" s="549"/>
      <c r="W18" s="548"/>
      <c r="X18" s="548"/>
      <c r="Y18" s="533"/>
      <c r="Z18" s="548"/>
      <c r="AA18" s="548"/>
      <c r="AB18" s="548"/>
      <c r="AC18" s="533"/>
      <c r="AD18" s="548">
        <f t="shared" si="1"/>
        <v>809</v>
      </c>
      <c r="AE18" s="548">
        <f t="shared" si="2"/>
        <v>670</v>
      </c>
      <c r="AF18" s="548">
        <f t="shared" si="3"/>
        <v>671</v>
      </c>
      <c r="AG18" s="533">
        <f t="shared" si="4"/>
        <v>706</v>
      </c>
    </row>
    <row r="19" spans="1:33" ht="18" customHeight="1">
      <c r="A19" s="94" t="s">
        <v>1012</v>
      </c>
      <c r="B19" s="548"/>
      <c r="C19" s="548"/>
      <c r="D19" s="548"/>
      <c r="E19" s="533"/>
      <c r="F19" s="548">
        <v>901</v>
      </c>
      <c r="G19" s="548">
        <v>1021</v>
      </c>
      <c r="H19" s="548">
        <v>996</v>
      </c>
      <c r="I19" s="533">
        <v>941</v>
      </c>
      <c r="J19" s="548"/>
      <c r="K19" s="548"/>
      <c r="L19" s="548"/>
      <c r="M19" s="533"/>
      <c r="N19" s="549"/>
      <c r="O19" s="548"/>
      <c r="P19" s="548"/>
      <c r="Q19" s="533"/>
      <c r="R19" s="548"/>
      <c r="S19" s="370"/>
      <c r="T19" s="370"/>
      <c r="U19" s="492"/>
      <c r="V19" s="549"/>
      <c r="W19" s="548"/>
      <c r="X19" s="548"/>
      <c r="Y19" s="533"/>
      <c r="Z19" s="548"/>
      <c r="AA19" s="548"/>
      <c r="AB19" s="548"/>
      <c r="AC19" s="533"/>
      <c r="AD19" s="548">
        <f t="shared" si="1"/>
        <v>901</v>
      </c>
      <c r="AE19" s="548">
        <f t="shared" si="2"/>
        <v>1021</v>
      </c>
      <c r="AF19" s="548">
        <f t="shared" si="3"/>
        <v>996</v>
      </c>
      <c r="AG19" s="533">
        <f t="shared" si="4"/>
        <v>941</v>
      </c>
    </row>
    <row r="20" spans="1:33" ht="18" customHeight="1">
      <c r="A20" s="94" t="s">
        <v>1013</v>
      </c>
      <c r="B20" s="548"/>
      <c r="C20" s="548"/>
      <c r="D20" s="548"/>
      <c r="E20" s="533"/>
      <c r="F20" s="548">
        <v>7</v>
      </c>
      <c r="G20" s="548">
        <v>15</v>
      </c>
      <c r="H20" s="548">
        <v>10</v>
      </c>
      <c r="I20" s="533">
        <v>17</v>
      </c>
      <c r="J20" s="548"/>
      <c r="K20" s="548"/>
      <c r="L20" s="548"/>
      <c r="M20" s="533"/>
      <c r="N20" s="549"/>
      <c r="O20" s="548"/>
      <c r="P20" s="548"/>
      <c r="Q20" s="533"/>
      <c r="R20" s="548"/>
      <c r="S20" s="370"/>
      <c r="T20" s="370"/>
      <c r="U20" s="492"/>
      <c r="V20" s="549"/>
      <c r="W20" s="548"/>
      <c r="X20" s="548"/>
      <c r="Y20" s="533"/>
      <c r="Z20" s="548"/>
      <c r="AA20" s="548"/>
      <c r="AB20" s="548"/>
      <c r="AC20" s="533"/>
      <c r="AD20" s="548">
        <f t="shared" si="1"/>
        <v>7</v>
      </c>
      <c r="AE20" s="548">
        <f t="shared" si="2"/>
        <v>15</v>
      </c>
      <c r="AF20" s="548">
        <f t="shared" si="3"/>
        <v>10</v>
      </c>
      <c r="AG20" s="533">
        <f t="shared" si="4"/>
        <v>17</v>
      </c>
    </row>
    <row r="21" spans="1:33" ht="18" customHeight="1">
      <c r="A21" s="1053" t="s">
        <v>807</v>
      </c>
      <c r="B21" s="548"/>
      <c r="C21" s="548"/>
      <c r="D21" s="548"/>
      <c r="E21" s="533"/>
      <c r="F21" s="548">
        <v>7</v>
      </c>
      <c r="G21" s="548">
        <v>5</v>
      </c>
      <c r="H21" s="548">
        <v>25</v>
      </c>
      <c r="I21" s="533">
        <v>22</v>
      </c>
      <c r="J21" s="548"/>
      <c r="K21" s="548"/>
      <c r="L21" s="548"/>
      <c r="M21" s="533"/>
      <c r="N21" s="549"/>
      <c r="O21" s="548"/>
      <c r="P21" s="548"/>
      <c r="Q21" s="533"/>
      <c r="R21" s="548"/>
      <c r="S21" s="370"/>
      <c r="T21" s="370"/>
      <c r="U21" s="492"/>
      <c r="V21" s="549"/>
      <c r="W21" s="548"/>
      <c r="X21" s="548"/>
      <c r="Y21" s="533"/>
      <c r="Z21" s="548"/>
      <c r="AA21" s="548"/>
      <c r="AB21" s="548"/>
      <c r="AC21" s="533"/>
      <c r="AD21" s="548">
        <f>+N21+J21+F21+B21+V21+Z21</f>
        <v>7</v>
      </c>
      <c r="AE21" s="548">
        <f>+O21+K21+G21+C21+W21+AA21</f>
        <v>5</v>
      </c>
      <c r="AF21" s="548">
        <f t="shared" si="3"/>
        <v>25</v>
      </c>
      <c r="AG21" s="533">
        <f t="shared" si="4"/>
        <v>22</v>
      </c>
    </row>
    <row r="22" spans="1:33" ht="18" customHeight="1">
      <c r="A22" s="94" t="s">
        <v>1014</v>
      </c>
      <c r="B22" s="548">
        <v>1682</v>
      </c>
      <c r="C22" s="548">
        <v>1676</v>
      </c>
      <c r="D22" s="548">
        <v>1747</v>
      </c>
      <c r="E22" s="533">
        <v>2890</v>
      </c>
      <c r="F22" s="548">
        <v>94</v>
      </c>
      <c r="G22" s="548">
        <v>96</v>
      </c>
      <c r="H22" s="548">
        <v>116</v>
      </c>
      <c r="I22" s="533">
        <v>131</v>
      </c>
      <c r="J22" s="548"/>
      <c r="K22" s="548"/>
      <c r="L22" s="548"/>
      <c r="M22" s="533"/>
      <c r="N22" s="549"/>
      <c r="O22" s="548"/>
      <c r="P22" s="548"/>
      <c r="Q22" s="533"/>
      <c r="R22" s="548"/>
      <c r="S22" s="370"/>
      <c r="T22" s="370"/>
      <c r="U22" s="492"/>
      <c r="V22" s="549"/>
      <c r="W22" s="548"/>
      <c r="X22" s="548"/>
      <c r="Y22" s="533"/>
      <c r="Z22" s="548"/>
      <c r="AA22" s="548"/>
      <c r="AB22" s="548"/>
      <c r="AC22" s="533"/>
      <c r="AD22" s="548">
        <f t="shared" si="1"/>
        <v>1776</v>
      </c>
      <c r="AE22" s="548">
        <f t="shared" si="2"/>
        <v>1772</v>
      </c>
      <c r="AF22" s="548">
        <f t="shared" si="3"/>
        <v>1863</v>
      </c>
      <c r="AG22" s="533">
        <f t="shared" si="4"/>
        <v>3021</v>
      </c>
    </row>
    <row r="23" spans="1:33" ht="18" customHeight="1">
      <c r="A23" s="94" t="s">
        <v>1015</v>
      </c>
      <c r="B23" s="548"/>
      <c r="C23" s="548"/>
      <c r="D23" s="548"/>
      <c r="E23" s="533"/>
      <c r="F23" s="548"/>
      <c r="G23" s="548"/>
      <c r="H23" s="548"/>
      <c r="I23" s="533"/>
      <c r="J23" s="548"/>
      <c r="K23" s="548"/>
      <c r="L23" s="548"/>
      <c r="M23" s="533"/>
      <c r="N23" s="548">
        <v>513</v>
      </c>
      <c r="O23" s="548">
        <v>542</v>
      </c>
      <c r="P23" s="548">
        <v>495</v>
      </c>
      <c r="Q23" s="533">
        <v>343</v>
      </c>
      <c r="R23" s="548">
        <v>115</v>
      </c>
      <c r="S23" s="370">
        <v>151</v>
      </c>
      <c r="T23" s="370">
        <v>146</v>
      </c>
      <c r="U23" s="492">
        <v>27</v>
      </c>
      <c r="V23" s="549"/>
      <c r="W23" s="548"/>
      <c r="X23" s="548"/>
      <c r="Y23" s="533"/>
      <c r="Z23" s="548"/>
      <c r="AA23" s="548"/>
      <c r="AB23" s="548"/>
      <c r="AC23" s="533"/>
      <c r="AD23" s="548">
        <f>+N23+J23+F23+B23+V23+Z23+R23</f>
        <v>628</v>
      </c>
      <c r="AE23" s="548">
        <f>+O23+K23+G23+C23+S23+W23+AA23</f>
        <v>693</v>
      </c>
      <c r="AF23" s="548">
        <f>+P23+L23+H23+D23+T23+X23+AB23</f>
        <v>641</v>
      </c>
      <c r="AG23" s="533">
        <f>+Q23+M23+I23+E23+U23+Y23+AC23</f>
        <v>370</v>
      </c>
    </row>
    <row r="24" spans="1:33" ht="18" customHeight="1">
      <c r="A24" s="94" t="s">
        <v>1016</v>
      </c>
      <c r="B24" s="548">
        <v>2550</v>
      </c>
      <c r="C24" s="548">
        <v>2382</v>
      </c>
      <c r="D24" s="548">
        <v>2583</v>
      </c>
      <c r="E24" s="533">
        <v>2684</v>
      </c>
      <c r="F24" s="548">
        <v>1630</v>
      </c>
      <c r="G24" s="548">
        <v>1616</v>
      </c>
      <c r="H24" s="548">
        <v>1655</v>
      </c>
      <c r="I24" s="533">
        <v>1661</v>
      </c>
      <c r="J24" s="548"/>
      <c r="K24" s="548"/>
      <c r="L24" s="548"/>
      <c r="M24" s="533"/>
      <c r="N24" s="548"/>
      <c r="O24" s="548"/>
      <c r="P24" s="548"/>
      <c r="Q24" s="533"/>
      <c r="R24" s="548"/>
      <c r="S24" s="370"/>
      <c r="T24" s="370"/>
      <c r="U24" s="492"/>
      <c r="V24" s="549"/>
      <c r="W24" s="548"/>
      <c r="X24" s="548"/>
      <c r="Y24" s="533"/>
      <c r="Z24" s="548"/>
      <c r="AA24" s="548"/>
      <c r="AB24" s="548"/>
      <c r="AC24" s="533"/>
      <c r="AD24" s="548">
        <f t="shared" si="1"/>
        <v>4180</v>
      </c>
      <c r="AE24" s="548">
        <f t="shared" si="2"/>
        <v>3998</v>
      </c>
      <c r="AF24" s="548">
        <f t="shared" si="3"/>
        <v>4238</v>
      </c>
      <c r="AG24" s="533">
        <f t="shared" si="4"/>
        <v>4345</v>
      </c>
    </row>
    <row r="25" spans="1:33" ht="18" customHeight="1">
      <c r="A25" s="94" t="s">
        <v>1017</v>
      </c>
      <c r="B25" s="548"/>
      <c r="C25" s="548"/>
      <c r="D25" s="548"/>
      <c r="E25" s="533"/>
      <c r="F25" s="548">
        <v>317</v>
      </c>
      <c r="G25" s="548">
        <v>365</v>
      </c>
      <c r="H25" s="548">
        <v>443</v>
      </c>
      <c r="I25" s="533">
        <v>359</v>
      </c>
      <c r="J25" s="548"/>
      <c r="K25" s="548"/>
      <c r="L25" s="548"/>
      <c r="M25" s="533"/>
      <c r="N25" s="548"/>
      <c r="O25" s="548"/>
      <c r="P25" s="548"/>
      <c r="Q25" s="533"/>
      <c r="R25" s="548"/>
      <c r="S25" s="370"/>
      <c r="T25" s="370"/>
      <c r="U25" s="492"/>
      <c r="V25" s="549"/>
      <c r="W25" s="548"/>
      <c r="X25" s="548"/>
      <c r="Y25" s="533"/>
      <c r="Z25" s="548"/>
      <c r="AA25" s="548"/>
      <c r="AB25" s="548"/>
      <c r="AC25" s="533"/>
      <c r="AD25" s="548">
        <f t="shared" si="1"/>
        <v>317</v>
      </c>
      <c r="AE25" s="548">
        <f t="shared" si="2"/>
        <v>365</v>
      </c>
      <c r="AF25" s="548">
        <f t="shared" si="3"/>
        <v>443</v>
      </c>
      <c r="AG25" s="533">
        <f t="shared" si="4"/>
        <v>359</v>
      </c>
    </row>
    <row r="26" spans="1:33" ht="18" customHeight="1">
      <c r="A26" s="1053" t="s">
        <v>1136</v>
      </c>
      <c r="B26" s="548"/>
      <c r="C26" s="548"/>
      <c r="D26" s="548"/>
      <c r="E26" s="533"/>
      <c r="F26" s="548"/>
      <c r="G26" s="548"/>
      <c r="H26" s="548"/>
      <c r="I26" s="533"/>
      <c r="J26" s="548"/>
      <c r="K26" s="548"/>
      <c r="L26" s="548"/>
      <c r="M26" s="533"/>
      <c r="N26" s="548"/>
      <c r="O26" s="548"/>
      <c r="P26" s="548"/>
      <c r="Q26" s="533"/>
      <c r="R26" s="548"/>
      <c r="S26" s="370"/>
      <c r="T26" s="370"/>
      <c r="U26" s="492"/>
      <c r="V26" s="549"/>
      <c r="W26" s="548"/>
      <c r="X26" s="548"/>
      <c r="Y26" s="533"/>
      <c r="Z26" s="548"/>
      <c r="AA26" s="548"/>
      <c r="AB26" s="548"/>
      <c r="AC26" s="533"/>
      <c r="AD26" s="548">
        <f>+N26+J26+F26+B26+V26+Z26</f>
        <v>0</v>
      </c>
      <c r="AE26" s="548">
        <f>+O26+K26+G26+C26+W26+AA26</f>
        <v>0</v>
      </c>
      <c r="AF26" s="548">
        <f t="shared" si="3"/>
        <v>0</v>
      </c>
      <c r="AG26" s="533">
        <f t="shared" si="4"/>
        <v>0</v>
      </c>
    </row>
    <row r="27" spans="1:33" ht="18" customHeight="1">
      <c r="A27" s="94" t="s">
        <v>1018</v>
      </c>
      <c r="B27" s="548"/>
      <c r="C27" s="548"/>
      <c r="D27" s="548"/>
      <c r="E27" s="533"/>
      <c r="F27" s="548">
        <v>184</v>
      </c>
      <c r="G27" s="548">
        <v>195</v>
      </c>
      <c r="H27" s="548">
        <v>448</v>
      </c>
      <c r="I27" s="533">
        <v>403</v>
      </c>
      <c r="J27" s="548"/>
      <c r="K27" s="548"/>
      <c r="L27" s="548"/>
      <c r="M27" s="533"/>
      <c r="N27" s="548"/>
      <c r="O27" s="548"/>
      <c r="P27" s="548"/>
      <c r="Q27" s="533"/>
      <c r="R27" s="548"/>
      <c r="S27" s="370"/>
      <c r="T27" s="370"/>
      <c r="U27" s="492"/>
      <c r="V27" s="549"/>
      <c r="W27" s="548"/>
      <c r="X27" s="548"/>
      <c r="Y27" s="533"/>
      <c r="Z27" s="548"/>
      <c r="AA27" s="548"/>
      <c r="AB27" s="548"/>
      <c r="AC27" s="533"/>
      <c r="AD27" s="548">
        <f t="shared" si="1"/>
        <v>184</v>
      </c>
      <c r="AE27" s="548">
        <f t="shared" si="2"/>
        <v>195</v>
      </c>
      <c r="AF27" s="548">
        <f t="shared" si="3"/>
        <v>448</v>
      </c>
      <c r="AG27" s="533">
        <f t="shared" si="4"/>
        <v>403</v>
      </c>
    </row>
    <row r="28" spans="1:33" ht="18" customHeight="1">
      <c r="A28" s="94" t="s">
        <v>1019</v>
      </c>
      <c r="B28" s="548">
        <v>583</v>
      </c>
      <c r="C28" s="548">
        <v>597</v>
      </c>
      <c r="D28" s="548">
        <v>617</v>
      </c>
      <c r="E28" s="533">
        <v>646</v>
      </c>
      <c r="F28" s="548"/>
      <c r="G28" s="548"/>
      <c r="H28" s="548"/>
      <c r="I28" s="533"/>
      <c r="J28" s="548"/>
      <c r="K28" s="548"/>
      <c r="L28" s="548"/>
      <c r="M28" s="533"/>
      <c r="N28" s="548"/>
      <c r="O28" s="548"/>
      <c r="P28" s="548"/>
      <c r="Q28" s="533"/>
      <c r="R28" s="548"/>
      <c r="S28" s="370"/>
      <c r="T28" s="370"/>
      <c r="U28" s="492"/>
      <c r="V28" s="549"/>
      <c r="W28" s="548"/>
      <c r="X28" s="548"/>
      <c r="Y28" s="533"/>
      <c r="Z28" s="548"/>
      <c r="AA28" s="548"/>
      <c r="AB28" s="548"/>
      <c r="AC28" s="533"/>
      <c r="AD28" s="548">
        <f t="shared" si="1"/>
        <v>583</v>
      </c>
      <c r="AE28" s="548">
        <f t="shared" si="2"/>
        <v>597</v>
      </c>
      <c r="AF28" s="548">
        <f t="shared" ref="AF28:AF35" si="5">+P28+L28+H28+D28+X28+AB28</f>
        <v>617</v>
      </c>
      <c r="AG28" s="533">
        <f t="shared" ref="AG28:AG35" si="6">+Q28+M28+I28+E28+Y28+AC28</f>
        <v>646</v>
      </c>
    </row>
    <row r="29" spans="1:33" ht="18" customHeight="1">
      <c r="A29" s="94" t="s">
        <v>1020</v>
      </c>
      <c r="B29" s="548">
        <v>1</v>
      </c>
      <c r="C29" s="548">
        <v>35</v>
      </c>
      <c r="D29" s="548"/>
      <c r="E29" s="533"/>
      <c r="F29" s="548">
        <v>1</v>
      </c>
      <c r="G29" s="548">
        <v>2</v>
      </c>
      <c r="H29" s="548"/>
      <c r="I29" s="533"/>
      <c r="J29" s="548">
        <v>1</v>
      </c>
      <c r="K29" s="548">
        <v>32</v>
      </c>
      <c r="L29" s="548"/>
      <c r="M29" s="533"/>
      <c r="N29" s="548"/>
      <c r="O29" s="548"/>
      <c r="P29" s="548"/>
      <c r="Q29" s="533"/>
      <c r="R29" s="548"/>
      <c r="S29" s="370"/>
      <c r="T29" s="370"/>
      <c r="U29" s="492"/>
      <c r="V29" s="548"/>
      <c r="W29" s="548"/>
      <c r="X29" s="548"/>
      <c r="Y29" s="533"/>
      <c r="Z29" s="548"/>
      <c r="AA29" s="548"/>
      <c r="AB29" s="548"/>
      <c r="AC29" s="533"/>
      <c r="AD29" s="548">
        <f t="shared" si="1"/>
        <v>3</v>
      </c>
      <c r="AE29" s="548">
        <f t="shared" si="2"/>
        <v>69</v>
      </c>
      <c r="AF29" s="548">
        <f t="shared" si="5"/>
        <v>0</v>
      </c>
      <c r="AG29" s="533">
        <f t="shared" si="6"/>
        <v>0</v>
      </c>
    </row>
    <row r="30" spans="1:33" ht="18" customHeight="1">
      <c r="A30" s="94" t="s">
        <v>1021</v>
      </c>
      <c r="B30" s="548">
        <v>426</v>
      </c>
      <c r="C30" s="548">
        <v>397</v>
      </c>
      <c r="D30" s="548">
        <v>465</v>
      </c>
      <c r="E30" s="533">
        <v>450</v>
      </c>
      <c r="F30" s="548">
        <v>324</v>
      </c>
      <c r="G30" s="548">
        <v>362</v>
      </c>
      <c r="H30" s="548">
        <v>361</v>
      </c>
      <c r="I30" s="533">
        <v>371</v>
      </c>
      <c r="J30" s="548">
        <v>59</v>
      </c>
      <c r="K30" s="548">
        <v>17</v>
      </c>
      <c r="L30" s="548"/>
      <c r="M30" s="533"/>
      <c r="N30" s="548"/>
      <c r="O30" s="548"/>
      <c r="P30" s="548"/>
      <c r="Q30" s="533"/>
      <c r="R30" s="548"/>
      <c r="S30" s="370"/>
      <c r="T30" s="370"/>
      <c r="U30" s="492"/>
      <c r="V30" s="548"/>
      <c r="W30" s="548"/>
      <c r="X30" s="548"/>
      <c r="Y30" s="533"/>
      <c r="Z30" s="548"/>
      <c r="AA30" s="548"/>
      <c r="AB30" s="548"/>
      <c r="AC30" s="533"/>
      <c r="AD30" s="548">
        <f t="shared" si="1"/>
        <v>809</v>
      </c>
      <c r="AE30" s="548">
        <f t="shared" si="2"/>
        <v>776</v>
      </c>
      <c r="AF30" s="548">
        <f t="shared" si="5"/>
        <v>826</v>
      </c>
      <c r="AG30" s="533">
        <f t="shared" si="6"/>
        <v>821</v>
      </c>
    </row>
    <row r="31" spans="1:33" ht="18" customHeight="1">
      <c r="A31" s="94" t="s">
        <v>1022</v>
      </c>
      <c r="B31" s="548">
        <v>3110</v>
      </c>
      <c r="C31" s="548">
        <v>2663</v>
      </c>
      <c r="D31" s="548">
        <v>2251</v>
      </c>
      <c r="E31" s="533">
        <v>3998</v>
      </c>
      <c r="F31" s="548"/>
      <c r="G31" s="548"/>
      <c r="H31" s="548"/>
      <c r="I31" s="533"/>
      <c r="J31" s="548"/>
      <c r="K31" s="548"/>
      <c r="L31" s="548"/>
      <c r="M31" s="533"/>
      <c r="N31" s="548"/>
      <c r="O31" s="548"/>
      <c r="P31" s="548"/>
      <c r="Q31" s="533"/>
      <c r="R31" s="548"/>
      <c r="S31" s="370"/>
      <c r="T31" s="370"/>
      <c r="U31" s="492"/>
      <c r="V31" s="548"/>
      <c r="W31" s="548"/>
      <c r="X31" s="548"/>
      <c r="Y31" s="533"/>
      <c r="Z31" s="548">
        <v>401</v>
      </c>
      <c r="AA31" s="548">
        <v>22</v>
      </c>
      <c r="AB31" s="548"/>
      <c r="AC31" s="533">
        <v>838</v>
      </c>
      <c r="AD31" s="548">
        <f t="shared" si="1"/>
        <v>3511</v>
      </c>
      <c r="AE31" s="548">
        <f t="shared" si="2"/>
        <v>2685</v>
      </c>
      <c r="AF31" s="548">
        <f t="shared" si="5"/>
        <v>2251</v>
      </c>
      <c r="AG31" s="533">
        <f t="shared" si="6"/>
        <v>4836</v>
      </c>
    </row>
    <row r="32" spans="1:33" ht="18" customHeight="1">
      <c r="A32" s="94" t="s">
        <v>1023</v>
      </c>
      <c r="B32" s="548">
        <v>543</v>
      </c>
      <c r="C32" s="548">
        <v>414</v>
      </c>
      <c r="D32" s="548">
        <v>355</v>
      </c>
      <c r="E32" s="533">
        <v>1870</v>
      </c>
      <c r="F32" s="548"/>
      <c r="G32" s="548"/>
      <c r="H32" s="548"/>
      <c r="I32" s="533"/>
      <c r="J32" s="548"/>
      <c r="K32" s="548"/>
      <c r="L32" s="548"/>
      <c r="M32" s="533"/>
      <c r="N32" s="548"/>
      <c r="O32" s="548"/>
      <c r="P32" s="548"/>
      <c r="Q32" s="533"/>
      <c r="R32" s="548"/>
      <c r="S32" s="370"/>
      <c r="T32" s="370"/>
      <c r="U32" s="492"/>
      <c r="V32" s="549"/>
      <c r="W32" s="548"/>
      <c r="X32" s="548"/>
      <c r="Y32" s="533"/>
      <c r="Z32" s="548"/>
      <c r="AA32" s="548"/>
      <c r="AB32" s="548"/>
      <c r="AC32" s="533"/>
      <c r="AD32" s="548">
        <f t="shared" si="1"/>
        <v>543</v>
      </c>
      <c r="AE32" s="548">
        <f t="shared" si="2"/>
        <v>414</v>
      </c>
      <c r="AF32" s="548">
        <f t="shared" si="5"/>
        <v>355</v>
      </c>
      <c r="AG32" s="533">
        <f t="shared" si="6"/>
        <v>1870</v>
      </c>
    </row>
    <row r="33" spans="1:33" ht="18" customHeight="1">
      <c r="A33" s="94" t="s">
        <v>1024</v>
      </c>
      <c r="B33" s="548"/>
      <c r="C33" s="548"/>
      <c r="D33" s="548"/>
      <c r="E33" s="533"/>
      <c r="F33" s="548">
        <v>3040</v>
      </c>
      <c r="G33" s="548">
        <v>3142</v>
      </c>
      <c r="H33" s="548">
        <v>3096</v>
      </c>
      <c r="I33" s="533">
        <v>2917</v>
      </c>
      <c r="J33" s="548"/>
      <c r="K33" s="548"/>
      <c r="L33" s="548"/>
      <c r="M33" s="533"/>
      <c r="N33" s="548"/>
      <c r="O33" s="548"/>
      <c r="P33" s="548"/>
      <c r="Q33" s="533"/>
      <c r="R33" s="548"/>
      <c r="S33" s="370"/>
      <c r="T33" s="370"/>
      <c r="U33" s="492"/>
      <c r="V33" s="549"/>
      <c r="W33" s="548"/>
      <c r="X33" s="548"/>
      <c r="Y33" s="533"/>
      <c r="Z33" s="548"/>
      <c r="AA33" s="548"/>
      <c r="AB33" s="548"/>
      <c r="AC33" s="533"/>
      <c r="AD33" s="548">
        <f t="shared" si="1"/>
        <v>3040</v>
      </c>
      <c r="AE33" s="548">
        <f t="shared" si="2"/>
        <v>3142</v>
      </c>
      <c r="AF33" s="548">
        <f t="shared" si="5"/>
        <v>3096</v>
      </c>
      <c r="AG33" s="533">
        <f t="shared" si="6"/>
        <v>2917</v>
      </c>
    </row>
    <row r="34" spans="1:33" ht="18" customHeight="1">
      <c r="A34" s="94" t="s">
        <v>1025</v>
      </c>
      <c r="B34" s="548">
        <v>79</v>
      </c>
      <c r="C34" s="548">
        <v>55</v>
      </c>
      <c r="D34" s="548">
        <v>32</v>
      </c>
      <c r="E34" s="533">
        <v>6</v>
      </c>
      <c r="F34" s="548">
        <v>2480</v>
      </c>
      <c r="G34" s="548">
        <v>2635</v>
      </c>
      <c r="H34" s="548">
        <v>2395</v>
      </c>
      <c r="I34" s="533">
        <v>2783</v>
      </c>
      <c r="J34" s="548"/>
      <c r="K34" s="548"/>
      <c r="L34" s="548"/>
      <c r="M34" s="533"/>
      <c r="N34" s="548"/>
      <c r="O34" s="548"/>
      <c r="P34" s="548"/>
      <c r="Q34" s="533"/>
      <c r="R34" s="548"/>
      <c r="S34" s="370"/>
      <c r="T34" s="370"/>
      <c r="U34" s="492"/>
      <c r="V34" s="549"/>
      <c r="W34" s="548"/>
      <c r="X34" s="548"/>
      <c r="Y34" s="533"/>
      <c r="Z34" s="548"/>
      <c r="AA34" s="548"/>
      <c r="AB34" s="548"/>
      <c r="AC34" s="533"/>
      <c r="AD34" s="548">
        <f t="shared" si="1"/>
        <v>2559</v>
      </c>
      <c r="AE34" s="548">
        <f t="shared" si="2"/>
        <v>2690</v>
      </c>
      <c r="AF34" s="548">
        <f t="shared" si="5"/>
        <v>2427</v>
      </c>
      <c r="AG34" s="533">
        <f t="shared" si="6"/>
        <v>2789</v>
      </c>
    </row>
    <row r="35" spans="1:33" ht="18" customHeight="1">
      <c r="A35" s="94" t="s">
        <v>1026</v>
      </c>
      <c r="B35" s="548">
        <v>287</v>
      </c>
      <c r="C35" s="548">
        <v>325</v>
      </c>
      <c r="D35" s="548">
        <v>166</v>
      </c>
      <c r="E35" s="533">
        <v>242</v>
      </c>
      <c r="F35" s="548"/>
      <c r="G35" s="548"/>
      <c r="H35" s="548"/>
      <c r="I35" s="533"/>
      <c r="J35" s="548"/>
      <c r="K35" s="548"/>
      <c r="L35" s="548"/>
      <c r="M35" s="533"/>
      <c r="N35" s="548"/>
      <c r="O35" s="548"/>
      <c r="P35" s="548"/>
      <c r="Q35" s="533"/>
      <c r="R35" s="548"/>
      <c r="S35" s="370"/>
      <c r="T35" s="370"/>
      <c r="U35" s="492"/>
      <c r="V35" s="549"/>
      <c r="W35" s="548"/>
      <c r="X35" s="548"/>
      <c r="Y35" s="533"/>
      <c r="Z35" s="548"/>
      <c r="AA35" s="548"/>
      <c r="AB35" s="548"/>
      <c r="AC35" s="533"/>
      <c r="AD35" s="548">
        <f t="shared" si="1"/>
        <v>287</v>
      </c>
      <c r="AE35" s="548">
        <f t="shared" si="2"/>
        <v>325</v>
      </c>
      <c r="AF35" s="548">
        <f t="shared" si="5"/>
        <v>166</v>
      </c>
      <c r="AG35" s="533">
        <f t="shared" si="6"/>
        <v>242</v>
      </c>
    </row>
    <row r="36" spans="1:33" ht="18" customHeight="1">
      <c r="A36" s="15" t="s">
        <v>863</v>
      </c>
      <c r="B36" s="551">
        <f t="shared" ref="B36:D36" si="7">SUM(B9:B35)</f>
        <v>17543</v>
      </c>
      <c r="C36" s="551">
        <f t="shared" si="7"/>
        <v>17961</v>
      </c>
      <c r="D36" s="551">
        <f t="shared" si="7"/>
        <v>18952</v>
      </c>
      <c r="E36" s="552">
        <f>SUM(E9:E35)</f>
        <v>23218</v>
      </c>
      <c r="F36" s="551">
        <f t="shared" ref="F36:AG36" si="8">SUM(F9:F35)</f>
        <v>17350</v>
      </c>
      <c r="G36" s="551">
        <f t="shared" si="8"/>
        <v>16939</v>
      </c>
      <c r="H36" s="551">
        <f t="shared" si="8"/>
        <v>16474</v>
      </c>
      <c r="I36" s="552">
        <f t="shared" si="8"/>
        <v>16356</v>
      </c>
      <c r="J36" s="551">
        <f t="shared" si="8"/>
        <v>60</v>
      </c>
      <c r="K36" s="551">
        <f t="shared" si="8"/>
        <v>49</v>
      </c>
      <c r="L36" s="551">
        <f t="shared" si="8"/>
        <v>0</v>
      </c>
      <c r="M36" s="552">
        <f t="shared" si="8"/>
        <v>0</v>
      </c>
      <c r="N36" s="374">
        <f>SUM(N19:N35)</f>
        <v>513</v>
      </c>
      <c r="O36" s="374">
        <f>SUM(O19:O35)</f>
        <v>542</v>
      </c>
      <c r="P36" s="374">
        <f>SUM(P19:P35)</f>
        <v>495</v>
      </c>
      <c r="Q36" s="552">
        <f t="shared" si="8"/>
        <v>343</v>
      </c>
      <c r="R36" s="374">
        <f>SUM(R19:R35)</f>
        <v>115</v>
      </c>
      <c r="S36" s="374">
        <f>SUM(S19:S35)</f>
        <v>151</v>
      </c>
      <c r="T36" s="374">
        <f>SUM(T19:T35)</f>
        <v>146</v>
      </c>
      <c r="U36" s="552">
        <f t="shared" si="8"/>
        <v>27</v>
      </c>
      <c r="V36" s="553">
        <f t="shared" si="8"/>
        <v>0</v>
      </c>
      <c r="W36" s="551">
        <f t="shared" si="8"/>
        <v>0</v>
      </c>
      <c r="X36" s="551">
        <f t="shared" si="8"/>
        <v>0</v>
      </c>
      <c r="Y36" s="552">
        <f t="shared" si="8"/>
        <v>0</v>
      </c>
      <c r="Z36" s="551">
        <f t="shared" si="8"/>
        <v>401</v>
      </c>
      <c r="AA36" s="551">
        <f t="shared" si="8"/>
        <v>22</v>
      </c>
      <c r="AB36" s="551">
        <f t="shared" si="8"/>
        <v>0</v>
      </c>
      <c r="AC36" s="552">
        <f t="shared" si="8"/>
        <v>838</v>
      </c>
      <c r="AD36" s="551">
        <f t="shared" si="8"/>
        <v>35982</v>
      </c>
      <c r="AE36" s="551">
        <f t="shared" si="8"/>
        <v>35664</v>
      </c>
      <c r="AF36" s="551">
        <f t="shared" si="8"/>
        <v>36067</v>
      </c>
      <c r="AG36" s="552">
        <f t="shared" si="8"/>
        <v>40782</v>
      </c>
    </row>
    <row r="37" spans="1:33" ht="18" customHeight="1">
      <c r="A37" s="8"/>
      <c r="B37" s="554"/>
      <c r="C37" s="554"/>
      <c r="D37" s="554"/>
      <c r="E37" s="554"/>
      <c r="F37" s="554"/>
      <c r="G37" s="554"/>
      <c r="H37" s="554"/>
      <c r="I37" s="554"/>
      <c r="J37" s="554"/>
      <c r="K37" s="554"/>
      <c r="L37" s="554"/>
      <c r="M37" s="554"/>
      <c r="N37" s="554"/>
      <c r="O37" s="554"/>
      <c r="P37" s="554"/>
      <c r="Q37" s="554"/>
      <c r="R37" s="554"/>
      <c r="S37" s="554"/>
      <c r="T37" s="554"/>
      <c r="U37" s="554"/>
      <c r="V37" s="554"/>
      <c r="W37" s="554"/>
      <c r="X37" s="554"/>
      <c r="Y37" s="554"/>
      <c r="Z37" s="554"/>
      <c r="AA37" s="554"/>
      <c r="AB37" s="554"/>
      <c r="AC37" s="554"/>
      <c r="AD37" s="554"/>
      <c r="AE37" s="554"/>
      <c r="AF37" s="554"/>
      <c r="AG37" s="554"/>
    </row>
    <row r="38" spans="1:33" ht="18" customHeight="1">
      <c r="A38" s="511" t="s">
        <v>1027</v>
      </c>
      <c r="B38" s="554"/>
      <c r="C38" s="554"/>
      <c r="D38" s="554"/>
      <c r="E38" s="554"/>
      <c r="F38" s="551"/>
      <c r="G38" s="554"/>
      <c r="H38" s="554"/>
      <c r="I38" s="554"/>
      <c r="J38" s="554"/>
      <c r="K38" s="554"/>
      <c r="L38" s="554"/>
      <c r="M38" s="554"/>
      <c r="N38" s="554"/>
      <c r="O38" s="554"/>
      <c r="P38" s="554"/>
      <c r="Q38" s="554"/>
      <c r="R38" s="554"/>
      <c r="S38" s="554"/>
      <c r="T38" s="554"/>
      <c r="U38" s="554"/>
      <c r="V38" s="554"/>
      <c r="W38" s="554"/>
      <c r="X38" s="554"/>
      <c r="Y38" s="554"/>
      <c r="Z38" s="554"/>
      <c r="AA38" s="554"/>
      <c r="AB38" s="554"/>
      <c r="AC38" s="554"/>
      <c r="AD38" s="554"/>
      <c r="AE38" s="554"/>
      <c r="AF38" s="554"/>
      <c r="AG38" s="554"/>
    </row>
    <row r="39" spans="1:33" ht="18" customHeight="1">
      <c r="A39" s="339" t="s">
        <v>1028</v>
      </c>
      <c r="B39" s="556">
        <v>101</v>
      </c>
      <c r="C39" s="556">
        <v>58</v>
      </c>
      <c r="D39" s="556">
        <v>115</v>
      </c>
      <c r="E39" s="557">
        <v>117</v>
      </c>
      <c r="F39" s="556">
        <v>2252</v>
      </c>
      <c r="G39" s="556">
        <v>2559</v>
      </c>
      <c r="H39" s="556">
        <v>2523</v>
      </c>
      <c r="I39" s="556">
        <v>2299</v>
      </c>
      <c r="J39" s="555"/>
      <c r="K39" s="556"/>
      <c r="L39" s="556"/>
      <c r="M39" s="557"/>
      <c r="N39" s="556"/>
      <c r="O39" s="556"/>
      <c r="P39" s="556"/>
      <c r="Q39" s="556"/>
      <c r="R39" s="555"/>
      <c r="S39" s="556"/>
      <c r="T39" s="556"/>
      <c r="U39" s="557"/>
      <c r="V39" s="555"/>
      <c r="W39" s="556"/>
      <c r="X39" s="556"/>
      <c r="Y39" s="557"/>
      <c r="Z39" s="556"/>
      <c r="AA39" s="556"/>
      <c r="AB39" s="556"/>
      <c r="AC39" s="557"/>
      <c r="AD39" s="556">
        <f t="shared" ref="AD39:AG40" si="9">+N39+J39+F39+B39</f>
        <v>2353</v>
      </c>
      <c r="AE39" s="556">
        <f t="shared" si="9"/>
        <v>2617</v>
      </c>
      <c r="AF39" s="556">
        <f t="shared" si="9"/>
        <v>2638</v>
      </c>
      <c r="AG39" s="557">
        <f t="shared" si="9"/>
        <v>2416</v>
      </c>
    </row>
    <row r="40" spans="1:33" ht="18" customHeight="1">
      <c r="A40" s="94" t="s">
        <v>1029</v>
      </c>
      <c r="B40" s="548">
        <v>202</v>
      </c>
      <c r="C40" s="548">
        <v>0</v>
      </c>
      <c r="D40" s="548">
        <v>0</v>
      </c>
      <c r="E40" s="533"/>
      <c r="F40" s="548">
        <v>63</v>
      </c>
      <c r="G40" s="548">
        <v>4</v>
      </c>
      <c r="H40" s="548">
        <v>4</v>
      </c>
      <c r="I40" s="548">
        <v>8</v>
      </c>
      <c r="J40" s="549"/>
      <c r="K40" s="548"/>
      <c r="L40" s="548"/>
      <c r="M40" s="533"/>
      <c r="N40" s="548"/>
      <c r="O40" s="548"/>
      <c r="P40" s="548"/>
      <c r="Q40" s="548"/>
      <c r="R40" s="549"/>
      <c r="S40" s="548"/>
      <c r="T40" s="548"/>
      <c r="U40" s="533"/>
      <c r="V40" s="549"/>
      <c r="W40" s="548"/>
      <c r="X40" s="548"/>
      <c r="Y40" s="533"/>
      <c r="Z40" s="548"/>
      <c r="AA40" s="548"/>
      <c r="AB40" s="548"/>
      <c r="AC40" s="533"/>
      <c r="AD40" s="548">
        <f t="shared" si="9"/>
        <v>265</v>
      </c>
      <c r="AE40" s="548">
        <f t="shared" si="9"/>
        <v>4</v>
      </c>
      <c r="AF40" s="548">
        <f t="shared" si="9"/>
        <v>4</v>
      </c>
      <c r="AG40" s="533">
        <f t="shared" si="9"/>
        <v>8</v>
      </c>
    </row>
    <row r="41" spans="1:33" ht="18" customHeight="1">
      <c r="A41" s="94" t="s">
        <v>1030</v>
      </c>
      <c r="B41" s="548">
        <v>414</v>
      </c>
      <c r="C41" s="548">
        <v>332</v>
      </c>
      <c r="D41" s="548">
        <v>434</v>
      </c>
      <c r="E41" s="533">
        <v>551</v>
      </c>
      <c r="F41" s="548">
        <v>599</v>
      </c>
      <c r="G41" s="548">
        <v>480</v>
      </c>
      <c r="H41" s="548">
        <v>462</v>
      </c>
      <c r="I41" s="548">
        <v>430</v>
      </c>
      <c r="J41" s="549"/>
      <c r="K41" s="548"/>
      <c r="L41" s="548"/>
      <c r="M41" s="533"/>
      <c r="N41" s="548"/>
      <c r="O41" s="548"/>
      <c r="P41" s="548"/>
      <c r="Q41" s="548"/>
      <c r="R41" s="549"/>
      <c r="S41" s="548"/>
      <c r="T41" s="548"/>
      <c r="U41" s="533"/>
      <c r="V41" s="549"/>
      <c r="W41" s="548"/>
      <c r="X41" s="548"/>
      <c r="Y41" s="533"/>
      <c r="Z41" s="548"/>
      <c r="AA41" s="548"/>
      <c r="AB41" s="548"/>
      <c r="AC41" s="533"/>
      <c r="AD41" s="548">
        <f t="shared" ref="AD41:AG42" si="10">+N41+J41+F41+B41</f>
        <v>1013</v>
      </c>
      <c r="AE41" s="548">
        <f t="shared" si="10"/>
        <v>812</v>
      </c>
      <c r="AF41" s="548">
        <f t="shared" si="10"/>
        <v>896</v>
      </c>
      <c r="AG41" s="533">
        <f t="shared" si="10"/>
        <v>981</v>
      </c>
    </row>
    <row r="42" spans="1:33" ht="18" customHeight="1">
      <c r="A42" s="94" t="s">
        <v>1031</v>
      </c>
      <c r="B42" s="548">
        <v>166</v>
      </c>
      <c r="C42" s="548">
        <v>232</v>
      </c>
      <c r="D42" s="548">
        <v>176</v>
      </c>
      <c r="E42" s="533">
        <v>174</v>
      </c>
      <c r="F42" s="548">
        <v>177</v>
      </c>
      <c r="G42" s="548">
        <v>244</v>
      </c>
      <c r="H42" s="548">
        <v>412</v>
      </c>
      <c r="I42" s="548">
        <v>447</v>
      </c>
      <c r="J42" s="549"/>
      <c r="K42" s="548"/>
      <c r="L42" s="548"/>
      <c r="M42" s="533"/>
      <c r="N42" s="548"/>
      <c r="O42" s="548"/>
      <c r="P42" s="548"/>
      <c r="Q42" s="548"/>
      <c r="R42" s="549"/>
      <c r="S42" s="548"/>
      <c r="T42" s="548"/>
      <c r="U42" s="533"/>
      <c r="V42" s="549"/>
      <c r="W42" s="548"/>
      <c r="X42" s="548"/>
      <c r="Y42" s="533"/>
      <c r="Z42" s="548"/>
      <c r="AA42" s="548"/>
      <c r="AB42" s="548"/>
      <c r="AC42" s="533"/>
      <c r="AD42" s="548">
        <f t="shared" si="10"/>
        <v>343</v>
      </c>
      <c r="AE42" s="548">
        <f t="shared" si="10"/>
        <v>476</v>
      </c>
      <c r="AF42" s="548">
        <f t="shared" si="10"/>
        <v>588</v>
      </c>
      <c r="AG42" s="533">
        <f t="shared" si="10"/>
        <v>621</v>
      </c>
    </row>
    <row r="43" spans="1:33" ht="18" customHeight="1">
      <c r="A43" s="94" t="s">
        <v>1032</v>
      </c>
      <c r="B43" s="548">
        <v>317</v>
      </c>
      <c r="C43" s="548">
        <v>320</v>
      </c>
      <c r="D43" s="548">
        <v>441</v>
      </c>
      <c r="E43" s="533">
        <v>535</v>
      </c>
      <c r="F43" s="548">
        <v>0</v>
      </c>
      <c r="G43" s="548">
        <v>0</v>
      </c>
      <c r="H43" s="548"/>
      <c r="I43" s="548"/>
      <c r="J43" s="549"/>
      <c r="K43" s="548"/>
      <c r="L43" s="548"/>
      <c r="M43" s="533"/>
      <c r="N43" s="548"/>
      <c r="O43" s="548"/>
      <c r="P43" s="548"/>
      <c r="Q43" s="548"/>
      <c r="R43" s="549"/>
      <c r="S43" s="548"/>
      <c r="T43" s="548"/>
      <c r="U43" s="533"/>
      <c r="V43" s="549"/>
      <c r="W43" s="548"/>
      <c r="X43" s="548"/>
      <c r="Y43" s="533"/>
      <c r="Z43" s="548"/>
      <c r="AA43" s="548"/>
      <c r="AB43" s="548"/>
      <c r="AC43" s="533"/>
      <c r="AD43" s="548">
        <f t="shared" ref="AD43:AG45" si="11">+N43+J43+F43+B43</f>
        <v>317</v>
      </c>
      <c r="AE43" s="548">
        <f t="shared" si="11"/>
        <v>320</v>
      </c>
      <c r="AF43" s="548">
        <f t="shared" si="11"/>
        <v>441</v>
      </c>
      <c r="AG43" s="533">
        <f t="shared" si="11"/>
        <v>535</v>
      </c>
    </row>
    <row r="44" spans="1:33" ht="18" customHeight="1">
      <c r="A44" s="532" t="s">
        <v>1033</v>
      </c>
      <c r="B44" s="548">
        <v>3649</v>
      </c>
      <c r="C44" s="548">
        <v>4573</v>
      </c>
      <c r="D44" s="548">
        <v>3985</v>
      </c>
      <c r="E44" s="533">
        <v>4457</v>
      </c>
      <c r="F44" s="548">
        <v>3628</v>
      </c>
      <c r="G44" s="548">
        <v>3016</v>
      </c>
      <c r="H44" s="548">
        <v>3250</v>
      </c>
      <c r="I44" s="548">
        <v>3218</v>
      </c>
      <c r="J44" s="549"/>
      <c r="K44" s="548"/>
      <c r="L44" s="548"/>
      <c r="M44" s="533"/>
      <c r="N44" s="548"/>
      <c r="O44" s="548"/>
      <c r="P44" s="548"/>
      <c r="Q44" s="548"/>
      <c r="R44" s="549"/>
      <c r="S44" s="548"/>
      <c r="T44" s="548"/>
      <c r="U44" s="533"/>
      <c r="V44" s="549"/>
      <c r="W44" s="548"/>
      <c r="X44" s="548"/>
      <c r="Y44" s="533"/>
      <c r="Z44" s="548"/>
      <c r="AA44" s="548"/>
      <c r="AB44" s="548"/>
      <c r="AC44" s="533"/>
      <c r="AD44" s="548">
        <f t="shared" si="11"/>
        <v>7277</v>
      </c>
      <c r="AE44" s="548">
        <f t="shared" si="11"/>
        <v>7589</v>
      </c>
      <c r="AF44" s="548">
        <f t="shared" si="11"/>
        <v>7235</v>
      </c>
      <c r="AG44" s="533">
        <f t="shared" si="11"/>
        <v>7675</v>
      </c>
    </row>
    <row r="45" spans="1:33" ht="18" customHeight="1">
      <c r="A45" s="532" t="s">
        <v>1034</v>
      </c>
      <c r="B45" s="370">
        <v>607</v>
      </c>
      <c r="C45" s="370">
        <v>304</v>
      </c>
      <c r="D45" s="370">
        <v>15</v>
      </c>
      <c r="E45" s="492">
        <v>349</v>
      </c>
      <c r="F45" s="370">
        <v>0</v>
      </c>
      <c r="G45" s="370">
        <v>0</v>
      </c>
      <c r="H45" s="370"/>
      <c r="I45" s="370"/>
      <c r="J45" s="369"/>
      <c r="K45" s="370"/>
      <c r="L45" s="370"/>
      <c r="M45" s="492"/>
      <c r="N45" s="370"/>
      <c r="O45" s="370"/>
      <c r="P45" s="370"/>
      <c r="Q45" s="370"/>
      <c r="R45" s="369"/>
      <c r="S45" s="370"/>
      <c r="T45" s="370"/>
      <c r="U45" s="492"/>
      <c r="V45" s="369"/>
      <c r="W45" s="370"/>
      <c r="X45" s="370"/>
      <c r="Y45" s="492"/>
      <c r="Z45" s="370"/>
      <c r="AA45" s="370"/>
      <c r="AB45" s="370"/>
      <c r="AC45" s="492"/>
      <c r="AD45" s="548">
        <f t="shared" si="11"/>
        <v>607</v>
      </c>
      <c r="AE45" s="548">
        <f t="shared" si="11"/>
        <v>304</v>
      </c>
      <c r="AF45" s="548">
        <f t="shared" si="11"/>
        <v>15</v>
      </c>
      <c r="AG45" s="492">
        <f t="shared" si="11"/>
        <v>349</v>
      </c>
    </row>
    <row r="46" spans="1:33" ht="18" customHeight="1">
      <c r="A46" s="94" t="str">
        <f>+'51'!A46</f>
        <v xml:space="preserve"> TECNOLOGO  MEDICO</v>
      </c>
      <c r="B46" s="548">
        <v>4506</v>
      </c>
      <c r="C46" s="548">
        <v>5438</v>
      </c>
      <c r="D46" s="548">
        <v>3376</v>
      </c>
      <c r="E46" s="533">
        <v>3037</v>
      </c>
      <c r="F46" s="548">
        <v>0</v>
      </c>
      <c r="G46" s="548">
        <v>0</v>
      </c>
      <c r="H46" s="548"/>
      <c r="I46" s="548"/>
      <c r="J46" s="549"/>
      <c r="K46" s="548"/>
      <c r="L46" s="548"/>
      <c r="M46" s="533"/>
      <c r="N46" s="548"/>
      <c r="O46" s="548"/>
      <c r="P46" s="548"/>
      <c r="Q46" s="548"/>
      <c r="R46" s="549"/>
      <c r="S46" s="548"/>
      <c r="T46" s="548"/>
      <c r="U46" s="533"/>
      <c r="V46" s="549"/>
      <c r="W46" s="548"/>
      <c r="X46" s="548"/>
      <c r="Y46" s="533"/>
      <c r="Z46" s="548"/>
      <c r="AA46" s="548"/>
      <c r="AB46" s="548"/>
      <c r="AC46" s="533"/>
      <c r="AD46" s="548">
        <f t="shared" ref="AD46:AG47" si="12">+N46+J46+F46+B46</f>
        <v>4506</v>
      </c>
      <c r="AE46" s="548">
        <f t="shared" si="12"/>
        <v>5438</v>
      </c>
      <c r="AF46" s="548">
        <f t="shared" si="12"/>
        <v>3376</v>
      </c>
      <c r="AG46" s="492">
        <f t="shared" si="12"/>
        <v>3037</v>
      </c>
    </row>
    <row r="47" spans="1:33" ht="18" customHeight="1">
      <c r="A47" s="15" t="s">
        <v>1036</v>
      </c>
      <c r="B47" s="551">
        <v>1287</v>
      </c>
      <c r="C47" s="551">
        <v>1803</v>
      </c>
      <c r="D47" s="551">
        <v>1763</v>
      </c>
      <c r="E47" s="552">
        <v>1652</v>
      </c>
      <c r="F47" s="551">
        <v>473</v>
      </c>
      <c r="G47" s="551">
        <v>663</v>
      </c>
      <c r="H47" s="551">
        <v>666</v>
      </c>
      <c r="I47" s="551">
        <v>620</v>
      </c>
      <c r="J47" s="553"/>
      <c r="K47" s="551"/>
      <c r="L47" s="551"/>
      <c r="M47" s="552"/>
      <c r="N47" s="551">
        <v>18</v>
      </c>
      <c r="O47" s="551">
        <v>7</v>
      </c>
      <c r="P47" s="551">
        <v>1</v>
      </c>
      <c r="Q47" s="551">
        <v>1</v>
      </c>
      <c r="R47" s="553">
        <v>64</v>
      </c>
      <c r="S47" s="551">
        <v>46</v>
      </c>
      <c r="T47" s="551">
        <v>4</v>
      </c>
      <c r="U47" s="552">
        <v>56</v>
      </c>
      <c r="V47" s="553"/>
      <c r="W47" s="551"/>
      <c r="X47" s="551"/>
      <c r="Y47" s="552"/>
      <c r="Z47" s="551"/>
      <c r="AA47" s="551"/>
      <c r="AB47" s="551"/>
      <c r="AC47" s="552"/>
      <c r="AD47" s="551">
        <f t="shared" si="12"/>
        <v>1778</v>
      </c>
      <c r="AE47" s="551">
        <f>+O47+K47+G47+C47+S47</f>
        <v>2519</v>
      </c>
      <c r="AF47" s="551">
        <f>+P47+L47+H47+D47+T47</f>
        <v>2434</v>
      </c>
      <c r="AG47" s="552">
        <f>+Q47+M47+I47+E47+U47</f>
        <v>2329</v>
      </c>
    </row>
    <row r="48" spans="1:33">
      <c r="B48" s="554"/>
      <c r="C48" s="554"/>
      <c r="D48" s="554"/>
      <c r="E48" s="554"/>
      <c r="F48" s="554"/>
      <c r="G48" s="554"/>
      <c r="H48" s="554"/>
      <c r="I48" s="554"/>
      <c r="J48" s="554"/>
      <c r="K48" s="554"/>
      <c r="L48" s="554"/>
      <c r="M48" s="554"/>
      <c r="N48" s="554"/>
      <c r="O48" s="554"/>
      <c r="P48" s="554"/>
      <c r="Q48" s="554"/>
      <c r="R48" s="554"/>
      <c r="S48" s="554"/>
      <c r="T48" s="554"/>
      <c r="U48" s="554"/>
      <c r="V48" s="554"/>
      <c r="W48" s="554"/>
      <c r="X48" s="554"/>
      <c r="Y48" s="554"/>
      <c r="Z48" s="554"/>
      <c r="AA48" s="554"/>
      <c r="AB48" s="554"/>
      <c r="AC48" s="554"/>
      <c r="AD48" s="554"/>
      <c r="AE48" s="554"/>
      <c r="AF48" s="554"/>
      <c r="AG48" s="554"/>
    </row>
    <row r="49" spans="2:33">
      <c r="B49" s="554"/>
      <c r="C49" s="554"/>
      <c r="D49" s="554"/>
      <c r="E49" s="554"/>
      <c r="F49" s="554"/>
      <c r="G49" s="554"/>
      <c r="H49" s="554"/>
      <c r="I49" s="554"/>
      <c r="J49" s="554"/>
      <c r="K49" s="554"/>
      <c r="L49" s="554"/>
      <c r="M49" s="554"/>
      <c r="N49" s="554"/>
      <c r="O49" s="554"/>
      <c r="P49" s="554"/>
      <c r="Q49" s="554"/>
      <c r="R49" s="554"/>
      <c r="S49" s="554"/>
      <c r="T49" s="554"/>
      <c r="U49" s="554"/>
      <c r="V49" s="554"/>
      <c r="W49" s="554"/>
      <c r="X49" s="554"/>
      <c r="Y49" s="554"/>
      <c r="Z49" s="554"/>
      <c r="AA49" s="554"/>
      <c r="AB49" s="554"/>
      <c r="AC49" s="554"/>
      <c r="AD49" s="554"/>
      <c r="AE49" s="554"/>
      <c r="AF49" s="554"/>
      <c r="AG49" s="554"/>
    </row>
    <row r="50" spans="2:33">
      <c r="B50" s="554"/>
      <c r="C50" s="554"/>
      <c r="D50" s="554"/>
      <c r="E50" s="554"/>
      <c r="F50" s="554"/>
      <c r="G50" s="554"/>
      <c r="H50" s="554"/>
      <c r="I50" s="554"/>
      <c r="J50" s="554"/>
      <c r="K50" s="554"/>
      <c r="L50" s="554"/>
      <c r="M50" s="554"/>
      <c r="N50" s="554"/>
      <c r="O50" s="554"/>
      <c r="P50" s="554"/>
      <c r="Q50" s="554"/>
      <c r="R50" s="554"/>
      <c r="S50" s="554"/>
      <c r="T50" s="554"/>
      <c r="U50" s="554"/>
      <c r="V50" s="554"/>
      <c r="W50" s="554"/>
      <c r="X50" s="554"/>
      <c r="Y50" s="554"/>
      <c r="Z50" s="554"/>
      <c r="AA50" s="554"/>
      <c r="AB50" s="554"/>
      <c r="AC50" s="554"/>
      <c r="AD50" s="554"/>
      <c r="AE50" s="554"/>
      <c r="AF50" s="554"/>
      <c r="AG50" s="554"/>
    </row>
    <row r="51" spans="2:33">
      <c r="B51" s="554"/>
      <c r="C51" s="554"/>
      <c r="D51" s="554"/>
      <c r="E51" s="554"/>
      <c r="F51" s="554"/>
      <c r="G51" s="554"/>
      <c r="H51" s="554"/>
      <c r="I51" s="554"/>
      <c r="J51" s="554"/>
      <c r="K51" s="554"/>
      <c r="L51" s="554"/>
      <c r="M51" s="554"/>
      <c r="N51" s="554"/>
      <c r="O51" s="554"/>
      <c r="P51" s="554"/>
      <c r="Q51" s="554"/>
      <c r="R51" s="554"/>
      <c r="S51" s="554"/>
      <c r="T51" s="554"/>
      <c r="U51" s="554"/>
      <c r="V51" s="554"/>
      <c r="W51" s="554"/>
      <c r="X51" s="554"/>
      <c r="Y51" s="554"/>
      <c r="Z51" s="554"/>
      <c r="AA51" s="554"/>
      <c r="AB51" s="554"/>
      <c r="AC51" s="554"/>
      <c r="AD51" s="554"/>
      <c r="AE51" s="554"/>
      <c r="AF51" s="554"/>
      <c r="AG51" s="554"/>
    </row>
    <row r="52" spans="2:33">
      <c r="B52" s="554"/>
      <c r="C52" s="554"/>
      <c r="D52" s="554"/>
      <c r="E52" s="554"/>
      <c r="F52" s="554"/>
      <c r="G52" s="554"/>
      <c r="H52" s="554"/>
      <c r="I52" s="554"/>
      <c r="J52" s="554"/>
      <c r="K52" s="554"/>
      <c r="L52" s="554"/>
      <c r="M52" s="554"/>
      <c r="N52" s="554"/>
      <c r="O52" s="554"/>
      <c r="P52" s="554"/>
      <c r="Q52" s="554"/>
      <c r="R52" s="554"/>
      <c r="S52" s="554"/>
      <c r="T52" s="554"/>
      <c r="U52" s="554"/>
      <c r="V52" s="554"/>
      <c r="W52" s="554"/>
      <c r="X52" s="554"/>
      <c r="Y52" s="554"/>
      <c r="Z52" s="554"/>
      <c r="AA52" s="554"/>
      <c r="AB52" s="554"/>
      <c r="AC52" s="554"/>
      <c r="AD52" s="554"/>
      <c r="AE52" s="554"/>
      <c r="AF52" s="554"/>
      <c r="AG52" s="554"/>
    </row>
    <row r="53" spans="2:33">
      <c r="B53" s="554"/>
      <c r="C53" s="554"/>
      <c r="D53" s="554"/>
      <c r="E53" s="554"/>
      <c r="F53" s="554"/>
      <c r="G53" s="554"/>
      <c r="H53" s="554"/>
      <c r="I53" s="554"/>
      <c r="J53" s="554"/>
      <c r="K53" s="554"/>
      <c r="L53" s="554"/>
      <c r="M53" s="554"/>
      <c r="N53" s="554"/>
      <c r="O53" s="554"/>
      <c r="P53" s="554"/>
      <c r="Q53" s="554"/>
      <c r="R53" s="554"/>
      <c r="S53" s="554"/>
      <c r="T53" s="554"/>
      <c r="U53" s="554"/>
      <c r="V53" s="554"/>
      <c r="W53" s="554"/>
      <c r="X53" s="554"/>
      <c r="Y53" s="554"/>
      <c r="Z53" s="554"/>
      <c r="AA53" s="554"/>
      <c r="AB53" s="554"/>
      <c r="AC53" s="554"/>
      <c r="AD53" s="554"/>
      <c r="AE53" s="554"/>
      <c r="AF53" s="554"/>
      <c r="AG53" s="554"/>
    </row>
    <row r="54" spans="2:33">
      <c r="B54" s="554"/>
      <c r="C54" s="554"/>
      <c r="D54" s="554"/>
      <c r="E54" s="554"/>
      <c r="F54" s="554"/>
      <c r="G54" s="554"/>
      <c r="H54" s="554"/>
      <c r="I54" s="554"/>
      <c r="J54" s="554"/>
      <c r="K54" s="554"/>
      <c r="L54" s="554"/>
      <c r="M54" s="554"/>
      <c r="N54" s="554"/>
      <c r="O54" s="554"/>
      <c r="P54" s="554"/>
      <c r="Q54" s="554"/>
      <c r="R54" s="554"/>
      <c r="S54" s="554"/>
      <c r="T54" s="554"/>
      <c r="U54" s="554"/>
      <c r="V54" s="554"/>
      <c r="W54" s="554"/>
      <c r="X54" s="554"/>
      <c r="Y54" s="554"/>
      <c r="Z54" s="554"/>
      <c r="AA54" s="554"/>
      <c r="AB54" s="554"/>
      <c r="AC54" s="554"/>
      <c r="AD54" s="554"/>
      <c r="AE54" s="554"/>
      <c r="AF54" s="554"/>
      <c r="AG54" s="554"/>
    </row>
    <row r="55" spans="2:33">
      <c r="B55" s="554"/>
      <c r="C55" s="554"/>
      <c r="D55" s="554"/>
      <c r="E55" s="554"/>
      <c r="F55" s="554"/>
      <c r="G55" s="554"/>
      <c r="H55" s="554"/>
      <c r="I55" s="554"/>
      <c r="J55" s="554"/>
      <c r="K55" s="554"/>
      <c r="L55" s="554"/>
      <c r="M55" s="554"/>
      <c r="N55" s="554"/>
      <c r="O55" s="554"/>
      <c r="P55" s="554"/>
      <c r="Q55" s="554"/>
      <c r="R55" s="554"/>
      <c r="S55" s="554"/>
      <c r="T55" s="554"/>
      <c r="U55" s="554"/>
      <c r="V55" s="554"/>
      <c r="W55" s="554"/>
      <c r="X55" s="554"/>
      <c r="Y55" s="554"/>
      <c r="Z55" s="554"/>
      <c r="AA55" s="554"/>
      <c r="AB55" s="554"/>
      <c r="AC55" s="554"/>
      <c r="AD55" s="554"/>
      <c r="AE55" s="554"/>
      <c r="AF55" s="554"/>
      <c r="AG55" s="554"/>
    </row>
    <row r="56" spans="2:33">
      <c r="B56" s="554"/>
      <c r="C56" s="554"/>
      <c r="D56" s="554"/>
      <c r="E56" s="554"/>
      <c r="F56" s="554"/>
      <c r="G56" s="554"/>
      <c r="H56" s="554"/>
      <c r="I56" s="554"/>
      <c r="J56" s="554"/>
      <c r="K56" s="554"/>
      <c r="L56" s="554"/>
      <c r="M56" s="554"/>
      <c r="N56" s="554"/>
      <c r="O56" s="554"/>
      <c r="P56" s="554"/>
      <c r="Q56" s="554"/>
      <c r="R56" s="554"/>
      <c r="S56" s="554"/>
      <c r="T56" s="554"/>
      <c r="U56" s="554"/>
      <c r="V56" s="554"/>
      <c r="W56" s="554"/>
      <c r="X56" s="554"/>
      <c r="Y56" s="554"/>
      <c r="Z56" s="554"/>
      <c r="AA56" s="554"/>
      <c r="AB56" s="554"/>
      <c r="AC56" s="554"/>
      <c r="AD56" s="554"/>
      <c r="AE56" s="554"/>
      <c r="AF56" s="554"/>
      <c r="AG56" s="554"/>
    </row>
    <row r="57" spans="2:33">
      <c r="B57" s="554"/>
      <c r="C57" s="554"/>
      <c r="D57" s="554"/>
      <c r="E57" s="554"/>
      <c r="F57" s="554"/>
      <c r="G57" s="554"/>
      <c r="H57" s="554"/>
      <c r="I57" s="554"/>
      <c r="J57" s="554"/>
      <c r="K57" s="554"/>
      <c r="L57" s="554"/>
      <c r="M57" s="554"/>
      <c r="N57" s="554"/>
      <c r="O57" s="554"/>
      <c r="P57" s="554"/>
      <c r="Q57" s="554"/>
      <c r="R57" s="554"/>
      <c r="S57" s="554"/>
      <c r="T57" s="554"/>
      <c r="U57" s="554"/>
      <c r="V57" s="554"/>
      <c r="W57" s="554"/>
      <c r="X57" s="554"/>
      <c r="Y57" s="554"/>
      <c r="Z57" s="554"/>
      <c r="AA57" s="554"/>
      <c r="AB57" s="554"/>
      <c r="AC57" s="554"/>
      <c r="AD57" s="554"/>
      <c r="AE57" s="554"/>
      <c r="AF57" s="554"/>
      <c r="AG57" s="554"/>
    </row>
    <row r="58" spans="2:33">
      <c r="B58" s="554"/>
      <c r="C58" s="554"/>
      <c r="D58" s="554"/>
      <c r="E58" s="554"/>
      <c r="F58" s="554"/>
      <c r="G58" s="554"/>
      <c r="H58" s="554"/>
      <c r="I58" s="554"/>
      <c r="J58" s="554"/>
      <c r="K58" s="554"/>
      <c r="L58" s="554"/>
      <c r="M58" s="554"/>
      <c r="N58" s="554"/>
      <c r="O58" s="554"/>
      <c r="P58" s="554"/>
      <c r="Q58" s="554"/>
      <c r="R58" s="554"/>
      <c r="S58" s="554"/>
      <c r="T58" s="554"/>
      <c r="U58" s="554"/>
      <c r="V58" s="554"/>
      <c r="W58" s="554"/>
      <c r="X58" s="554"/>
      <c r="Y58" s="554"/>
      <c r="Z58" s="554"/>
      <c r="AA58" s="554"/>
      <c r="AB58" s="554"/>
      <c r="AC58" s="554"/>
      <c r="AD58" s="554"/>
      <c r="AE58" s="554"/>
      <c r="AF58" s="554"/>
      <c r="AG58" s="554"/>
    </row>
    <row r="59" spans="2:33">
      <c r="B59" s="554"/>
      <c r="C59" s="554"/>
      <c r="D59" s="554"/>
      <c r="E59" s="554"/>
      <c r="F59" s="554"/>
      <c r="G59" s="554"/>
      <c r="H59" s="554"/>
      <c r="I59" s="554"/>
      <c r="J59" s="554"/>
      <c r="K59" s="554"/>
      <c r="L59" s="554"/>
      <c r="M59" s="554"/>
      <c r="N59" s="554"/>
      <c r="O59" s="554"/>
      <c r="P59" s="554"/>
      <c r="Q59" s="554"/>
      <c r="R59" s="554"/>
      <c r="S59" s="554"/>
      <c r="T59" s="554"/>
      <c r="U59" s="554"/>
      <c r="V59" s="554"/>
      <c r="W59" s="554"/>
      <c r="X59" s="554"/>
      <c r="Y59" s="554"/>
      <c r="Z59" s="554"/>
      <c r="AA59" s="554"/>
      <c r="AB59" s="554"/>
      <c r="AC59" s="554"/>
      <c r="AD59" s="554"/>
      <c r="AE59" s="554"/>
      <c r="AF59" s="554"/>
      <c r="AG59" s="554"/>
    </row>
    <row r="60" spans="2:33">
      <c r="B60" s="554"/>
      <c r="C60" s="554"/>
      <c r="D60" s="554"/>
      <c r="E60" s="554"/>
      <c r="F60" s="554"/>
      <c r="G60" s="554"/>
      <c r="H60" s="554"/>
      <c r="I60" s="554"/>
      <c r="J60" s="554"/>
      <c r="K60" s="554"/>
      <c r="L60" s="554"/>
      <c r="M60" s="554"/>
      <c r="N60" s="554"/>
      <c r="O60" s="554"/>
      <c r="P60" s="554"/>
      <c r="Q60" s="554"/>
      <c r="R60" s="554"/>
      <c r="S60" s="554"/>
      <c r="T60" s="554"/>
      <c r="U60" s="554"/>
      <c r="V60" s="554"/>
      <c r="W60" s="554"/>
      <c r="X60" s="554"/>
      <c r="Y60" s="554"/>
      <c r="Z60" s="554"/>
      <c r="AA60" s="554"/>
      <c r="AB60" s="554"/>
      <c r="AC60" s="554"/>
      <c r="AD60" s="554"/>
      <c r="AE60" s="554"/>
      <c r="AF60" s="554"/>
      <c r="AG60" s="554"/>
    </row>
    <row r="61" spans="2:33">
      <c r="B61" s="554"/>
      <c r="C61" s="554"/>
      <c r="D61" s="554"/>
      <c r="E61" s="554"/>
      <c r="F61" s="554"/>
      <c r="G61" s="554"/>
      <c r="H61" s="554"/>
      <c r="I61" s="554"/>
      <c r="J61" s="554"/>
      <c r="K61" s="554"/>
      <c r="L61" s="554"/>
      <c r="M61" s="554"/>
      <c r="N61" s="554"/>
      <c r="O61" s="554"/>
      <c r="P61" s="554"/>
      <c r="Q61" s="554"/>
      <c r="R61" s="554"/>
      <c r="S61" s="554"/>
      <c r="T61" s="554"/>
      <c r="U61" s="554"/>
      <c r="V61" s="554"/>
      <c r="W61" s="554"/>
      <c r="X61" s="554"/>
      <c r="Y61" s="554"/>
      <c r="Z61" s="554"/>
      <c r="AA61" s="554"/>
      <c r="AB61" s="554"/>
      <c r="AC61" s="554"/>
      <c r="AD61" s="554"/>
      <c r="AE61" s="554"/>
      <c r="AF61" s="554"/>
      <c r="AG61" s="554"/>
    </row>
    <row r="62" spans="2:33">
      <c r="B62" s="554"/>
      <c r="C62" s="554"/>
      <c r="D62" s="554"/>
      <c r="E62" s="554"/>
      <c r="F62" s="554"/>
      <c r="G62" s="554"/>
      <c r="H62" s="554"/>
      <c r="I62" s="554"/>
      <c r="J62" s="554"/>
      <c r="K62" s="554"/>
      <c r="L62" s="554"/>
      <c r="M62" s="554"/>
      <c r="N62" s="554"/>
      <c r="O62" s="554"/>
      <c r="P62" s="554"/>
      <c r="Q62" s="554"/>
      <c r="R62" s="554"/>
      <c r="S62" s="554"/>
      <c r="T62" s="554"/>
      <c r="U62" s="554"/>
      <c r="V62" s="554"/>
      <c r="W62" s="554"/>
      <c r="X62" s="554"/>
      <c r="Y62" s="554"/>
      <c r="Z62" s="554"/>
      <c r="AA62" s="554"/>
      <c r="AB62" s="554"/>
      <c r="AC62" s="554"/>
      <c r="AD62" s="554"/>
      <c r="AE62" s="554"/>
      <c r="AF62" s="554"/>
      <c r="AG62" s="554"/>
    </row>
    <row r="63" spans="2:33">
      <c r="B63" s="554"/>
      <c r="C63" s="554"/>
      <c r="D63" s="554"/>
      <c r="E63" s="554"/>
      <c r="F63" s="554"/>
      <c r="G63" s="554"/>
      <c r="H63" s="554"/>
      <c r="I63" s="554"/>
      <c r="J63" s="554"/>
      <c r="K63" s="554"/>
      <c r="L63" s="554"/>
      <c r="M63" s="554"/>
      <c r="N63" s="554"/>
      <c r="O63" s="554"/>
      <c r="P63" s="554"/>
      <c r="Q63" s="554"/>
      <c r="R63" s="554"/>
      <c r="S63" s="554"/>
      <c r="T63" s="554"/>
      <c r="U63" s="554"/>
      <c r="V63" s="554"/>
      <c r="W63" s="554"/>
      <c r="X63" s="554"/>
      <c r="Y63" s="554"/>
      <c r="Z63" s="554"/>
      <c r="AA63" s="554"/>
      <c r="AB63" s="554"/>
      <c r="AC63" s="554"/>
      <c r="AD63" s="554"/>
      <c r="AE63" s="554"/>
      <c r="AF63" s="554"/>
      <c r="AG63" s="554"/>
    </row>
    <row r="64" spans="2:33">
      <c r="B64" s="554"/>
      <c r="C64" s="554"/>
      <c r="D64" s="554"/>
      <c r="E64" s="554"/>
      <c r="F64" s="554"/>
      <c r="G64" s="554"/>
      <c r="H64" s="554"/>
      <c r="I64" s="554"/>
      <c r="J64" s="554"/>
      <c r="K64" s="554"/>
      <c r="L64" s="554"/>
      <c r="M64" s="554"/>
      <c r="N64" s="554"/>
      <c r="O64" s="554"/>
      <c r="P64" s="554"/>
      <c r="Q64" s="554"/>
      <c r="R64" s="554"/>
      <c r="S64" s="554"/>
      <c r="T64" s="554"/>
      <c r="U64" s="554"/>
      <c r="V64" s="554"/>
      <c r="W64" s="554"/>
      <c r="X64" s="554"/>
      <c r="Y64" s="554"/>
      <c r="Z64" s="554"/>
      <c r="AA64" s="554"/>
      <c r="AB64" s="554"/>
      <c r="AC64" s="554"/>
      <c r="AD64" s="554"/>
      <c r="AE64" s="554"/>
      <c r="AF64" s="554"/>
      <c r="AG64" s="554"/>
    </row>
    <row r="65" spans="2:33">
      <c r="B65" s="554"/>
      <c r="C65" s="554"/>
      <c r="D65" s="554"/>
      <c r="E65" s="554"/>
      <c r="F65" s="554"/>
      <c r="G65" s="554"/>
      <c r="H65" s="554"/>
      <c r="I65" s="554"/>
      <c r="J65" s="554"/>
      <c r="K65" s="554"/>
      <c r="L65" s="554"/>
      <c r="M65" s="554"/>
      <c r="N65" s="554"/>
      <c r="O65" s="554"/>
      <c r="P65" s="554"/>
      <c r="Q65" s="554"/>
      <c r="R65" s="554"/>
      <c r="S65" s="554"/>
      <c r="T65" s="554"/>
      <c r="U65" s="554"/>
      <c r="V65" s="554"/>
      <c r="W65" s="554"/>
      <c r="X65" s="554"/>
      <c r="Y65" s="554"/>
      <c r="Z65" s="554"/>
      <c r="AA65" s="554"/>
      <c r="AB65" s="554"/>
      <c r="AC65" s="554"/>
      <c r="AD65" s="554"/>
      <c r="AE65" s="554"/>
      <c r="AF65" s="554"/>
      <c r="AG65" s="554"/>
    </row>
    <row r="66" spans="2:33">
      <c r="B66" s="554"/>
      <c r="C66" s="554"/>
      <c r="D66" s="554"/>
      <c r="E66" s="554"/>
      <c r="F66" s="554"/>
      <c r="G66" s="554"/>
      <c r="H66" s="554"/>
      <c r="I66" s="554"/>
      <c r="J66" s="554"/>
      <c r="K66" s="554"/>
      <c r="L66" s="554"/>
      <c r="M66" s="554"/>
      <c r="N66" s="554"/>
      <c r="O66" s="554"/>
      <c r="P66" s="554"/>
      <c r="Q66" s="554"/>
      <c r="R66" s="554"/>
      <c r="S66" s="554"/>
      <c r="T66" s="554"/>
      <c r="U66" s="554"/>
      <c r="V66" s="554"/>
      <c r="W66" s="554"/>
      <c r="X66" s="554"/>
      <c r="Y66" s="554"/>
      <c r="Z66" s="554"/>
      <c r="AA66" s="554"/>
      <c r="AB66" s="554"/>
      <c r="AC66" s="554"/>
      <c r="AD66" s="554"/>
      <c r="AE66" s="554"/>
      <c r="AF66" s="554"/>
      <c r="AG66" s="554"/>
    </row>
    <row r="67" spans="2:33">
      <c r="B67" s="554"/>
      <c r="C67" s="554"/>
      <c r="D67" s="554"/>
      <c r="E67" s="554"/>
      <c r="F67" s="554"/>
      <c r="G67" s="554"/>
      <c r="H67" s="554"/>
      <c r="I67" s="554"/>
      <c r="J67" s="554"/>
      <c r="K67" s="554"/>
      <c r="L67" s="554"/>
      <c r="M67" s="554"/>
      <c r="N67" s="554"/>
      <c r="O67" s="554"/>
      <c r="P67" s="554"/>
      <c r="Q67" s="554"/>
      <c r="R67" s="554"/>
      <c r="S67" s="554"/>
      <c r="T67" s="554"/>
      <c r="U67" s="554"/>
      <c r="V67" s="554"/>
      <c r="W67" s="554"/>
      <c r="X67" s="554"/>
      <c r="Y67" s="554"/>
      <c r="Z67" s="554"/>
      <c r="AA67" s="554"/>
      <c r="AB67" s="554"/>
      <c r="AC67" s="554"/>
      <c r="AD67" s="554"/>
      <c r="AE67" s="554"/>
      <c r="AF67" s="554"/>
      <c r="AG67" s="554"/>
    </row>
    <row r="68" spans="2:33">
      <c r="B68" s="554"/>
      <c r="C68" s="554"/>
      <c r="D68" s="554"/>
      <c r="E68" s="554"/>
      <c r="F68" s="554"/>
      <c r="G68" s="554"/>
      <c r="H68" s="554"/>
      <c r="I68" s="554"/>
      <c r="J68" s="554"/>
      <c r="K68" s="554"/>
      <c r="L68" s="554"/>
      <c r="M68" s="554"/>
      <c r="N68" s="554"/>
      <c r="O68" s="554"/>
      <c r="P68" s="554"/>
      <c r="Q68" s="554"/>
      <c r="R68" s="554"/>
      <c r="S68" s="554"/>
      <c r="T68" s="554"/>
      <c r="U68" s="554"/>
      <c r="V68" s="554"/>
      <c r="W68" s="554"/>
      <c r="X68" s="554"/>
      <c r="Y68" s="554"/>
      <c r="Z68" s="554"/>
      <c r="AA68" s="554"/>
      <c r="AB68" s="554"/>
      <c r="AC68" s="554"/>
      <c r="AD68" s="554"/>
      <c r="AE68" s="554"/>
      <c r="AF68" s="554"/>
      <c r="AG68" s="554"/>
    </row>
    <row r="69" spans="2:33">
      <c r="B69" s="554"/>
      <c r="C69" s="554"/>
      <c r="D69" s="554"/>
      <c r="E69" s="554"/>
      <c r="F69" s="554"/>
      <c r="G69" s="554"/>
      <c r="H69" s="554"/>
      <c r="I69" s="554"/>
      <c r="J69" s="554"/>
      <c r="K69" s="554"/>
      <c r="L69" s="554"/>
      <c r="M69" s="554"/>
      <c r="N69" s="554"/>
      <c r="O69" s="554"/>
      <c r="P69" s="554"/>
      <c r="Q69" s="554"/>
      <c r="R69" s="554"/>
      <c r="S69" s="554"/>
      <c r="T69" s="554"/>
      <c r="U69" s="554"/>
      <c r="V69" s="554"/>
      <c r="W69" s="554"/>
      <c r="X69" s="554"/>
      <c r="Y69" s="554"/>
      <c r="Z69" s="554"/>
      <c r="AA69" s="554"/>
      <c r="AB69" s="554"/>
      <c r="AC69" s="554"/>
      <c r="AD69" s="554"/>
      <c r="AE69" s="554"/>
      <c r="AF69" s="554"/>
      <c r="AG69" s="554"/>
    </row>
    <row r="70" spans="2:33">
      <c r="B70" s="554"/>
      <c r="C70" s="554"/>
      <c r="D70" s="554"/>
      <c r="E70" s="554"/>
      <c r="F70" s="554"/>
      <c r="G70" s="554"/>
      <c r="H70" s="554"/>
      <c r="I70" s="554"/>
      <c r="J70" s="554"/>
      <c r="K70" s="554"/>
      <c r="L70" s="554"/>
      <c r="M70" s="554"/>
      <c r="N70" s="554"/>
      <c r="O70" s="554"/>
      <c r="P70" s="554"/>
      <c r="Q70" s="554"/>
      <c r="R70" s="554"/>
      <c r="S70" s="554"/>
      <c r="T70" s="554"/>
      <c r="U70" s="554"/>
      <c r="V70" s="554"/>
      <c r="W70" s="554"/>
      <c r="X70" s="554"/>
      <c r="Y70" s="554"/>
      <c r="Z70" s="554"/>
      <c r="AA70" s="554"/>
      <c r="AB70" s="554"/>
      <c r="AC70" s="554"/>
      <c r="AD70" s="554"/>
      <c r="AE70" s="554"/>
      <c r="AF70" s="554"/>
      <c r="AG70" s="554"/>
    </row>
    <row r="71" spans="2:33">
      <c r="B71" s="554"/>
      <c r="C71" s="554"/>
      <c r="D71" s="554"/>
      <c r="E71" s="554"/>
      <c r="F71" s="554"/>
      <c r="G71" s="554"/>
      <c r="H71" s="554"/>
      <c r="I71" s="554"/>
      <c r="J71" s="554"/>
      <c r="K71" s="554"/>
      <c r="L71" s="554"/>
      <c r="M71" s="554"/>
      <c r="N71" s="554"/>
      <c r="O71" s="554"/>
      <c r="P71" s="554"/>
      <c r="Q71" s="554"/>
      <c r="R71" s="554"/>
      <c r="S71" s="554"/>
      <c r="T71" s="554"/>
      <c r="U71" s="554"/>
      <c r="V71" s="554"/>
      <c r="W71" s="554"/>
      <c r="X71" s="554"/>
      <c r="Y71" s="554"/>
      <c r="Z71" s="554"/>
      <c r="AA71" s="554"/>
      <c r="AB71" s="554"/>
      <c r="AC71" s="554"/>
      <c r="AD71" s="554"/>
      <c r="AE71" s="554"/>
      <c r="AF71" s="554"/>
      <c r="AG71" s="554"/>
    </row>
    <row r="72" spans="2:33">
      <c r="B72" s="554"/>
      <c r="C72" s="554"/>
      <c r="D72" s="554"/>
      <c r="E72" s="554"/>
      <c r="F72" s="554"/>
      <c r="G72" s="554"/>
      <c r="H72" s="554"/>
      <c r="I72" s="554"/>
      <c r="J72" s="554"/>
      <c r="K72" s="554"/>
      <c r="L72" s="554"/>
      <c r="M72" s="554"/>
      <c r="N72" s="554"/>
      <c r="O72" s="554"/>
      <c r="P72" s="554"/>
      <c r="Q72" s="554"/>
      <c r="R72" s="554"/>
      <c r="S72" s="554"/>
      <c r="T72" s="554"/>
      <c r="U72" s="554"/>
      <c r="V72" s="554"/>
      <c r="W72" s="554"/>
      <c r="X72" s="554"/>
      <c r="Y72" s="554"/>
      <c r="Z72" s="554"/>
      <c r="AA72" s="554"/>
      <c r="AB72" s="554"/>
      <c r="AC72" s="554"/>
      <c r="AD72" s="554"/>
      <c r="AE72" s="554"/>
      <c r="AF72" s="554"/>
      <c r="AG72" s="554"/>
    </row>
    <row r="73" spans="2:33">
      <c r="B73" s="554"/>
      <c r="C73" s="554"/>
      <c r="D73" s="554"/>
      <c r="E73" s="554"/>
      <c r="F73" s="554"/>
      <c r="G73" s="554"/>
      <c r="H73" s="554"/>
      <c r="I73" s="554"/>
      <c r="J73" s="554"/>
      <c r="K73" s="554"/>
      <c r="L73" s="554"/>
      <c r="M73" s="554"/>
      <c r="N73" s="554"/>
      <c r="O73" s="554"/>
      <c r="P73" s="554"/>
      <c r="Q73" s="554"/>
      <c r="R73" s="554"/>
      <c r="S73" s="554"/>
      <c r="T73" s="554"/>
      <c r="U73" s="554"/>
      <c r="V73" s="554"/>
      <c r="W73" s="554"/>
      <c r="X73" s="554"/>
      <c r="Y73" s="554"/>
      <c r="Z73" s="554"/>
      <c r="AA73" s="554"/>
      <c r="AB73" s="554"/>
      <c r="AC73" s="554"/>
      <c r="AD73" s="554"/>
      <c r="AE73" s="554"/>
      <c r="AF73" s="554"/>
      <c r="AG73" s="554"/>
    </row>
    <row r="74" spans="2:33">
      <c r="B74" s="554"/>
      <c r="C74" s="554"/>
      <c r="D74" s="554"/>
      <c r="E74" s="554"/>
      <c r="F74" s="554"/>
      <c r="G74" s="554"/>
      <c r="H74" s="554"/>
      <c r="I74" s="554"/>
      <c r="J74" s="554"/>
      <c r="K74" s="554"/>
      <c r="L74" s="554"/>
      <c r="M74" s="554"/>
      <c r="N74" s="554"/>
      <c r="O74" s="554"/>
      <c r="P74" s="554"/>
      <c r="Q74" s="554"/>
      <c r="R74" s="554"/>
      <c r="S74" s="554"/>
      <c r="T74" s="554"/>
      <c r="U74" s="554"/>
      <c r="V74" s="554"/>
      <c r="W74" s="554"/>
      <c r="X74" s="554"/>
      <c r="Y74" s="554"/>
      <c r="Z74" s="554"/>
      <c r="AA74" s="554"/>
      <c r="AB74" s="554"/>
      <c r="AC74" s="554"/>
      <c r="AD74" s="554"/>
      <c r="AE74" s="554"/>
      <c r="AF74" s="554"/>
      <c r="AG74" s="554"/>
    </row>
  </sheetData>
  <mergeCells count="11">
    <mergeCell ref="Z7:AC7"/>
    <mergeCell ref="A1:AG1"/>
    <mergeCell ref="A2:AG2"/>
    <mergeCell ref="A3:AG3"/>
    <mergeCell ref="B7:E7"/>
    <mergeCell ref="F7:I7"/>
    <mergeCell ref="J7:M7"/>
    <mergeCell ref="N7:Q7"/>
    <mergeCell ref="AD7:AG7"/>
    <mergeCell ref="V7:Y7"/>
    <mergeCell ref="R7:U7"/>
  </mergeCells>
  <phoneticPr fontId="19" type="noConversion"/>
  <pageMargins left="0.39370078740157483" right="0.39370078740157483" top="0.39370078740157483" bottom="0.39370078740157483" header="0" footer="0"/>
  <pageSetup paperSize="5" scale="73"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9"/>
  <sheetViews>
    <sheetView topLeftCell="A39" zoomScale="75" workbookViewId="0">
      <selection activeCell="AG39" sqref="AG39:AG47"/>
    </sheetView>
  </sheetViews>
  <sheetFormatPr baseColWidth="10" defaultColWidth="27" defaultRowHeight="12"/>
  <cols>
    <col min="1" max="1" width="27" style="208" customWidth="1"/>
    <col min="2" max="21" width="7.140625" style="8" customWidth="1"/>
    <col min="22" max="29" width="7.7109375" style="8" customWidth="1"/>
    <col min="30" max="35" width="7.140625" style="8" customWidth="1"/>
    <col min="36" max="16384" width="27" style="208"/>
  </cols>
  <sheetData>
    <row r="1" spans="1:33">
      <c r="A1" s="1393" t="s">
        <v>996</v>
      </c>
      <c r="B1" s="1393"/>
      <c r="C1" s="1393"/>
      <c r="D1" s="1393"/>
      <c r="E1" s="1393"/>
      <c r="F1" s="1393"/>
      <c r="G1" s="1393"/>
      <c r="H1" s="1393"/>
      <c r="I1" s="1393"/>
      <c r="J1" s="1393"/>
      <c r="K1" s="1393"/>
      <c r="L1" s="1393"/>
      <c r="M1" s="1393"/>
      <c r="N1" s="1393"/>
      <c r="O1" s="1393"/>
      <c r="P1" s="1393"/>
      <c r="Q1" s="1393"/>
      <c r="R1" s="1393"/>
      <c r="S1" s="1393"/>
      <c r="T1" s="1393"/>
      <c r="U1" s="1393"/>
      <c r="V1" s="1393"/>
      <c r="W1" s="1393"/>
      <c r="X1" s="1393"/>
      <c r="Y1" s="1393"/>
      <c r="Z1" s="1393"/>
      <c r="AA1" s="1393"/>
      <c r="AB1" s="1393"/>
      <c r="AC1" s="1393"/>
      <c r="AD1" s="1393"/>
      <c r="AE1" s="1393"/>
      <c r="AF1" s="1393"/>
      <c r="AG1" s="1393"/>
    </row>
    <row r="2" spans="1:33">
      <c r="A2" s="1393" t="s">
        <v>1042</v>
      </c>
      <c r="B2" s="1393"/>
      <c r="C2" s="1393"/>
      <c r="D2" s="1393"/>
      <c r="E2" s="1393"/>
      <c r="F2" s="1393"/>
      <c r="G2" s="1393"/>
      <c r="H2" s="1393"/>
      <c r="I2" s="1393"/>
      <c r="J2" s="1393"/>
      <c r="K2" s="1393"/>
      <c r="L2" s="1393"/>
      <c r="M2" s="1393"/>
      <c r="N2" s="1393"/>
      <c r="O2" s="1393"/>
      <c r="P2" s="1393"/>
      <c r="Q2" s="1393"/>
      <c r="R2" s="1393"/>
      <c r="S2" s="1393"/>
      <c r="T2" s="1393"/>
      <c r="U2" s="1393"/>
      <c r="V2" s="1393"/>
      <c r="W2" s="1393"/>
      <c r="X2" s="1393"/>
      <c r="Y2" s="1393"/>
      <c r="Z2" s="1393"/>
      <c r="AA2" s="1393"/>
      <c r="AB2" s="1393"/>
      <c r="AC2" s="1393"/>
      <c r="AD2" s="1393"/>
      <c r="AE2" s="1393"/>
      <c r="AF2" s="1393"/>
      <c r="AG2" s="1393"/>
    </row>
    <row r="3" spans="1:33">
      <c r="A3" s="1393" t="s">
        <v>910</v>
      </c>
      <c r="B3" s="1393"/>
      <c r="C3" s="1393"/>
      <c r="D3" s="1393"/>
      <c r="E3" s="1393"/>
      <c r="F3" s="1393"/>
      <c r="G3" s="1393"/>
      <c r="H3" s="1393"/>
      <c r="I3" s="1393"/>
      <c r="J3" s="1393"/>
      <c r="K3" s="1393"/>
      <c r="L3" s="1393"/>
      <c r="M3" s="1393"/>
      <c r="N3" s="1393"/>
      <c r="O3" s="1393"/>
      <c r="P3" s="1393"/>
      <c r="Q3" s="1393"/>
      <c r="R3" s="1393"/>
      <c r="S3" s="1393"/>
      <c r="T3" s="1393"/>
      <c r="U3" s="1393"/>
      <c r="V3" s="1393"/>
      <c r="W3" s="1393"/>
      <c r="X3" s="1393"/>
      <c r="Y3" s="1393"/>
      <c r="Z3" s="1393"/>
      <c r="AA3" s="1393"/>
      <c r="AB3" s="1393"/>
      <c r="AC3" s="1393"/>
      <c r="AD3" s="1393"/>
      <c r="AE3" s="1393"/>
      <c r="AF3" s="1393"/>
      <c r="AG3" s="1393"/>
    </row>
    <row r="6" spans="1:33">
      <c r="A6" s="399" t="s">
        <v>998</v>
      </c>
    </row>
    <row r="7" spans="1:33" ht="18" customHeight="1">
      <c r="A7" s="339" t="s">
        <v>999</v>
      </c>
      <c r="B7" s="1420" t="s">
        <v>1000</v>
      </c>
      <c r="C7" s="1420"/>
      <c r="D7" s="1420"/>
      <c r="E7" s="1420"/>
      <c r="F7" s="1419" t="s">
        <v>916</v>
      </c>
      <c r="G7" s="1420"/>
      <c r="H7" s="1420"/>
      <c r="I7" s="1421"/>
      <c r="J7" s="1420" t="s">
        <v>1001</v>
      </c>
      <c r="K7" s="1420"/>
      <c r="L7" s="1420"/>
      <c r="M7" s="1420"/>
      <c r="N7" s="1419" t="s">
        <v>966</v>
      </c>
      <c r="O7" s="1420"/>
      <c r="P7" s="1420"/>
      <c r="Q7" s="1420"/>
      <c r="R7" s="1419" t="s">
        <v>1288</v>
      </c>
      <c r="S7" s="1420"/>
      <c r="T7" s="1420"/>
      <c r="U7" s="1421"/>
      <c r="V7" s="1388" t="s">
        <v>1040</v>
      </c>
      <c r="W7" s="1389"/>
      <c r="X7" s="1389"/>
      <c r="Y7" s="1390"/>
      <c r="Z7" s="1388" t="str">
        <f>+'52'!Z7:AC7</f>
        <v>CONS. LOS ANDES N°1 MUNICIPAL</v>
      </c>
      <c r="AA7" s="1389"/>
      <c r="AB7" s="1389"/>
      <c r="AC7" s="1390"/>
      <c r="AD7" s="1419" t="s">
        <v>656</v>
      </c>
      <c r="AE7" s="1420"/>
      <c r="AF7" s="1420"/>
      <c r="AG7" s="1421"/>
    </row>
    <row r="8" spans="1:33" ht="18" customHeight="1">
      <c r="A8" s="15"/>
      <c r="B8" s="541">
        <f>+'52'!B8</f>
        <v>2012</v>
      </c>
      <c r="C8" s="541">
        <f>+'52'!C8</f>
        <v>2013</v>
      </c>
      <c r="D8" s="541">
        <f>+'52'!D8</f>
        <v>2014</v>
      </c>
      <c r="E8" s="541">
        <f>+'52'!E8</f>
        <v>2015</v>
      </c>
      <c r="F8" s="481">
        <f>+'52'!F8</f>
        <v>2012</v>
      </c>
      <c r="G8" s="531">
        <f>+'52'!G8</f>
        <v>2013</v>
      </c>
      <c r="H8" s="531">
        <f>+'52'!H8</f>
        <v>2014</v>
      </c>
      <c r="I8" s="536">
        <f>+'52'!I8</f>
        <v>2015</v>
      </c>
      <c r="J8" s="541">
        <f>+'52'!J8</f>
        <v>2012</v>
      </c>
      <c r="K8" s="541">
        <f>+'52'!K8</f>
        <v>2013</v>
      </c>
      <c r="L8" s="541">
        <f>+'52'!L8</f>
        <v>2014</v>
      </c>
      <c r="M8" s="541">
        <f>+'52'!M8</f>
        <v>2015</v>
      </c>
      <c r="N8" s="481">
        <f>+'52'!N8</f>
        <v>2012</v>
      </c>
      <c r="O8" s="531">
        <f>+'52'!O8</f>
        <v>2013</v>
      </c>
      <c r="P8" s="531">
        <f>+'52'!P8</f>
        <v>2014</v>
      </c>
      <c r="Q8" s="531">
        <f>+'52'!Q8</f>
        <v>2015</v>
      </c>
      <c r="R8" s="1204">
        <f>+N8</f>
        <v>2012</v>
      </c>
      <c r="S8" s="360">
        <f>+O8</f>
        <v>2013</v>
      </c>
      <c r="T8" s="360">
        <f>+P8</f>
        <v>2014</v>
      </c>
      <c r="U8" s="361">
        <f>+Q8</f>
        <v>2015</v>
      </c>
      <c r="V8" s="481">
        <f>+'52'!V8</f>
        <v>2012</v>
      </c>
      <c r="W8" s="531">
        <f>+'52'!W8</f>
        <v>2013</v>
      </c>
      <c r="X8" s="531">
        <f>+'52'!X8</f>
        <v>2014</v>
      </c>
      <c r="Y8" s="531">
        <f>+'52'!Y8</f>
        <v>2015</v>
      </c>
      <c r="Z8" s="481">
        <f>+'52'!Z8</f>
        <v>2012</v>
      </c>
      <c r="AA8" s="531">
        <f>+'52'!AA8</f>
        <v>2013</v>
      </c>
      <c r="AB8" s="531">
        <f>+'52'!AB8</f>
        <v>2014</v>
      </c>
      <c r="AC8" s="536">
        <f>+'52'!AC8</f>
        <v>2015</v>
      </c>
      <c r="AD8" s="481">
        <f>+'52'!AD8</f>
        <v>2012</v>
      </c>
      <c r="AE8" s="531">
        <f>+'52'!AE8</f>
        <v>2013</v>
      </c>
      <c r="AF8" s="531">
        <f>+'52'!AF8</f>
        <v>2014</v>
      </c>
      <c r="AG8" s="564">
        <f>+'52'!AG8</f>
        <v>2015</v>
      </c>
    </row>
    <row r="9" spans="1:33" ht="18" customHeight="1">
      <c r="A9" s="339" t="s">
        <v>1002</v>
      </c>
      <c r="B9" s="555">
        <f>+'49'!B9+'50'!B9+'51'!B9+'52'!B9</f>
        <v>4728</v>
      </c>
      <c r="C9" s="556">
        <f>+'49'!C9+'50'!C9+'51'!C9+'52'!C9</f>
        <v>4837</v>
      </c>
      <c r="D9" s="556">
        <f>+'49'!D9+'50'!D9+'51'!D9+'52'!D9</f>
        <v>4716</v>
      </c>
      <c r="E9" s="557">
        <f>+'49'!E9+'50'!E9+'51'!E9+'52'!E9</f>
        <v>4493</v>
      </c>
      <c r="F9" s="548">
        <f>+'49'!F9+'50'!F9+'51'!F9+'52'!F9</f>
        <v>3220</v>
      </c>
      <c r="G9" s="548">
        <f>+'49'!G9+'50'!G9+'51'!G9+'52'!G9</f>
        <v>3204</v>
      </c>
      <c r="H9" s="548">
        <f>+'49'!H9+'50'!H9+'51'!H9+'52'!H9</f>
        <v>3177</v>
      </c>
      <c r="I9" s="548">
        <f>+'49'!I9+'50'!I9+'51'!I9+'52'!I9</f>
        <v>2543</v>
      </c>
      <c r="J9" s="555">
        <f>+'49'!J9+'50'!J9+'51'!J9+'52'!J9</f>
        <v>0</v>
      </c>
      <c r="K9" s="556">
        <f>+'49'!K9+'50'!K9+'51'!K9+'52'!K9</f>
        <v>0</v>
      </c>
      <c r="L9" s="556">
        <f>+'49'!L9+'50'!L9+'51'!L9+'52'!L9</f>
        <v>0</v>
      </c>
      <c r="M9" s="557">
        <f>+'49'!M9+'50'!M9+'51'!M9+'52'!M9</f>
        <v>0</v>
      </c>
      <c r="N9" s="548">
        <f>+'49'!N9+'50'!N9+'51'!N9+'52'!N9</f>
        <v>0</v>
      </c>
      <c r="O9" s="548">
        <f>+'49'!O9+'50'!O9+'51'!O9+'52'!O9</f>
        <v>0</v>
      </c>
      <c r="P9" s="548">
        <f>+'49'!P9+'50'!P9+'51'!P9+'52'!P9</f>
        <v>0</v>
      </c>
      <c r="Q9" s="548">
        <f>+'49'!Q9+'50'!Q9+'51'!Q9+'52'!Q9</f>
        <v>0</v>
      </c>
      <c r="R9" s="369">
        <f>+'49'!R9+'50'!R9+'51'!R9+'52'!R9</f>
        <v>0</v>
      </c>
      <c r="S9" s="495">
        <f>+'49'!S9+'50'!S9+'51'!S9+'52'!S9</f>
        <v>0</v>
      </c>
      <c r="T9" s="495">
        <f>+'49'!T9+'50'!T9+'51'!T9+'52'!T9</f>
        <v>0</v>
      </c>
      <c r="U9" s="493">
        <f>+'49'!U9+'50'!U9+'51'!U9+'52'!U9</f>
        <v>0</v>
      </c>
      <c r="V9" s="556">
        <f>+'49'!V9+'50'!V9+'51'!V9+'52'!V9</f>
        <v>0</v>
      </c>
      <c r="W9" s="556">
        <f>+'49'!W9+'50'!W9+'51'!W9+'52'!W9</f>
        <v>0</v>
      </c>
      <c r="X9" s="556">
        <f>+'49'!X9+'50'!X9+'51'!X9+'52'!X9</f>
        <v>0</v>
      </c>
      <c r="Y9" s="556">
        <f>+'49'!Y9+'50'!Y9+'51'!Y9+'52'!Y9</f>
        <v>0</v>
      </c>
      <c r="Z9" s="549">
        <f>+'51'!Z9+'52'!Z9</f>
        <v>0</v>
      </c>
      <c r="AA9" s="548">
        <f>+'51'!AA9+'52'!AA9</f>
        <v>0</v>
      </c>
      <c r="AB9" s="548">
        <f>+'51'!AB9+'52'!AB9</f>
        <v>0</v>
      </c>
      <c r="AC9" s="556">
        <f>+'51'!AC9+'52'!AC9</f>
        <v>0</v>
      </c>
      <c r="AD9" s="549">
        <f>+N9+J9+F9+B9+V9+Z9</f>
        <v>7948</v>
      </c>
      <c r="AE9" s="548">
        <f>+O9+K9+G9+C9+W9+AA9</f>
        <v>8041</v>
      </c>
      <c r="AF9" s="548">
        <f>+P9+L9+H9+D9+X9+AB9</f>
        <v>7893</v>
      </c>
      <c r="AG9" s="533">
        <f>+Q9+M9+I9+E9+Y9+AC9</f>
        <v>7036</v>
      </c>
    </row>
    <row r="10" spans="1:33" ht="18" customHeight="1">
      <c r="A10" s="94" t="s">
        <v>1003</v>
      </c>
      <c r="B10" s="549">
        <f>+'49'!B10+'50'!B10+'51'!B10+'52'!B10</f>
        <v>12583</v>
      </c>
      <c r="C10" s="548">
        <f>+'49'!C10+'50'!C10+'51'!C10+'52'!C10</f>
        <v>13514</v>
      </c>
      <c r="D10" s="548">
        <f>+'49'!D10+'50'!D10+'51'!D10+'52'!D10</f>
        <v>15725</v>
      </c>
      <c r="E10" s="533">
        <f>+'49'!E10+'50'!E10+'51'!E10+'52'!E10</f>
        <v>15923</v>
      </c>
      <c r="F10" s="548">
        <f>+'49'!F10+'50'!F10+'51'!F10+'52'!F10</f>
        <v>9681</v>
      </c>
      <c r="G10" s="548">
        <f>+'49'!G10+'50'!G10+'51'!G10+'52'!G10</f>
        <v>9154</v>
      </c>
      <c r="H10" s="548">
        <f>+'49'!H10+'50'!H10+'51'!H10+'52'!H10</f>
        <v>8124</v>
      </c>
      <c r="I10" s="548">
        <f>+'49'!I10+'50'!I10+'51'!I10+'52'!I10</f>
        <v>8680</v>
      </c>
      <c r="J10" s="549">
        <f>+'49'!J10+'50'!J10+'51'!J10+'52'!J10</f>
        <v>0</v>
      </c>
      <c r="K10" s="548">
        <f>+'49'!K10+'50'!K10+'51'!K10+'52'!K10</f>
        <v>0</v>
      </c>
      <c r="L10" s="548">
        <f>+'49'!L10+'50'!L10+'51'!L10+'52'!L10</f>
        <v>0</v>
      </c>
      <c r="M10" s="533">
        <f>+'49'!M10+'50'!M10+'51'!M10+'52'!M10</f>
        <v>0</v>
      </c>
      <c r="N10" s="548">
        <f>+'49'!N10+'50'!N10+'51'!N10+'52'!N10</f>
        <v>0</v>
      </c>
      <c r="O10" s="548">
        <f>+'49'!O10+'50'!O10+'51'!O10+'52'!O10</f>
        <v>0</v>
      </c>
      <c r="P10" s="548">
        <f>+'49'!P10+'50'!P10+'51'!P10+'52'!P10</f>
        <v>0</v>
      </c>
      <c r="Q10" s="548">
        <f>+'49'!Q10+'50'!Q10+'51'!Q10+'52'!Q10</f>
        <v>0</v>
      </c>
      <c r="R10" s="369">
        <f>+'49'!R10+'50'!R10+'51'!R10+'52'!R10</f>
        <v>0</v>
      </c>
      <c r="S10" s="370">
        <f>+'49'!S10+'50'!S10+'51'!S10+'52'!S10</f>
        <v>0</v>
      </c>
      <c r="T10" s="370">
        <f>+'49'!T10+'50'!T10+'51'!T10+'52'!T10</f>
        <v>0</v>
      </c>
      <c r="U10" s="492">
        <f>+'49'!U10+'50'!U10+'51'!U10+'52'!U10</f>
        <v>0</v>
      </c>
      <c r="V10" s="548">
        <f>+'49'!V10+'50'!V10+'51'!V10+'52'!V10</f>
        <v>0</v>
      </c>
      <c r="W10" s="548">
        <f>+'49'!W10+'50'!W10+'51'!W10+'52'!W10</f>
        <v>0</v>
      </c>
      <c r="X10" s="548">
        <f>+'49'!X10+'50'!X10+'51'!X10+'52'!X10</f>
        <v>0</v>
      </c>
      <c r="Y10" s="548">
        <f>+'49'!Y10+'50'!Y10+'51'!Y10+'52'!Y10</f>
        <v>0</v>
      </c>
      <c r="Z10" s="549">
        <f>+'51'!Z10+'52'!Z10</f>
        <v>0</v>
      </c>
      <c r="AA10" s="548">
        <f>+'51'!AA10+'52'!AA10</f>
        <v>0</v>
      </c>
      <c r="AB10" s="548">
        <f>+'51'!AB10+'52'!AB10</f>
        <v>0</v>
      </c>
      <c r="AC10" s="548">
        <f>+'51'!AC10+'52'!AC10</f>
        <v>0</v>
      </c>
      <c r="AD10" s="549">
        <f t="shared" ref="AD10:AD35" si="0">+N10+J10+F10+B10+V10+Z10</f>
        <v>22264</v>
      </c>
      <c r="AE10" s="548">
        <f t="shared" ref="AE10:AE26" si="1">+O10+K10+G10+C10+W10+AA10</f>
        <v>22668</v>
      </c>
      <c r="AF10" s="548">
        <f t="shared" ref="AF10:AF26" si="2">+P10+L10+H10+D10+X10+AB10</f>
        <v>23849</v>
      </c>
      <c r="AG10" s="533">
        <f t="shared" ref="AG10:AG26" si="3">+Q10+M10+I10+E10+Y10+AC10</f>
        <v>24603</v>
      </c>
    </row>
    <row r="11" spans="1:33" ht="18" customHeight="1">
      <c r="A11" s="94" t="s">
        <v>1004</v>
      </c>
      <c r="B11" s="549">
        <f>+'49'!B11+'50'!B11+'51'!B11+'52'!B11</f>
        <v>899</v>
      </c>
      <c r="C11" s="548">
        <f>+'49'!C11+'50'!C11+'51'!C11+'52'!C11</f>
        <v>1046</v>
      </c>
      <c r="D11" s="548">
        <f>+'49'!D11+'50'!D11+'51'!D11+'52'!D11</f>
        <v>1115</v>
      </c>
      <c r="E11" s="533">
        <f>+'49'!E11+'50'!E11+'51'!E11+'52'!E11</f>
        <v>1138</v>
      </c>
      <c r="F11" s="548">
        <f>+'49'!F11+'50'!F11+'51'!F11+'52'!F11</f>
        <v>0</v>
      </c>
      <c r="G11" s="548">
        <f>+'49'!G11+'50'!G11+'51'!G11+'52'!G11</f>
        <v>0</v>
      </c>
      <c r="H11" s="548">
        <f>+'49'!H11+'50'!H11+'51'!H11+'52'!H11</f>
        <v>0</v>
      </c>
      <c r="I11" s="548">
        <f>+'49'!I11+'50'!I11+'51'!I11+'52'!I11</f>
        <v>0</v>
      </c>
      <c r="J11" s="549">
        <f>+'49'!J11+'50'!J11+'51'!J11+'52'!J11</f>
        <v>0</v>
      </c>
      <c r="K11" s="548">
        <f>+'49'!K11+'50'!K11+'51'!K11+'52'!K11</f>
        <v>0</v>
      </c>
      <c r="L11" s="548">
        <f>+'49'!L11+'50'!L11+'51'!L11+'52'!L11</f>
        <v>0</v>
      </c>
      <c r="M11" s="533">
        <f>+'49'!M11+'50'!M11+'51'!M11+'52'!M11</f>
        <v>0</v>
      </c>
      <c r="N11" s="548">
        <f>+'49'!N11+'50'!N11+'51'!N11+'52'!N11</f>
        <v>0</v>
      </c>
      <c r="O11" s="548">
        <f>+'49'!O11+'50'!O11+'51'!O11+'52'!O11</f>
        <v>0</v>
      </c>
      <c r="P11" s="548">
        <f>+'49'!P11+'50'!P11+'51'!P11+'52'!P11</f>
        <v>0</v>
      </c>
      <c r="Q11" s="548">
        <f>+'49'!Q11+'50'!Q11+'51'!Q11+'52'!Q11</f>
        <v>0</v>
      </c>
      <c r="R11" s="369">
        <f>+'49'!R11+'50'!R11+'51'!R11+'52'!R11</f>
        <v>0</v>
      </c>
      <c r="S11" s="370">
        <f>+'49'!S11+'50'!S11+'51'!S11+'52'!S11</f>
        <v>0</v>
      </c>
      <c r="T11" s="370">
        <f>+'49'!T11+'50'!T11+'51'!T11+'52'!T11</f>
        <v>0</v>
      </c>
      <c r="U11" s="492">
        <f>+'49'!U11+'50'!U11+'51'!U11+'52'!U11</f>
        <v>0</v>
      </c>
      <c r="V11" s="548">
        <f>+'49'!V11+'50'!V11+'51'!V11+'52'!V11</f>
        <v>0</v>
      </c>
      <c r="W11" s="548">
        <f>+'49'!W11+'50'!W11+'51'!W11+'52'!W11</f>
        <v>0</v>
      </c>
      <c r="X11" s="548">
        <f>+'49'!X11+'50'!X11+'51'!X11+'52'!X11</f>
        <v>0</v>
      </c>
      <c r="Y11" s="548">
        <f>+'49'!Y11+'50'!Y11+'51'!Y11+'52'!Y11</f>
        <v>0</v>
      </c>
      <c r="Z11" s="549">
        <f>+'51'!Z11+'52'!Z11</f>
        <v>0</v>
      </c>
      <c r="AA11" s="548">
        <f>+'51'!AA11+'52'!AA11</f>
        <v>0</v>
      </c>
      <c r="AB11" s="548">
        <f>+'51'!AB11+'52'!AB11</f>
        <v>0</v>
      </c>
      <c r="AC11" s="548">
        <f>+'51'!AC11+'52'!AC11</f>
        <v>0</v>
      </c>
      <c r="AD11" s="549">
        <f t="shared" si="0"/>
        <v>899</v>
      </c>
      <c r="AE11" s="548">
        <f t="shared" si="1"/>
        <v>1046</v>
      </c>
      <c r="AF11" s="548">
        <f t="shared" si="2"/>
        <v>1115</v>
      </c>
      <c r="AG11" s="533">
        <f t="shared" si="3"/>
        <v>1138</v>
      </c>
    </row>
    <row r="12" spans="1:33" ht="18" customHeight="1">
      <c r="A12" s="94" t="s">
        <v>1005</v>
      </c>
      <c r="B12" s="549">
        <f>+'49'!B12+'50'!B12+'51'!B12+'52'!B12</f>
        <v>0</v>
      </c>
      <c r="C12" s="548">
        <f>+'49'!C12+'50'!C12+'51'!C12+'52'!C12</f>
        <v>0</v>
      </c>
      <c r="D12" s="548">
        <f>+'49'!D12+'50'!D12+'51'!D12+'52'!D12</f>
        <v>0</v>
      </c>
      <c r="E12" s="533">
        <f>+'49'!E12+'50'!E12+'51'!E12+'52'!E12</f>
        <v>0</v>
      </c>
      <c r="F12" s="548">
        <f>+'49'!F12+'50'!F12+'51'!F12+'52'!F12</f>
        <v>1519</v>
      </c>
      <c r="G12" s="548">
        <f>+'49'!G12+'50'!G12+'51'!G12+'52'!G12</f>
        <v>1328</v>
      </c>
      <c r="H12" s="548">
        <f>+'49'!H12+'50'!H12+'51'!H12+'52'!H12</f>
        <v>831</v>
      </c>
      <c r="I12" s="548">
        <f>+'49'!I12+'50'!I12+'51'!I12+'52'!I12</f>
        <v>572</v>
      </c>
      <c r="J12" s="549">
        <f>+'49'!J12+'50'!J12+'51'!J12+'52'!J12</f>
        <v>0</v>
      </c>
      <c r="K12" s="548">
        <f>+'49'!K12+'50'!K12+'51'!K12+'52'!K12</f>
        <v>0</v>
      </c>
      <c r="L12" s="548">
        <f>+'49'!L12+'50'!L12+'51'!L12+'52'!L12</f>
        <v>0</v>
      </c>
      <c r="M12" s="533">
        <f>+'49'!M12+'50'!M12+'51'!M12+'52'!M12</f>
        <v>0</v>
      </c>
      <c r="N12" s="548">
        <f>+'49'!N12+'50'!N12+'51'!N12+'52'!N12</f>
        <v>0</v>
      </c>
      <c r="O12" s="548">
        <f>+'49'!O12+'50'!O12+'51'!O12+'52'!O12</f>
        <v>0</v>
      </c>
      <c r="P12" s="548">
        <f>+'49'!P12+'50'!P12+'51'!P12+'52'!P12</f>
        <v>0</v>
      </c>
      <c r="Q12" s="548">
        <f>+'49'!Q12+'50'!Q12+'51'!Q12+'52'!Q12</f>
        <v>0</v>
      </c>
      <c r="R12" s="369">
        <f>+'49'!R12+'50'!R12+'51'!R12+'52'!R12</f>
        <v>0</v>
      </c>
      <c r="S12" s="370">
        <f>+'49'!S12+'50'!S12+'51'!S12+'52'!S12</f>
        <v>0</v>
      </c>
      <c r="T12" s="370">
        <f>+'49'!T12+'50'!T12+'51'!T12+'52'!T12</f>
        <v>0</v>
      </c>
      <c r="U12" s="492">
        <f>+'49'!U12+'50'!U12+'51'!U12+'52'!U12</f>
        <v>0</v>
      </c>
      <c r="V12" s="548">
        <f>+'49'!V12+'50'!V12+'51'!V12+'52'!V12</f>
        <v>0</v>
      </c>
      <c r="W12" s="548">
        <f>+'49'!W12+'50'!W12+'51'!W12+'52'!W12</f>
        <v>0</v>
      </c>
      <c r="X12" s="548">
        <f>+'49'!X12+'50'!X12+'51'!X12+'52'!X12</f>
        <v>0</v>
      </c>
      <c r="Y12" s="548">
        <f>+'49'!Y12+'50'!Y12+'51'!Y12+'52'!Y12</f>
        <v>0</v>
      </c>
      <c r="Z12" s="549">
        <f>+'51'!Z12+'52'!Z12</f>
        <v>0</v>
      </c>
      <c r="AA12" s="548">
        <f>+'51'!AA12+'52'!AA12</f>
        <v>0</v>
      </c>
      <c r="AB12" s="548">
        <f>+'51'!AB12+'52'!AB12</f>
        <v>0</v>
      </c>
      <c r="AC12" s="548">
        <f>+'51'!AC12+'52'!AC12</f>
        <v>0</v>
      </c>
      <c r="AD12" s="549">
        <f t="shared" si="0"/>
        <v>1519</v>
      </c>
      <c r="AE12" s="548">
        <f t="shared" si="1"/>
        <v>1328</v>
      </c>
      <c r="AF12" s="548">
        <f t="shared" si="2"/>
        <v>831</v>
      </c>
      <c r="AG12" s="533">
        <f t="shared" si="3"/>
        <v>572</v>
      </c>
    </row>
    <row r="13" spans="1:33" ht="18" customHeight="1">
      <c r="A13" s="94" t="s">
        <v>1038</v>
      </c>
      <c r="B13" s="549">
        <f>+'49'!B13+'50'!B13+'51'!B13+'52'!B13</f>
        <v>3161</v>
      </c>
      <c r="C13" s="548">
        <f>+'49'!C13+'50'!C13+'51'!C13+'52'!C13</f>
        <v>3541</v>
      </c>
      <c r="D13" s="548">
        <f>+'49'!D13+'50'!D13+'51'!D13+'52'!D13</f>
        <v>3347</v>
      </c>
      <c r="E13" s="533">
        <f>+'49'!E13+'50'!E13+'51'!E13+'52'!E13</f>
        <v>3114</v>
      </c>
      <c r="F13" s="548">
        <f>+'49'!F13+'50'!F13+'51'!F13+'52'!F13</f>
        <v>2004</v>
      </c>
      <c r="G13" s="548">
        <f>+'49'!G13+'50'!G13+'51'!G13+'52'!G13</f>
        <v>1813</v>
      </c>
      <c r="H13" s="548">
        <f>+'49'!H13+'50'!H13+'51'!H13+'52'!H13</f>
        <v>1871</v>
      </c>
      <c r="I13" s="548">
        <f>+'49'!I13+'50'!I13+'51'!I13+'52'!I13</f>
        <v>1718</v>
      </c>
      <c r="J13" s="549">
        <f>+'49'!J13+'50'!J13+'51'!J13+'52'!J13</f>
        <v>0</v>
      </c>
      <c r="K13" s="548">
        <f>+'49'!K13+'50'!K13+'51'!K13+'52'!K13</f>
        <v>0</v>
      </c>
      <c r="L13" s="548">
        <f>+'49'!L13+'50'!L13+'51'!L13+'52'!L13</f>
        <v>0</v>
      </c>
      <c r="M13" s="533">
        <f>+'49'!M13+'50'!M13+'51'!M13+'52'!M13</f>
        <v>0</v>
      </c>
      <c r="N13" s="548">
        <f>+'49'!N13+'50'!N13+'51'!N13+'52'!N13</f>
        <v>0</v>
      </c>
      <c r="O13" s="548">
        <f>+'49'!O13+'50'!O13+'51'!O13+'52'!O13</f>
        <v>0</v>
      </c>
      <c r="P13" s="548">
        <f>+'49'!P13+'50'!P13+'51'!P13+'52'!P13</f>
        <v>0</v>
      </c>
      <c r="Q13" s="548">
        <f>+'49'!Q13+'50'!Q13+'51'!Q13+'52'!Q13</f>
        <v>0</v>
      </c>
      <c r="R13" s="369">
        <f>+'49'!R13+'50'!R13+'51'!R13+'52'!R13</f>
        <v>0</v>
      </c>
      <c r="S13" s="370">
        <f>+'49'!S13+'50'!S13+'51'!S13+'52'!S13</f>
        <v>0</v>
      </c>
      <c r="T13" s="370">
        <f>+'49'!T13+'50'!T13+'51'!T13+'52'!T13</f>
        <v>0</v>
      </c>
      <c r="U13" s="492">
        <f>+'49'!U13+'50'!U13+'51'!U13+'52'!U13</f>
        <v>0</v>
      </c>
      <c r="V13" s="548">
        <f>+'49'!V13+'50'!V13+'51'!V13+'52'!V13</f>
        <v>0</v>
      </c>
      <c r="W13" s="548">
        <f>+'49'!W13+'50'!W13+'51'!W13+'52'!W13</f>
        <v>0</v>
      </c>
      <c r="X13" s="548">
        <f>+'49'!X13+'50'!X13+'51'!X13+'52'!X13</f>
        <v>0</v>
      </c>
      <c r="Y13" s="548">
        <f>+'49'!Y13+'50'!Y13+'51'!Y13+'52'!Y13</f>
        <v>0</v>
      </c>
      <c r="Z13" s="549">
        <f>+'51'!Z13+'52'!Z13</f>
        <v>0</v>
      </c>
      <c r="AA13" s="548">
        <f>+'51'!AA13+'52'!AA13</f>
        <v>0</v>
      </c>
      <c r="AB13" s="548">
        <f>+'51'!AB13+'52'!AB13</f>
        <v>0</v>
      </c>
      <c r="AC13" s="548">
        <f>+'51'!AC13+'52'!AC13</f>
        <v>0</v>
      </c>
      <c r="AD13" s="549">
        <f t="shared" si="0"/>
        <v>5165</v>
      </c>
      <c r="AE13" s="548">
        <f t="shared" si="1"/>
        <v>5354</v>
      </c>
      <c r="AF13" s="548">
        <f t="shared" si="2"/>
        <v>5218</v>
      </c>
      <c r="AG13" s="533">
        <f t="shared" si="3"/>
        <v>4832</v>
      </c>
    </row>
    <row r="14" spans="1:33" ht="18" customHeight="1">
      <c r="A14" s="532" t="s">
        <v>1007</v>
      </c>
      <c r="B14" s="549">
        <f>+'49'!B14+'50'!B14+'51'!B14+'52'!B14</f>
        <v>0</v>
      </c>
      <c r="C14" s="548">
        <f>+'49'!C14+'50'!C14+'51'!C14+'52'!C14</f>
        <v>0</v>
      </c>
      <c r="D14" s="548">
        <f>+'49'!D14+'50'!D14+'51'!D14+'52'!D14</f>
        <v>0</v>
      </c>
      <c r="E14" s="533">
        <f>+'49'!E14+'50'!E14+'51'!E14+'52'!E14</f>
        <v>0</v>
      </c>
      <c r="F14" s="548">
        <f>+'49'!F14+'50'!F14+'51'!F14+'52'!F14</f>
        <v>1092</v>
      </c>
      <c r="G14" s="548">
        <f>+'49'!G14+'50'!G14+'51'!G14+'52'!G14</f>
        <v>546</v>
      </c>
      <c r="H14" s="548">
        <f>+'49'!H14+'50'!H14+'51'!H14+'52'!H14</f>
        <v>484</v>
      </c>
      <c r="I14" s="548">
        <f>+'49'!I14+'50'!I14+'51'!I14+'52'!I14</f>
        <v>1020</v>
      </c>
      <c r="J14" s="549">
        <f>+'49'!J14+'50'!J14+'51'!J14+'52'!J14</f>
        <v>0</v>
      </c>
      <c r="K14" s="548">
        <f>+'49'!K14+'50'!K14+'51'!K14+'52'!K14</f>
        <v>0</v>
      </c>
      <c r="L14" s="548">
        <f>+'49'!L14+'50'!L14+'51'!L14+'52'!L14</f>
        <v>0</v>
      </c>
      <c r="M14" s="533">
        <f>+'49'!M14+'50'!M14+'51'!M14+'52'!M14</f>
        <v>0</v>
      </c>
      <c r="N14" s="548">
        <f>+'49'!N14+'50'!N14+'51'!N14+'52'!N14</f>
        <v>0</v>
      </c>
      <c r="O14" s="548">
        <f>+'49'!O14+'50'!O14+'51'!O14+'52'!O14</f>
        <v>0</v>
      </c>
      <c r="P14" s="548">
        <f>+'49'!P14+'50'!P14+'51'!P14+'52'!P14</f>
        <v>0</v>
      </c>
      <c r="Q14" s="548">
        <f>+'49'!Q14+'50'!Q14+'51'!Q14+'52'!Q14</f>
        <v>0</v>
      </c>
      <c r="R14" s="369">
        <f>+'49'!R14+'50'!R14+'51'!R14+'52'!R14</f>
        <v>0</v>
      </c>
      <c r="S14" s="370">
        <f>+'49'!S14+'50'!S14+'51'!S14+'52'!S14</f>
        <v>0</v>
      </c>
      <c r="T14" s="370">
        <f>+'49'!T14+'50'!T14+'51'!T14+'52'!T14</f>
        <v>0</v>
      </c>
      <c r="U14" s="492">
        <f>+'49'!U14+'50'!U14+'51'!U14+'52'!U14</f>
        <v>0</v>
      </c>
      <c r="V14" s="548">
        <f>+'49'!V14+'50'!V14+'51'!V14+'52'!V14</f>
        <v>0</v>
      </c>
      <c r="W14" s="548">
        <f>+'49'!W14+'50'!W14+'51'!W14+'52'!W14</f>
        <v>0</v>
      </c>
      <c r="X14" s="548">
        <f>+'49'!X14+'50'!X14+'51'!X14+'52'!X14</f>
        <v>0</v>
      </c>
      <c r="Y14" s="548">
        <f>+'49'!Y14+'50'!Y14+'51'!Y14+'52'!Y14</f>
        <v>0</v>
      </c>
      <c r="Z14" s="549">
        <f>+'51'!Z14+'52'!Z14</f>
        <v>0</v>
      </c>
      <c r="AA14" s="548">
        <f>+'51'!AA14+'52'!AA14</f>
        <v>0</v>
      </c>
      <c r="AB14" s="548">
        <f>+'51'!AB14+'52'!AB14</f>
        <v>0</v>
      </c>
      <c r="AC14" s="548">
        <f>+'51'!AC14+'52'!AC14</f>
        <v>0</v>
      </c>
      <c r="AD14" s="549">
        <f t="shared" si="0"/>
        <v>1092</v>
      </c>
      <c r="AE14" s="548">
        <f t="shared" si="1"/>
        <v>546</v>
      </c>
      <c r="AF14" s="548">
        <f t="shared" si="2"/>
        <v>484</v>
      </c>
      <c r="AG14" s="533">
        <f t="shared" si="3"/>
        <v>1020</v>
      </c>
    </row>
    <row r="15" spans="1:33" ht="18" customHeight="1">
      <c r="A15" s="532" t="s">
        <v>1008</v>
      </c>
      <c r="B15" s="549">
        <f>+'49'!B15+'50'!B15+'51'!B15+'52'!B15</f>
        <v>710</v>
      </c>
      <c r="C15" s="548">
        <f>+'49'!C15+'50'!C15+'51'!C15+'52'!C15</f>
        <v>670</v>
      </c>
      <c r="D15" s="548">
        <f>+'49'!D15+'50'!D15+'51'!D15+'52'!D15</f>
        <v>811</v>
      </c>
      <c r="E15" s="533">
        <f>+'49'!E15+'50'!E15+'51'!E15+'52'!E15</f>
        <v>786</v>
      </c>
      <c r="F15" s="548">
        <f>+'49'!F15+'50'!F15+'51'!F15+'52'!F15</f>
        <v>557</v>
      </c>
      <c r="G15" s="548">
        <f>+'49'!G15+'50'!G15+'51'!G15+'52'!G15</f>
        <v>498</v>
      </c>
      <c r="H15" s="548">
        <f>+'49'!H15+'50'!H15+'51'!H15+'52'!H15</f>
        <v>414</v>
      </c>
      <c r="I15" s="548">
        <f>+'49'!I15+'50'!I15+'51'!I15+'52'!I15</f>
        <v>449</v>
      </c>
      <c r="J15" s="549">
        <f>+'49'!J15+'50'!J15+'51'!J15+'52'!J15</f>
        <v>0</v>
      </c>
      <c r="K15" s="548">
        <f>+'49'!K15+'50'!K15+'51'!K15+'52'!K15</f>
        <v>0</v>
      </c>
      <c r="L15" s="548">
        <f>+'49'!L15+'50'!L15+'51'!L15+'52'!L15</f>
        <v>0</v>
      </c>
      <c r="M15" s="533">
        <f>+'49'!M15+'50'!M15+'51'!M15+'52'!M15</f>
        <v>0</v>
      </c>
      <c r="N15" s="548">
        <f>+'49'!N15+'50'!N15+'51'!N15+'52'!N15</f>
        <v>0</v>
      </c>
      <c r="O15" s="548">
        <f>+'49'!O15+'50'!O15+'51'!O15+'52'!O15</f>
        <v>0</v>
      </c>
      <c r="P15" s="548">
        <f>+'49'!P15+'50'!P15+'51'!P15+'52'!P15</f>
        <v>0</v>
      </c>
      <c r="Q15" s="548">
        <f>+'49'!Q15+'50'!Q15+'51'!Q15+'52'!Q15</f>
        <v>0</v>
      </c>
      <c r="R15" s="369">
        <f>+'49'!R15+'50'!R15+'51'!R15+'52'!R15</f>
        <v>0</v>
      </c>
      <c r="S15" s="370">
        <f>+'49'!S15+'50'!S15+'51'!S15+'52'!S15</f>
        <v>0</v>
      </c>
      <c r="T15" s="370">
        <f>+'49'!T15+'50'!T15+'51'!T15+'52'!T15</f>
        <v>0</v>
      </c>
      <c r="U15" s="492">
        <f>+'49'!U15+'50'!U15+'51'!U15+'52'!U15</f>
        <v>0</v>
      </c>
      <c r="V15" s="548">
        <f>+'49'!V15+'50'!V15+'51'!V15+'52'!V15</f>
        <v>0</v>
      </c>
      <c r="W15" s="548">
        <f>+'49'!W15+'50'!W15+'51'!W15+'52'!W15</f>
        <v>0</v>
      </c>
      <c r="X15" s="548">
        <f>+'49'!X15+'50'!X15+'51'!X15+'52'!X15</f>
        <v>0</v>
      </c>
      <c r="Y15" s="548">
        <f>+'49'!Y15+'50'!Y15+'51'!Y15+'52'!Y15</f>
        <v>0</v>
      </c>
      <c r="Z15" s="549">
        <f>+'51'!Z15+'52'!Z15</f>
        <v>0</v>
      </c>
      <c r="AA15" s="548">
        <f>+'51'!AA15+'52'!AA15</f>
        <v>0</v>
      </c>
      <c r="AB15" s="548">
        <f>+'51'!AB15+'52'!AB15</f>
        <v>0</v>
      </c>
      <c r="AC15" s="548">
        <f>+'51'!AC15+'52'!AC15</f>
        <v>0</v>
      </c>
      <c r="AD15" s="549">
        <f t="shared" si="0"/>
        <v>1267</v>
      </c>
      <c r="AE15" s="548">
        <f t="shared" si="1"/>
        <v>1168</v>
      </c>
      <c r="AF15" s="548">
        <f t="shared" si="2"/>
        <v>1225</v>
      </c>
      <c r="AG15" s="533">
        <f t="shared" si="3"/>
        <v>1235</v>
      </c>
    </row>
    <row r="16" spans="1:33" ht="18" customHeight="1">
      <c r="A16" s="532" t="s">
        <v>1009</v>
      </c>
      <c r="B16" s="549">
        <f>+'49'!B16+'50'!B16+'51'!B16+'52'!B16</f>
        <v>639</v>
      </c>
      <c r="C16" s="548">
        <f>+'49'!C16+'50'!C16+'51'!C16+'52'!C16</f>
        <v>619</v>
      </c>
      <c r="D16" s="548">
        <f>+'49'!D16+'50'!D16+'51'!D16+'52'!D16</f>
        <v>754</v>
      </c>
      <c r="E16" s="533">
        <f>+'49'!E16+'50'!E16+'51'!E16+'52'!E16</f>
        <v>385</v>
      </c>
      <c r="F16" s="548">
        <f>+'49'!F16+'50'!F16+'51'!F16+'52'!F16</f>
        <v>0</v>
      </c>
      <c r="G16" s="548">
        <f>+'49'!G16+'50'!G16+'51'!G16+'52'!G16</f>
        <v>0</v>
      </c>
      <c r="H16" s="548">
        <f>+'49'!H16+'50'!H16+'51'!H16+'52'!H16</f>
        <v>0</v>
      </c>
      <c r="I16" s="548">
        <f>+'49'!I16+'50'!I16+'51'!I16+'52'!I16</f>
        <v>0</v>
      </c>
      <c r="J16" s="549">
        <f>+'49'!J16+'50'!J16+'51'!J16+'52'!J16</f>
        <v>0</v>
      </c>
      <c r="K16" s="548">
        <f>+'49'!K16+'50'!K16+'51'!K16+'52'!K16</f>
        <v>0</v>
      </c>
      <c r="L16" s="548">
        <f>+'49'!L16+'50'!L16+'51'!L16+'52'!L16</f>
        <v>0</v>
      </c>
      <c r="M16" s="533">
        <f>+'49'!M16+'50'!M16+'51'!M16+'52'!M16</f>
        <v>0</v>
      </c>
      <c r="N16" s="548">
        <f>+'49'!N16+'50'!N16+'51'!N16+'52'!N16</f>
        <v>0</v>
      </c>
      <c r="O16" s="548">
        <f>+'49'!O16+'50'!O16+'51'!O16+'52'!O16</f>
        <v>0</v>
      </c>
      <c r="P16" s="548">
        <f>+'49'!P16+'50'!P16+'51'!P16+'52'!P16</f>
        <v>0</v>
      </c>
      <c r="Q16" s="548">
        <f>+'49'!Q16+'50'!Q16+'51'!Q16+'52'!Q16</f>
        <v>0</v>
      </c>
      <c r="R16" s="369">
        <f>+'49'!R16+'50'!R16+'51'!R16+'52'!R16</f>
        <v>0</v>
      </c>
      <c r="S16" s="370">
        <f>+'49'!S16+'50'!S16+'51'!S16+'52'!S16</f>
        <v>0</v>
      </c>
      <c r="T16" s="370">
        <f>+'49'!T16+'50'!T16+'51'!T16+'52'!T16</f>
        <v>0</v>
      </c>
      <c r="U16" s="492">
        <f>+'49'!U16+'50'!U16+'51'!U16+'52'!U16</f>
        <v>0</v>
      </c>
      <c r="V16" s="548">
        <f>+'49'!V16+'50'!V16+'51'!V16+'52'!V16</f>
        <v>0</v>
      </c>
      <c r="W16" s="548">
        <f>+'49'!W16+'50'!W16+'51'!W16+'52'!W16</f>
        <v>0</v>
      </c>
      <c r="X16" s="548">
        <f>+'49'!X16+'50'!X16+'51'!X16+'52'!X16</f>
        <v>0</v>
      </c>
      <c r="Y16" s="548">
        <f>+'49'!Y16+'50'!Y16+'51'!Y16+'52'!Y16</f>
        <v>0</v>
      </c>
      <c r="Z16" s="549">
        <f>+'51'!Z16+'52'!Z16</f>
        <v>0</v>
      </c>
      <c r="AA16" s="548">
        <f>+'51'!AA16+'52'!AA16</f>
        <v>0</v>
      </c>
      <c r="AB16" s="548">
        <f>+'51'!AB16+'52'!AB16</f>
        <v>0</v>
      </c>
      <c r="AC16" s="548">
        <f>+'51'!AC16+'52'!AC16</f>
        <v>0</v>
      </c>
      <c r="AD16" s="549">
        <f t="shared" si="0"/>
        <v>639</v>
      </c>
      <c r="AE16" s="548">
        <f t="shared" si="1"/>
        <v>619</v>
      </c>
      <c r="AF16" s="548">
        <f t="shared" si="2"/>
        <v>754</v>
      </c>
      <c r="AG16" s="533">
        <f t="shared" si="3"/>
        <v>385</v>
      </c>
    </row>
    <row r="17" spans="1:35" ht="18" customHeight="1">
      <c r="A17" s="532" t="s">
        <v>1010</v>
      </c>
      <c r="B17" s="549">
        <f>+'49'!B17+'50'!B17+'51'!B17+'52'!B17</f>
        <v>1080</v>
      </c>
      <c r="C17" s="548">
        <f>+'49'!C17+'50'!C17+'51'!C17+'52'!C17</f>
        <v>1183</v>
      </c>
      <c r="D17" s="548">
        <f>+'49'!D17+'50'!D17+'51'!D17+'52'!D17</f>
        <v>1241</v>
      </c>
      <c r="E17" s="533">
        <f>+'49'!E17+'50'!E17+'51'!E17+'52'!E17</f>
        <v>854</v>
      </c>
      <c r="F17" s="548">
        <f>+'49'!F17+'50'!F17+'51'!F17+'52'!F17</f>
        <v>0</v>
      </c>
      <c r="G17" s="548">
        <f>+'49'!G17+'50'!G17+'51'!G17+'52'!G17</f>
        <v>0</v>
      </c>
      <c r="H17" s="548">
        <f>+'49'!H17+'50'!H17+'51'!H17+'52'!H17</f>
        <v>0</v>
      </c>
      <c r="I17" s="548">
        <f>+'49'!I17+'50'!I17+'51'!I17+'52'!I17</f>
        <v>0</v>
      </c>
      <c r="J17" s="549">
        <f>+'49'!J17+'50'!J17+'51'!J17+'52'!J17</f>
        <v>0</v>
      </c>
      <c r="K17" s="548">
        <f>+'49'!K17+'50'!K17+'51'!K17+'52'!K17</f>
        <v>0</v>
      </c>
      <c r="L17" s="548">
        <f>+'49'!L17+'50'!L17+'51'!L17+'52'!L17</f>
        <v>0</v>
      </c>
      <c r="M17" s="533">
        <f>+'49'!M17+'50'!M17+'51'!M17+'52'!M17</f>
        <v>0</v>
      </c>
      <c r="N17" s="548">
        <f>+'49'!N17+'50'!N17+'51'!N17+'52'!N17</f>
        <v>0</v>
      </c>
      <c r="O17" s="548">
        <f>+'49'!O17+'50'!O17+'51'!O17+'52'!O17</f>
        <v>0</v>
      </c>
      <c r="P17" s="548">
        <f>+'49'!P17+'50'!P17+'51'!P17+'52'!P17</f>
        <v>0</v>
      </c>
      <c r="Q17" s="548">
        <f>+'49'!Q17+'50'!Q17+'51'!Q17+'52'!Q17</f>
        <v>0</v>
      </c>
      <c r="R17" s="369">
        <f>+'49'!R17+'50'!R17+'51'!R17+'52'!R17</f>
        <v>0</v>
      </c>
      <c r="S17" s="370">
        <f>+'49'!S17+'50'!S17+'51'!S17+'52'!S17</f>
        <v>0</v>
      </c>
      <c r="T17" s="370">
        <f>+'49'!T17+'50'!T17+'51'!T17+'52'!T17</f>
        <v>0</v>
      </c>
      <c r="U17" s="492">
        <f>+'49'!U17+'50'!U17+'51'!U17+'52'!U17</f>
        <v>0</v>
      </c>
      <c r="V17" s="548">
        <f>+'49'!V17+'50'!V17+'51'!V17+'52'!V17</f>
        <v>0</v>
      </c>
      <c r="W17" s="548">
        <f>+'49'!W17+'50'!W17+'51'!W17+'52'!W17</f>
        <v>0</v>
      </c>
      <c r="X17" s="548">
        <f>+'49'!X17+'50'!X17+'51'!X17+'52'!X17</f>
        <v>0</v>
      </c>
      <c r="Y17" s="548">
        <f>+'49'!Y17+'50'!Y17+'51'!Y17+'52'!Y17</f>
        <v>0</v>
      </c>
      <c r="Z17" s="549">
        <f>+'51'!Z17+'52'!Z17</f>
        <v>0</v>
      </c>
      <c r="AA17" s="548">
        <f>+'51'!AA17+'52'!AA17</f>
        <v>0</v>
      </c>
      <c r="AB17" s="548">
        <f>+'51'!AB17+'52'!AB17</f>
        <v>0</v>
      </c>
      <c r="AC17" s="548">
        <f>+'51'!AC17+'52'!AC17</f>
        <v>0</v>
      </c>
      <c r="AD17" s="549">
        <f t="shared" si="0"/>
        <v>1080</v>
      </c>
      <c r="AE17" s="548">
        <f t="shared" si="1"/>
        <v>1183</v>
      </c>
      <c r="AF17" s="548">
        <f t="shared" si="2"/>
        <v>1241</v>
      </c>
      <c r="AG17" s="533">
        <f t="shared" si="3"/>
        <v>854</v>
      </c>
    </row>
    <row r="18" spans="1:35" ht="18" customHeight="1">
      <c r="A18" s="532" t="s">
        <v>1011</v>
      </c>
      <c r="B18" s="549">
        <f>+'49'!B18+'50'!B18+'51'!B18+'52'!B18</f>
        <v>0</v>
      </c>
      <c r="C18" s="548">
        <f>+'49'!C18+'50'!C18+'51'!C18+'52'!C18</f>
        <v>0</v>
      </c>
      <c r="D18" s="548">
        <f>+'49'!D18+'50'!D18+'51'!D18+'52'!D18</f>
        <v>0</v>
      </c>
      <c r="E18" s="533">
        <f>+'49'!E18+'50'!E18+'51'!E18+'52'!E18</f>
        <v>0</v>
      </c>
      <c r="F18" s="548">
        <f>+'49'!F18+'50'!F18+'51'!F18+'52'!F18</f>
        <v>2722</v>
      </c>
      <c r="G18" s="548">
        <f>+'49'!G18+'50'!G18+'51'!G18+'52'!G18</f>
        <v>2129</v>
      </c>
      <c r="H18" s="548">
        <f>+'49'!H18+'50'!H18+'51'!H18+'52'!H18</f>
        <v>1897</v>
      </c>
      <c r="I18" s="548">
        <f>+'49'!I18+'50'!I18+'51'!I18+'52'!I18</f>
        <v>1969</v>
      </c>
      <c r="J18" s="549">
        <f>+'49'!J18+'50'!J18+'51'!J18+'52'!J18</f>
        <v>0</v>
      </c>
      <c r="K18" s="548">
        <f>+'49'!K18+'50'!K18+'51'!K18+'52'!K18</f>
        <v>0</v>
      </c>
      <c r="L18" s="548">
        <f>+'49'!L18+'50'!L18+'51'!L18+'52'!L18</f>
        <v>0</v>
      </c>
      <c r="M18" s="533">
        <f>+'49'!M18+'50'!M18+'51'!M18+'52'!M18</f>
        <v>0</v>
      </c>
      <c r="N18" s="548">
        <f>+'49'!N18+'50'!N18+'51'!N18+'52'!N18</f>
        <v>0</v>
      </c>
      <c r="O18" s="548">
        <f>+'49'!O18+'50'!O18+'51'!O18+'52'!O18</f>
        <v>0</v>
      </c>
      <c r="P18" s="548">
        <f>+'49'!P18+'50'!P18+'51'!P18+'52'!P18</f>
        <v>0</v>
      </c>
      <c r="Q18" s="548">
        <f>+'49'!Q18+'50'!Q18+'51'!Q18+'52'!Q18</f>
        <v>0</v>
      </c>
      <c r="R18" s="369">
        <f>+'49'!R18+'50'!R18+'51'!R18+'52'!R18</f>
        <v>0</v>
      </c>
      <c r="S18" s="370">
        <f>+'49'!S18+'50'!S18+'51'!S18+'52'!S18</f>
        <v>0</v>
      </c>
      <c r="T18" s="370">
        <f>+'49'!T18+'50'!T18+'51'!T18+'52'!T18</f>
        <v>0</v>
      </c>
      <c r="U18" s="492">
        <f>+'49'!U18+'50'!U18+'51'!U18+'52'!U18</f>
        <v>0</v>
      </c>
      <c r="V18" s="548">
        <f>+'49'!V18+'50'!V18+'51'!V18+'52'!V18</f>
        <v>0</v>
      </c>
      <c r="W18" s="548">
        <f>+'49'!W18+'50'!W18+'51'!W18+'52'!W18</f>
        <v>0</v>
      </c>
      <c r="X18" s="548">
        <f>+'49'!X18+'50'!X18+'51'!X18+'52'!X18</f>
        <v>0</v>
      </c>
      <c r="Y18" s="548">
        <f>+'49'!Y18+'50'!Y18+'51'!Y18+'52'!Y18</f>
        <v>0</v>
      </c>
      <c r="Z18" s="549">
        <f>+'51'!Z18+'52'!Z18</f>
        <v>0</v>
      </c>
      <c r="AA18" s="548">
        <f>+'51'!AA18+'52'!AA18</f>
        <v>0</v>
      </c>
      <c r="AB18" s="548">
        <f>+'51'!AB18+'52'!AB18</f>
        <v>0</v>
      </c>
      <c r="AC18" s="548">
        <f>+'51'!AC18+'52'!AC18</f>
        <v>0</v>
      </c>
      <c r="AD18" s="549">
        <f t="shared" si="0"/>
        <v>2722</v>
      </c>
      <c r="AE18" s="548">
        <f t="shared" si="1"/>
        <v>2129</v>
      </c>
      <c r="AF18" s="548">
        <f t="shared" si="2"/>
        <v>1897</v>
      </c>
      <c r="AG18" s="533">
        <f t="shared" si="3"/>
        <v>1969</v>
      </c>
    </row>
    <row r="19" spans="1:35" ht="18" customHeight="1">
      <c r="A19" s="94" t="s">
        <v>1012</v>
      </c>
      <c r="B19" s="549">
        <f>+'49'!B19+'50'!B19+'51'!B19+'52'!B19</f>
        <v>0</v>
      </c>
      <c r="C19" s="548">
        <f>+'49'!C19+'50'!C19+'51'!C19+'52'!C19</f>
        <v>0</v>
      </c>
      <c r="D19" s="548">
        <f>+'49'!D19+'50'!D19+'51'!D19+'52'!D19</f>
        <v>0</v>
      </c>
      <c r="E19" s="533">
        <f>+'49'!E19+'50'!E19+'51'!E19+'52'!E19</f>
        <v>0</v>
      </c>
      <c r="F19" s="548">
        <f>+'49'!F19+'50'!F19+'51'!F19+'52'!F19</f>
        <v>4237</v>
      </c>
      <c r="G19" s="548">
        <f>+'49'!G19+'50'!G19+'51'!G19+'52'!G19</f>
        <v>4469</v>
      </c>
      <c r="H19" s="548">
        <f>+'49'!H19+'50'!H19+'51'!H19+'52'!H19</f>
        <v>4218</v>
      </c>
      <c r="I19" s="548">
        <f>+'49'!I19+'50'!I19+'51'!I19+'52'!I19</f>
        <v>4008</v>
      </c>
      <c r="J19" s="549">
        <f>+'49'!J19+'50'!J19+'51'!J19+'52'!J19</f>
        <v>0</v>
      </c>
      <c r="K19" s="548">
        <f>+'49'!K19+'50'!K19+'51'!K19+'52'!K19</f>
        <v>0</v>
      </c>
      <c r="L19" s="548">
        <f>+'49'!L19+'50'!L19+'51'!L19+'52'!L19</f>
        <v>0</v>
      </c>
      <c r="M19" s="533">
        <f>+'49'!M19+'50'!M19+'51'!M19+'52'!M19</f>
        <v>0</v>
      </c>
      <c r="N19" s="548">
        <f>+'49'!N19+'50'!N19+'51'!N19+'52'!N19</f>
        <v>0</v>
      </c>
      <c r="O19" s="548">
        <f>+'49'!O19+'50'!O19+'51'!O19+'52'!O19</f>
        <v>0</v>
      </c>
      <c r="P19" s="548">
        <f>+'49'!P19+'50'!P19+'51'!P19+'52'!P19</f>
        <v>0</v>
      </c>
      <c r="Q19" s="548">
        <f>+'49'!Q19+'50'!Q19+'51'!Q19+'52'!Q19</f>
        <v>0</v>
      </c>
      <c r="R19" s="369">
        <f>+'49'!R19+'50'!R19+'51'!R19+'52'!R19</f>
        <v>0</v>
      </c>
      <c r="S19" s="370">
        <f>+'49'!S19+'50'!S19+'51'!S19+'52'!S19</f>
        <v>0</v>
      </c>
      <c r="T19" s="370">
        <f>+'49'!T19+'50'!T19+'51'!T19+'52'!T19</f>
        <v>0</v>
      </c>
      <c r="U19" s="492">
        <f>+'49'!U19+'50'!U19+'51'!U19+'52'!U19</f>
        <v>0</v>
      </c>
      <c r="V19" s="548">
        <f>+'49'!V19+'50'!V19+'51'!V19+'52'!V19</f>
        <v>0</v>
      </c>
      <c r="W19" s="548">
        <f>+'49'!W19+'50'!W19+'51'!W19+'52'!W19</f>
        <v>0</v>
      </c>
      <c r="X19" s="548">
        <f>+'49'!X19+'50'!X19+'51'!X19+'52'!X19</f>
        <v>0</v>
      </c>
      <c r="Y19" s="548">
        <f>+'49'!Y19+'50'!Y19+'51'!Y19+'52'!Y19</f>
        <v>0</v>
      </c>
      <c r="Z19" s="549">
        <f>+'51'!Z19+'52'!Z19</f>
        <v>0</v>
      </c>
      <c r="AA19" s="548">
        <f>+'51'!AA19+'52'!AA19</f>
        <v>0</v>
      </c>
      <c r="AB19" s="548">
        <f>+'51'!AB19+'52'!AB19</f>
        <v>0</v>
      </c>
      <c r="AC19" s="548">
        <f>+'51'!AC19+'52'!AC19</f>
        <v>0</v>
      </c>
      <c r="AD19" s="549">
        <f t="shared" si="0"/>
        <v>4237</v>
      </c>
      <c r="AE19" s="548">
        <f t="shared" si="1"/>
        <v>4469</v>
      </c>
      <c r="AF19" s="548">
        <f t="shared" si="2"/>
        <v>4218</v>
      </c>
      <c r="AG19" s="533">
        <f t="shared" si="3"/>
        <v>4008</v>
      </c>
    </row>
    <row r="20" spans="1:35" ht="18" customHeight="1">
      <c r="A20" s="94" t="s">
        <v>1013</v>
      </c>
      <c r="B20" s="549">
        <f>+'49'!B20+'50'!B20+'51'!B20+'52'!B20</f>
        <v>0</v>
      </c>
      <c r="C20" s="548">
        <f>+'49'!C20+'50'!C20+'51'!C20+'52'!C20</f>
        <v>0</v>
      </c>
      <c r="D20" s="548">
        <f>+'49'!D20+'50'!D20+'51'!D20+'52'!D20</f>
        <v>0</v>
      </c>
      <c r="E20" s="533">
        <f>+'49'!E20+'50'!E20+'51'!E20+'52'!E20</f>
        <v>0</v>
      </c>
      <c r="F20" s="548">
        <f>+'49'!F20+'50'!F20+'51'!F20+'52'!F20</f>
        <v>463</v>
      </c>
      <c r="G20" s="548">
        <f>+'49'!G20+'50'!G20+'51'!G20+'52'!G20</f>
        <v>433</v>
      </c>
      <c r="H20" s="548">
        <f>+'49'!H20+'50'!H20+'51'!H20+'52'!H20</f>
        <v>408</v>
      </c>
      <c r="I20" s="548">
        <f>+'49'!I20+'50'!I20+'51'!I20+'52'!I20</f>
        <v>436</v>
      </c>
      <c r="J20" s="549">
        <f>+'49'!J20+'50'!J20+'51'!J20+'52'!J20</f>
        <v>0</v>
      </c>
      <c r="K20" s="548">
        <f>+'49'!K20+'50'!K20+'51'!K20+'52'!K20</f>
        <v>0</v>
      </c>
      <c r="L20" s="548">
        <f>+'49'!L20+'50'!L20+'51'!L20+'52'!L20</f>
        <v>0</v>
      </c>
      <c r="M20" s="533">
        <f>+'49'!M20+'50'!M20+'51'!M20+'52'!M20</f>
        <v>0</v>
      </c>
      <c r="N20" s="548">
        <f>+'49'!N20+'50'!N20+'51'!N20+'52'!N20</f>
        <v>0</v>
      </c>
      <c r="O20" s="548">
        <f>+'49'!O20+'50'!O20+'51'!O20+'52'!O20</f>
        <v>0</v>
      </c>
      <c r="P20" s="548">
        <f>+'49'!P20+'50'!P20+'51'!P20+'52'!P20</f>
        <v>0</v>
      </c>
      <c r="Q20" s="548">
        <f>+'49'!Q20+'50'!Q20+'51'!Q20+'52'!Q20</f>
        <v>0</v>
      </c>
      <c r="R20" s="369">
        <f>+'49'!R20+'50'!R20+'51'!R20+'52'!R20</f>
        <v>0</v>
      </c>
      <c r="S20" s="370">
        <f>+'49'!S20+'50'!S20+'51'!S20+'52'!S20</f>
        <v>0</v>
      </c>
      <c r="T20" s="370">
        <f>+'49'!T20+'50'!T20+'51'!T20+'52'!T20</f>
        <v>0</v>
      </c>
      <c r="U20" s="492">
        <f>+'49'!U20+'50'!U20+'51'!U20+'52'!U20</f>
        <v>0</v>
      </c>
      <c r="V20" s="548">
        <f>+'49'!V20+'50'!V20+'51'!V20+'52'!V20</f>
        <v>0</v>
      </c>
      <c r="W20" s="548">
        <f>+'49'!W20+'50'!W20+'51'!W20+'52'!W20</f>
        <v>0</v>
      </c>
      <c r="X20" s="548">
        <f>+'49'!X20+'50'!X20+'51'!X20+'52'!X20</f>
        <v>0</v>
      </c>
      <c r="Y20" s="548">
        <f>+'49'!Y20+'50'!Y20+'51'!Y20+'52'!Y20</f>
        <v>0</v>
      </c>
      <c r="Z20" s="549">
        <f>+'51'!Z20+'52'!Z20</f>
        <v>0</v>
      </c>
      <c r="AA20" s="548">
        <f>+'51'!AA20+'52'!AA20</f>
        <v>0</v>
      </c>
      <c r="AB20" s="548">
        <f>+'51'!AB20+'52'!AB20</f>
        <v>0</v>
      </c>
      <c r="AC20" s="548">
        <f>+'51'!AC20+'52'!AC20</f>
        <v>0</v>
      </c>
      <c r="AD20" s="549">
        <f t="shared" si="0"/>
        <v>463</v>
      </c>
      <c r="AE20" s="548">
        <f t="shared" si="1"/>
        <v>433</v>
      </c>
      <c r="AF20" s="548">
        <f t="shared" si="2"/>
        <v>408</v>
      </c>
      <c r="AG20" s="533">
        <f t="shared" si="3"/>
        <v>436</v>
      </c>
    </row>
    <row r="21" spans="1:35" ht="18" customHeight="1">
      <c r="A21" s="1053" t="s">
        <v>807</v>
      </c>
      <c r="B21" s="549">
        <f>+'49'!B21+'50'!B21+'51'!B21+'52'!B21</f>
        <v>0</v>
      </c>
      <c r="C21" s="548">
        <f>+'49'!C21+'50'!C21+'51'!C21+'52'!C21</f>
        <v>0</v>
      </c>
      <c r="D21" s="548">
        <f>+'49'!D21+'50'!D21+'51'!D21+'52'!D21</f>
        <v>0</v>
      </c>
      <c r="E21" s="533">
        <f>+'49'!E21+'50'!E21+'51'!E21+'52'!E21</f>
        <v>0</v>
      </c>
      <c r="F21" s="548">
        <f>+'49'!F21+'50'!F21+'51'!F21+'52'!F21</f>
        <v>334</v>
      </c>
      <c r="G21" s="548">
        <f>+'49'!G21+'50'!G21+'51'!G21+'52'!G21</f>
        <v>402</v>
      </c>
      <c r="H21" s="548">
        <f>+'49'!H21+'50'!H21+'51'!H21+'52'!H21</f>
        <v>521</v>
      </c>
      <c r="I21" s="548">
        <f>+'49'!I21+'50'!I21+'51'!I21+'52'!I21</f>
        <v>495</v>
      </c>
      <c r="J21" s="549">
        <f>+'49'!J21+'50'!J21+'51'!J21+'52'!J21</f>
        <v>0</v>
      </c>
      <c r="K21" s="548">
        <f>+'49'!K21+'50'!K21+'51'!K21+'52'!K21</f>
        <v>0</v>
      </c>
      <c r="L21" s="548">
        <f>+'49'!L21+'50'!L21+'51'!L21+'52'!L21</f>
        <v>0</v>
      </c>
      <c r="M21" s="533">
        <f>+'49'!M21+'50'!M21+'51'!M21+'52'!M21</f>
        <v>0</v>
      </c>
      <c r="N21" s="548">
        <f>+'49'!N21+'50'!N21+'51'!N21+'52'!N21</f>
        <v>0</v>
      </c>
      <c r="O21" s="548">
        <f>+'49'!O21+'50'!O21+'51'!O21+'52'!O21</f>
        <v>0</v>
      </c>
      <c r="P21" s="548">
        <f>+'49'!P21+'50'!P21+'51'!P21+'52'!P21</f>
        <v>0</v>
      </c>
      <c r="Q21" s="548">
        <f>+'49'!Q21+'50'!Q21+'51'!Q21+'52'!Q21</f>
        <v>0</v>
      </c>
      <c r="R21" s="369">
        <f>+'49'!R21+'50'!R21+'51'!R21+'52'!R21</f>
        <v>0</v>
      </c>
      <c r="S21" s="370">
        <f>+'49'!S21+'50'!S21+'51'!S21+'52'!S21</f>
        <v>0</v>
      </c>
      <c r="T21" s="370">
        <f>+'49'!T21+'50'!T21+'51'!T21+'52'!T21</f>
        <v>0</v>
      </c>
      <c r="U21" s="492">
        <f>+'49'!U21+'50'!U21+'51'!U21+'52'!U21</f>
        <v>0</v>
      </c>
      <c r="V21" s="548">
        <f>+'49'!V21+'50'!V21+'51'!V21+'52'!V21</f>
        <v>0</v>
      </c>
      <c r="W21" s="548">
        <f>+'49'!W21+'50'!W21+'51'!W21+'52'!W21</f>
        <v>0</v>
      </c>
      <c r="X21" s="548">
        <f>+'49'!X21+'50'!X21+'51'!X21+'52'!X21</f>
        <v>0</v>
      </c>
      <c r="Y21" s="548">
        <f>+'49'!Y21+'50'!Y21+'51'!Y21+'52'!Y21</f>
        <v>0</v>
      </c>
      <c r="Z21" s="549">
        <f>+'51'!Z21+'52'!Z21</f>
        <v>0</v>
      </c>
      <c r="AA21" s="548">
        <f>+'51'!AA21+'52'!AA21</f>
        <v>0</v>
      </c>
      <c r="AB21" s="548">
        <f>+'51'!AB21+'52'!AB21</f>
        <v>0</v>
      </c>
      <c r="AC21" s="548">
        <f>+'51'!AC21+'52'!AC21</f>
        <v>0</v>
      </c>
      <c r="AD21" s="549">
        <f>+N21+J21+F21+B21+V21+Z21</f>
        <v>334</v>
      </c>
      <c r="AE21" s="548">
        <f t="shared" si="1"/>
        <v>402</v>
      </c>
      <c r="AF21" s="548">
        <f t="shared" si="2"/>
        <v>521</v>
      </c>
      <c r="AG21" s="533">
        <f t="shared" si="3"/>
        <v>495</v>
      </c>
    </row>
    <row r="22" spans="1:35" ht="18" customHeight="1">
      <c r="A22" s="94" t="s">
        <v>1014</v>
      </c>
      <c r="B22" s="549">
        <f>+'49'!B22+'50'!B22+'51'!B22+'52'!B22</f>
        <v>7409</v>
      </c>
      <c r="C22" s="548">
        <f>+'49'!C22+'50'!C22+'51'!C22+'52'!C22</f>
        <v>7502</v>
      </c>
      <c r="D22" s="548">
        <f>+'49'!D22+'50'!D22+'51'!D22+'52'!D22</f>
        <v>7177</v>
      </c>
      <c r="E22" s="533">
        <f>+'49'!E22+'50'!E22+'51'!E22+'52'!E22</f>
        <v>9848</v>
      </c>
      <c r="F22" s="548">
        <f>+'49'!F22+'50'!F22+'51'!F22+'52'!F22</f>
        <v>181</v>
      </c>
      <c r="G22" s="548">
        <f>+'49'!G22+'50'!G22+'51'!G22+'52'!G22</f>
        <v>221</v>
      </c>
      <c r="H22" s="548">
        <f>+'49'!H22+'50'!H22+'51'!H22+'52'!H22</f>
        <v>221</v>
      </c>
      <c r="I22" s="548">
        <f>+'49'!I22+'50'!I22+'51'!I22+'52'!I22</f>
        <v>240</v>
      </c>
      <c r="J22" s="549">
        <f>+'49'!J22+'50'!J22+'51'!J22+'52'!J22</f>
        <v>0</v>
      </c>
      <c r="K22" s="548">
        <f>+'49'!K22+'50'!K22+'51'!K22+'52'!K22</f>
        <v>0</v>
      </c>
      <c r="L22" s="548">
        <f>+'49'!L22+'50'!L22+'51'!L22+'52'!L22</f>
        <v>0</v>
      </c>
      <c r="M22" s="533">
        <f>+'49'!M22+'50'!M22+'51'!M22+'52'!M22</f>
        <v>0</v>
      </c>
      <c r="N22" s="548">
        <f>+'49'!N22+'50'!N22+'51'!N22+'52'!N22</f>
        <v>0</v>
      </c>
      <c r="O22" s="548">
        <f>+'49'!O22+'50'!O22+'51'!O22+'52'!O22</f>
        <v>0</v>
      </c>
      <c r="P22" s="548">
        <f>+'49'!P22+'50'!P22+'51'!P22+'52'!P22</f>
        <v>0</v>
      </c>
      <c r="Q22" s="548">
        <f>+'49'!Q22+'50'!Q22+'51'!Q22+'52'!Q22</f>
        <v>0</v>
      </c>
      <c r="R22" s="369">
        <f>+'49'!R22+'50'!R22+'51'!R22+'52'!R22</f>
        <v>0</v>
      </c>
      <c r="S22" s="370">
        <f>+'49'!S22+'50'!S22+'51'!S22+'52'!S22</f>
        <v>0</v>
      </c>
      <c r="T22" s="370">
        <f>+'49'!T22+'50'!T22+'51'!T22+'52'!T22</f>
        <v>0</v>
      </c>
      <c r="U22" s="492">
        <f>+'49'!U22+'50'!U22+'51'!U22+'52'!U22</f>
        <v>0</v>
      </c>
      <c r="V22" s="548">
        <f>+'49'!V22+'50'!V22+'51'!V22+'52'!V22</f>
        <v>0</v>
      </c>
      <c r="W22" s="548">
        <f>+'49'!W22+'50'!W22+'51'!W22+'52'!W22</f>
        <v>0</v>
      </c>
      <c r="X22" s="548">
        <f>+'49'!X22+'50'!X22+'51'!X22+'52'!X22</f>
        <v>0</v>
      </c>
      <c r="Y22" s="548">
        <f>+'49'!Y22+'50'!Y22+'51'!Y22+'52'!Y22</f>
        <v>0</v>
      </c>
      <c r="Z22" s="549">
        <f>+'51'!Z22+'52'!Z22</f>
        <v>0</v>
      </c>
      <c r="AA22" s="548">
        <f>+'51'!AA22+'52'!AA22</f>
        <v>0</v>
      </c>
      <c r="AB22" s="548">
        <f>+'51'!AB22+'52'!AB22</f>
        <v>0</v>
      </c>
      <c r="AC22" s="548">
        <f>+'51'!AC22+'52'!AC22</f>
        <v>0</v>
      </c>
      <c r="AD22" s="549">
        <f t="shared" si="0"/>
        <v>7590</v>
      </c>
      <c r="AE22" s="548">
        <f t="shared" si="1"/>
        <v>7723</v>
      </c>
      <c r="AF22" s="548">
        <f t="shared" si="2"/>
        <v>7398</v>
      </c>
      <c r="AG22" s="533">
        <f t="shared" si="3"/>
        <v>10088</v>
      </c>
    </row>
    <row r="23" spans="1:35" ht="18" customHeight="1">
      <c r="A23" s="94" t="s">
        <v>1015</v>
      </c>
      <c r="B23" s="549">
        <f>+'49'!B23+'50'!B23+'51'!B23+'52'!B23</f>
        <v>0</v>
      </c>
      <c r="C23" s="548">
        <f>+'49'!C23+'50'!C23+'51'!C23+'52'!C23</f>
        <v>0</v>
      </c>
      <c r="D23" s="548">
        <f>+'49'!D23+'50'!D23+'51'!D23+'52'!D23</f>
        <v>0</v>
      </c>
      <c r="E23" s="533">
        <f>+'49'!E23+'50'!E23+'51'!E23+'52'!E23</f>
        <v>0</v>
      </c>
      <c r="F23" s="548">
        <f>+'49'!F23+'50'!F23+'51'!F23+'52'!F23</f>
        <v>0</v>
      </c>
      <c r="G23" s="548">
        <f>+'49'!G23+'50'!G23+'51'!G23+'52'!G23</f>
        <v>0</v>
      </c>
      <c r="H23" s="548">
        <f>+'49'!H23+'50'!H23+'51'!H23+'52'!H23</f>
        <v>0</v>
      </c>
      <c r="I23" s="548">
        <f>+'49'!I23+'50'!I23+'51'!I23+'52'!I23</f>
        <v>0</v>
      </c>
      <c r="J23" s="549">
        <f>+'49'!J23+'50'!J23+'51'!J23+'52'!J23</f>
        <v>0</v>
      </c>
      <c r="K23" s="548">
        <f>+'49'!K23+'50'!K23+'51'!K23+'52'!K23</f>
        <v>0</v>
      </c>
      <c r="L23" s="548">
        <f>+'49'!L23+'50'!L23+'51'!L23+'52'!L23</f>
        <v>0</v>
      </c>
      <c r="M23" s="533">
        <f>+'49'!M23+'50'!M23+'51'!M23+'52'!M23</f>
        <v>0</v>
      </c>
      <c r="N23" s="548">
        <f>+'49'!N23+'50'!N23+'51'!N23+'52'!N23</f>
        <v>5428</v>
      </c>
      <c r="O23" s="548">
        <f>+'49'!O23+'50'!O23+'51'!O23+'52'!O23</f>
        <v>4385</v>
      </c>
      <c r="P23" s="548">
        <f>+'49'!P23+'50'!P23+'51'!P23+'52'!P23</f>
        <v>4136</v>
      </c>
      <c r="Q23" s="548">
        <f>+'49'!Q23+'50'!Q23+'51'!Q23+'52'!Q23</f>
        <v>2876</v>
      </c>
      <c r="R23" s="369">
        <f>+'49'!R23+'50'!R23+'51'!R23+'52'!R23</f>
        <v>554</v>
      </c>
      <c r="S23" s="370">
        <f>+'49'!S23+'50'!S23+'51'!S23+'52'!S23</f>
        <v>673</v>
      </c>
      <c r="T23" s="370">
        <f>+'49'!T23+'50'!T23+'51'!T23+'52'!T23</f>
        <v>628</v>
      </c>
      <c r="U23" s="492">
        <f>+'49'!U23+'50'!U23+'51'!U23+'52'!U23</f>
        <v>131</v>
      </c>
      <c r="V23" s="548">
        <f>+'49'!V23+'50'!V23+'51'!V23+'52'!V23</f>
        <v>0</v>
      </c>
      <c r="W23" s="548">
        <f>+'49'!W23+'50'!W23+'51'!W23+'52'!W23</f>
        <v>0</v>
      </c>
      <c r="X23" s="548">
        <f>+'49'!X23+'50'!X23+'51'!X23+'52'!X23</f>
        <v>0</v>
      </c>
      <c r="Y23" s="548">
        <f>+'49'!Y23+'50'!Y23+'51'!Y23+'52'!Y23</f>
        <v>0</v>
      </c>
      <c r="Z23" s="549">
        <f>+'51'!Z23+'52'!Z23</f>
        <v>0</v>
      </c>
      <c r="AA23" s="548">
        <f>+'51'!AA23+'52'!AA23</f>
        <v>0</v>
      </c>
      <c r="AB23" s="548">
        <f>+'51'!AB23+'52'!AB23</f>
        <v>0</v>
      </c>
      <c r="AC23" s="548">
        <f>+'51'!AC23+'52'!AC23</f>
        <v>0</v>
      </c>
      <c r="AD23" s="549">
        <f>+N23+J23+F23+B23+R23+V23+Z23</f>
        <v>5982</v>
      </c>
      <c r="AE23" s="548">
        <f>+O23+K23+G23+C23+S23+W23+AA23</f>
        <v>5058</v>
      </c>
      <c r="AF23" s="548">
        <f>+P23+L23+H23+D23+T23+X23+AB23</f>
        <v>4764</v>
      </c>
      <c r="AG23" s="533">
        <f>+Q23+M23+I23+E23+U23+Y23+AC23</f>
        <v>3007</v>
      </c>
    </row>
    <row r="24" spans="1:35" ht="18" customHeight="1">
      <c r="A24" s="94" t="s">
        <v>1016</v>
      </c>
      <c r="B24" s="549">
        <f>+'49'!B24+'50'!B24+'51'!B24+'52'!B24</f>
        <v>11891</v>
      </c>
      <c r="C24" s="548">
        <f>+'49'!C24+'50'!C24+'51'!C24+'52'!C24</f>
        <v>10714</v>
      </c>
      <c r="D24" s="548">
        <f>+'49'!D24+'50'!D24+'51'!D24+'52'!D24</f>
        <v>10443</v>
      </c>
      <c r="E24" s="533">
        <f>+'49'!E24+'50'!E24+'51'!E24+'52'!E24</f>
        <v>11151</v>
      </c>
      <c r="F24" s="548">
        <f>+'49'!F24+'50'!F24+'51'!F24+'52'!F24</f>
        <v>6658</v>
      </c>
      <c r="G24" s="548">
        <f>+'49'!G24+'50'!G24+'51'!G24+'52'!G24</f>
        <v>6113</v>
      </c>
      <c r="H24" s="548">
        <f>+'49'!H24+'50'!H24+'51'!H24+'52'!H24</f>
        <v>5716</v>
      </c>
      <c r="I24" s="548">
        <f>+'49'!I24+'50'!I24+'51'!I24+'52'!I24</f>
        <v>5410</v>
      </c>
      <c r="J24" s="549">
        <f>+'49'!J24+'50'!J24+'51'!J24+'52'!J24</f>
        <v>0</v>
      </c>
      <c r="K24" s="548">
        <f>+'49'!K24+'50'!K24+'51'!K24+'52'!K24</f>
        <v>0</v>
      </c>
      <c r="L24" s="548">
        <f>+'49'!L24+'50'!L24+'51'!L24+'52'!L24</f>
        <v>0</v>
      </c>
      <c r="M24" s="533">
        <f>+'49'!M24+'50'!M24+'51'!M24+'52'!M24</f>
        <v>0</v>
      </c>
      <c r="N24" s="548">
        <f>+'49'!N24+'50'!N24+'51'!N24+'52'!N24</f>
        <v>0</v>
      </c>
      <c r="O24" s="548">
        <f>+'49'!O24+'50'!O24+'51'!O24+'52'!O24</f>
        <v>0</v>
      </c>
      <c r="P24" s="548">
        <f>+'49'!P24+'50'!P24+'51'!P24+'52'!P24</f>
        <v>0</v>
      </c>
      <c r="Q24" s="548">
        <f>+'49'!Q24+'50'!Q24+'51'!Q24+'52'!Q24</f>
        <v>0</v>
      </c>
      <c r="R24" s="369">
        <f>+'49'!R24+'50'!R24+'51'!R24+'52'!R24</f>
        <v>0</v>
      </c>
      <c r="S24" s="370">
        <f>+'49'!S24+'50'!S24+'51'!S24+'52'!S24</f>
        <v>0</v>
      </c>
      <c r="T24" s="370">
        <f>+'49'!T24+'50'!T24+'51'!T24+'52'!T24</f>
        <v>0</v>
      </c>
      <c r="U24" s="492">
        <f>+'49'!U24+'50'!U24+'51'!U24+'52'!U24</f>
        <v>0</v>
      </c>
      <c r="V24" s="548">
        <f>+'49'!V24+'50'!V24+'51'!V24+'52'!V24</f>
        <v>0</v>
      </c>
      <c r="W24" s="548">
        <f>+'49'!W24+'50'!W24+'51'!W24+'52'!W24</f>
        <v>0</v>
      </c>
      <c r="X24" s="548">
        <f>+'49'!X24+'50'!X24+'51'!X24+'52'!X24</f>
        <v>0</v>
      </c>
      <c r="Y24" s="548">
        <f>+'49'!Y24+'50'!Y24+'51'!Y24+'52'!Y24</f>
        <v>0</v>
      </c>
      <c r="Z24" s="549">
        <f>+'51'!Z24+'52'!Z24</f>
        <v>0</v>
      </c>
      <c r="AA24" s="548">
        <f>+'51'!AA24+'52'!AA24</f>
        <v>0</v>
      </c>
      <c r="AB24" s="548">
        <f>+'51'!AB24+'52'!AB24</f>
        <v>0</v>
      </c>
      <c r="AC24" s="548">
        <f>+'51'!AC24+'52'!AC24</f>
        <v>0</v>
      </c>
      <c r="AD24" s="549">
        <f t="shared" si="0"/>
        <v>18549</v>
      </c>
      <c r="AE24" s="548">
        <f t="shared" si="1"/>
        <v>16827</v>
      </c>
      <c r="AF24" s="548">
        <f t="shared" si="2"/>
        <v>16159</v>
      </c>
      <c r="AG24" s="533">
        <f t="shared" si="3"/>
        <v>16561</v>
      </c>
    </row>
    <row r="25" spans="1:35" ht="18" customHeight="1">
      <c r="A25" s="94" t="s">
        <v>1017</v>
      </c>
      <c r="B25" s="549">
        <f>+'49'!B25+'50'!B25+'51'!B25+'52'!B25</f>
        <v>0</v>
      </c>
      <c r="C25" s="548">
        <f>+'49'!C25+'50'!C25+'51'!C25+'52'!C25</f>
        <v>0</v>
      </c>
      <c r="D25" s="548">
        <f>+'49'!D25+'50'!D25+'51'!D25+'52'!D25</f>
        <v>0</v>
      </c>
      <c r="E25" s="533">
        <f>+'49'!E25+'50'!E25+'51'!E25+'52'!E25</f>
        <v>0</v>
      </c>
      <c r="F25" s="548">
        <f>+'49'!F25+'50'!F25+'51'!F25+'52'!F25</f>
        <v>1486</v>
      </c>
      <c r="G25" s="548">
        <f>+'49'!G25+'50'!G25+'51'!G25+'52'!G25</f>
        <v>1627</v>
      </c>
      <c r="H25" s="548">
        <f>+'49'!H25+'50'!H25+'51'!H25+'52'!H25</f>
        <v>1799</v>
      </c>
      <c r="I25" s="548">
        <f>+'49'!I25+'50'!I25+'51'!I25+'52'!I25</f>
        <v>1572</v>
      </c>
      <c r="J25" s="549">
        <f>+'49'!J25+'50'!J25+'51'!J25+'52'!J25</f>
        <v>0</v>
      </c>
      <c r="K25" s="548">
        <f>+'49'!K25+'50'!K25+'51'!K25+'52'!K25</f>
        <v>0</v>
      </c>
      <c r="L25" s="548">
        <f>+'49'!L25+'50'!L25+'51'!L25+'52'!L25</f>
        <v>0</v>
      </c>
      <c r="M25" s="533">
        <f>+'49'!M25+'50'!M25+'51'!M25+'52'!M25</f>
        <v>0</v>
      </c>
      <c r="N25" s="548">
        <f>+'49'!N25+'50'!N25+'51'!N25+'52'!N25</f>
        <v>0</v>
      </c>
      <c r="O25" s="548">
        <f>+'49'!O25+'50'!O25+'51'!O25+'52'!O25</f>
        <v>0</v>
      </c>
      <c r="P25" s="548">
        <f>+'49'!P25+'50'!P25+'51'!P25+'52'!P25</f>
        <v>0</v>
      </c>
      <c r="Q25" s="548">
        <f>+'49'!Q25+'50'!Q25+'51'!Q25+'52'!Q25</f>
        <v>0</v>
      </c>
      <c r="R25" s="369">
        <f>+'49'!R25+'50'!R25+'51'!R25+'52'!R25</f>
        <v>0</v>
      </c>
      <c r="S25" s="370">
        <f>+'49'!S25+'50'!S25+'51'!S25+'52'!S25</f>
        <v>0</v>
      </c>
      <c r="T25" s="370">
        <f>+'49'!T25+'50'!T25+'51'!T25+'52'!T25</f>
        <v>0</v>
      </c>
      <c r="U25" s="492">
        <f>+'49'!U25+'50'!U25+'51'!U25+'52'!U25</f>
        <v>0</v>
      </c>
      <c r="V25" s="548">
        <f>+'49'!V25+'50'!V25+'51'!V25+'52'!V25</f>
        <v>0</v>
      </c>
      <c r="W25" s="548">
        <f>+'49'!W25+'50'!W25+'51'!W25+'52'!W25</f>
        <v>0</v>
      </c>
      <c r="X25" s="548">
        <f>+'49'!X25+'50'!X25+'51'!X25+'52'!X25</f>
        <v>0</v>
      </c>
      <c r="Y25" s="548">
        <f>+'49'!Y25+'50'!Y25+'51'!Y25+'52'!Y25</f>
        <v>0</v>
      </c>
      <c r="Z25" s="549">
        <f>+'51'!Z25+'52'!Z25</f>
        <v>0</v>
      </c>
      <c r="AA25" s="548">
        <f>+'51'!AA25+'52'!AA25</f>
        <v>0</v>
      </c>
      <c r="AB25" s="548">
        <f>+'51'!AB25+'52'!AB25</f>
        <v>0</v>
      </c>
      <c r="AC25" s="548">
        <f>+'51'!AC25+'52'!AC25</f>
        <v>0</v>
      </c>
      <c r="AD25" s="549">
        <f t="shared" si="0"/>
        <v>1486</v>
      </c>
      <c r="AE25" s="548">
        <f t="shared" si="1"/>
        <v>1627</v>
      </c>
      <c r="AF25" s="548">
        <f t="shared" si="2"/>
        <v>1799</v>
      </c>
      <c r="AG25" s="533">
        <f t="shared" si="3"/>
        <v>1572</v>
      </c>
    </row>
    <row r="26" spans="1:35" ht="18" customHeight="1">
      <c r="A26" s="1053" t="s">
        <v>1136</v>
      </c>
      <c r="B26" s="549">
        <f>+'49'!B26+'50'!B26+'51'!B26+'52'!B26</f>
        <v>0</v>
      </c>
      <c r="C26" s="548">
        <f>+'49'!C26+'50'!C26+'51'!C26+'52'!C26</f>
        <v>0</v>
      </c>
      <c r="D26" s="548">
        <f>+'49'!D26+'50'!D26+'51'!D26+'52'!D26</f>
        <v>0</v>
      </c>
      <c r="E26" s="533">
        <f>+'49'!E26+'50'!E26+'51'!E26+'52'!E26</f>
        <v>0</v>
      </c>
      <c r="F26" s="548">
        <f>+'49'!F26+'50'!F26+'51'!F26+'52'!F26</f>
        <v>0</v>
      </c>
      <c r="G26" s="548">
        <f>+'49'!G26+'50'!G26+'51'!G26+'52'!G26</f>
        <v>0</v>
      </c>
      <c r="H26" s="548">
        <f>+'49'!H26+'50'!H26+'51'!H26+'52'!H26</f>
        <v>0</v>
      </c>
      <c r="I26" s="548">
        <f>+'49'!I26+'50'!I26+'51'!I26+'52'!I26</f>
        <v>0</v>
      </c>
      <c r="J26" s="549">
        <f>+'49'!J26+'50'!J26+'51'!J26+'52'!J26</f>
        <v>0</v>
      </c>
      <c r="K26" s="548">
        <f>+'49'!K26+'50'!K26+'51'!K26+'52'!K26</f>
        <v>0</v>
      </c>
      <c r="L26" s="548">
        <f>+'49'!L26+'50'!L26+'51'!L26+'52'!L26</f>
        <v>0</v>
      </c>
      <c r="M26" s="533">
        <f>+'49'!M26+'50'!M26+'51'!M26+'52'!M26</f>
        <v>0</v>
      </c>
      <c r="N26" s="548">
        <f>+'49'!N26+'50'!N26+'51'!N26+'52'!N26</f>
        <v>0</v>
      </c>
      <c r="O26" s="548">
        <f>+'49'!O26+'50'!O26+'51'!O26+'52'!O26</f>
        <v>0</v>
      </c>
      <c r="P26" s="548">
        <f>+'49'!P26+'50'!P26+'51'!P26+'52'!P26</f>
        <v>0</v>
      </c>
      <c r="Q26" s="548">
        <f>+'49'!Q26+'50'!Q26+'51'!Q26+'52'!Q26</f>
        <v>0</v>
      </c>
      <c r="R26" s="369">
        <f>+'49'!R26+'50'!R26+'51'!R26+'52'!R26</f>
        <v>0</v>
      </c>
      <c r="S26" s="370">
        <f>+'49'!S26+'50'!S26+'51'!S26+'52'!S26</f>
        <v>0</v>
      </c>
      <c r="T26" s="370">
        <f>+'49'!T26+'50'!T26+'51'!T26+'52'!T26</f>
        <v>0</v>
      </c>
      <c r="U26" s="492">
        <f>+'49'!U26+'50'!U26+'51'!U26+'52'!U26</f>
        <v>0</v>
      </c>
      <c r="V26" s="548">
        <f>+'49'!V26+'50'!V26+'51'!V26+'52'!V26</f>
        <v>0</v>
      </c>
      <c r="W26" s="548">
        <f>+'49'!W26+'50'!W26+'51'!W26+'52'!W26</f>
        <v>0</v>
      </c>
      <c r="X26" s="548">
        <f>+'49'!X26+'50'!X26+'51'!X26+'52'!X26</f>
        <v>0</v>
      </c>
      <c r="Y26" s="548">
        <f>+'49'!Y26+'50'!Y26+'51'!Y26+'52'!Y26</f>
        <v>0</v>
      </c>
      <c r="Z26" s="549">
        <f>+'51'!Z26+'52'!Z26</f>
        <v>0</v>
      </c>
      <c r="AA26" s="548">
        <f>+'51'!AA26+'52'!AA26</f>
        <v>0</v>
      </c>
      <c r="AB26" s="548">
        <f>+'51'!AB26+'52'!AB26</f>
        <v>0</v>
      </c>
      <c r="AC26" s="548">
        <f>+'51'!AC26+'52'!AC26</f>
        <v>0</v>
      </c>
      <c r="AD26" s="549">
        <f>+N26+J26+F26+B26+V26+Z26</f>
        <v>0</v>
      </c>
      <c r="AE26" s="548">
        <f t="shared" si="1"/>
        <v>0</v>
      </c>
      <c r="AF26" s="548">
        <f t="shared" si="2"/>
        <v>0</v>
      </c>
      <c r="AG26" s="533">
        <f t="shared" si="3"/>
        <v>0</v>
      </c>
    </row>
    <row r="27" spans="1:35" ht="18" customHeight="1">
      <c r="A27" s="94" t="s">
        <v>1018</v>
      </c>
      <c r="B27" s="549">
        <f>+'49'!B27+'50'!B27+'51'!B27+'52'!B27</f>
        <v>0</v>
      </c>
      <c r="C27" s="548">
        <f>+'49'!C27+'50'!C27+'51'!C27+'52'!C27</f>
        <v>0</v>
      </c>
      <c r="D27" s="548">
        <f>+'49'!D27+'50'!D27+'51'!D27+'52'!D27</f>
        <v>0</v>
      </c>
      <c r="E27" s="533">
        <f>+'49'!E27+'50'!E27+'51'!E27+'52'!E27</f>
        <v>0</v>
      </c>
      <c r="F27" s="548">
        <f>+'49'!F27+'50'!F27+'51'!F27+'52'!F27</f>
        <v>614</v>
      </c>
      <c r="G27" s="548">
        <f>+'49'!G27+'50'!G27+'51'!G27+'52'!G27</f>
        <v>796</v>
      </c>
      <c r="H27" s="548">
        <f>+'49'!H27+'50'!H27+'51'!H27+'52'!H27</f>
        <v>1217</v>
      </c>
      <c r="I27" s="548">
        <f>+'49'!I27+'50'!I27+'51'!I27+'52'!I27</f>
        <v>1105</v>
      </c>
      <c r="J27" s="549">
        <f>+'49'!J27+'50'!J27+'51'!J27+'52'!J27</f>
        <v>0</v>
      </c>
      <c r="K27" s="548">
        <f>+'49'!K27+'50'!K27+'51'!K27+'52'!K27</f>
        <v>0</v>
      </c>
      <c r="L27" s="548">
        <f>+'49'!L27+'50'!L27+'51'!L27+'52'!L27</f>
        <v>0</v>
      </c>
      <c r="M27" s="533">
        <f>+'49'!M27+'50'!M27+'51'!M27+'52'!M27</f>
        <v>0</v>
      </c>
      <c r="N27" s="548">
        <f>+'49'!N27+'50'!N27+'51'!N27+'52'!N27</f>
        <v>0</v>
      </c>
      <c r="O27" s="548">
        <f>+'49'!O27+'50'!O27+'51'!O27+'52'!O27</f>
        <v>0</v>
      </c>
      <c r="P27" s="548">
        <f>+'49'!P27+'50'!P27+'51'!P27+'52'!P27</f>
        <v>0</v>
      </c>
      <c r="Q27" s="548">
        <f>+'49'!Q27+'50'!Q27+'51'!Q27+'52'!Q27</f>
        <v>0</v>
      </c>
      <c r="R27" s="369">
        <f>+'49'!R27+'50'!R27+'51'!R27+'52'!R27</f>
        <v>0</v>
      </c>
      <c r="S27" s="370">
        <f>+'49'!S27+'50'!S27+'51'!S27+'52'!S27</f>
        <v>0</v>
      </c>
      <c r="T27" s="370">
        <f>+'49'!T27+'50'!T27+'51'!T27+'52'!T27</f>
        <v>0</v>
      </c>
      <c r="U27" s="492">
        <f>+'49'!U27+'50'!U27+'51'!U27+'52'!U27</f>
        <v>0</v>
      </c>
      <c r="V27" s="548">
        <f>+'49'!V27+'50'!V27+'51'!V27+'52'!V27</f>
        <v>0</v>
      </c>
      <c r="W27" s="548">
        <f>+'49'!W27+'50'!W27+'51'!W27+'52'!W27</f>
        <v>0</v>
      </c>
      <c r="X27" s="548">
        <f>+'49'!X27+'50'!X27+'51'!X27+'52'!X27</f>
        <v>0</v>
      </c>
      <c r="Y27" s="548">
        <f>+'49'!Y27+'50'!Y27+'51'!Y27+'52'!Y27</f>
        <v>0</v>
      </c>
      <c r="Z27" s="549">
        <f>+'51'!Z27+'52'!Z27</f>
        <v>0</v>
      </c>
      <c r="AA27" s="548">
        <f>+'51'!AA27+'52'!AA27</f>
        <v>0</v>
      </c>
      <c r="AB27" s="548">
        <f>+'51'!AB27+'52'!AB27</f>
        <v>0</v>
      </c>
      <c r="AC27" s="548">
        <f>+'51'!AC27+'52'!AC27</f>
        <v>0</v>
      </c>
      <c r="AD27" s="549">
        <f t="shared" si="0"/>
        <v>614</v>
      </c>
      <c r="AE27" s="548">
        <f t="shared" ref="AE27:AE35" si="4">+O27+K27+G27+C27+W27+AA27</f>
        <v>796</v>
      </c>
      <c r="AF27" s="548">
        <f t="shared" ref="AF27:AF35" si="5">+P27+L27+H27+D27+X27+AB27</f>
        <v>1217</v>
      </c>
      <c r="AG27" s="533">
        <f t="shared" ref="AG27:AG35" si="6">+Q27+M27+I27+E27+Y27+AC27</f>
        <v>1105</v>
      </c>
    </row>
    <row r="28" spans="1:35" ht="18" customHeight="1">
      <c r="A28" s="94" t="s">
        <v>1019</v>
      </c>
      <c r="B28" s="549">
        <f>+'49'!B28+'50'!B28+'51'!B28+'52'!B28</f>
        <v>2962</v>
      </c>
      <c r="C28" s="548">
        <f>+'49'!C28+'50'!C28+'51'!C28+'52'!C28</f>
        <v>2651</v>
      </c>
      <c r="D28" s="548">
        <f>+'49'!D28+'50'!D28+'51'!D28+'52'!D28</f>
        <v>2853</v>
      </c>
      <c r="E28" s="533">
        <f>+'49'!E28+'50'!E28+'51'!E28+'52'!E28</f>
        <v>3069</v>
      </c>
      <c r="F28" s="548">
        <f>+'49'!F28+'50'!F28+'51'!F28+'52'!F28</f>
        <v>0</v>
      </c>
      <c r="G28" s="548">
        <f>+'49'!G28+'50'!G28+'51'!G28+'52'!G28</f>
        <v>0</v>
      </c>
      <c r="H28" s="548">
        <f>+'49'!H28+'50'!H28+'51'!H28+'52'!H28</f>
        <v>0</v>
      </c>
      <c r="I28" s="548">
        <f>+'49'!I28+'50'!I28+'51'!I28+'52'!I28</f>
        <v>0</v>
      </c>
      <c r="J28" s="549">
        <f>+'49'!J28+'50'!J28+'51'!J28+'52'!J28</f>
        <v>0</v>
      </c>
      <c r="K28" s="548">
        <f>+'49'!K28+'50'!K28+'51'!K28+'52'!K28</f>
        <v>0</v>
      </c>
      <c r="L28" s="548">
        <f>+'49'!L28+'50'!L28+'51'!L28+'52'!L28</f>
        <v>0</v>
      </c>
      <c r="M28" s="533">
        <f>+'49'!M28+'50'!M28+'51'!M28+'52'!M28</f>
        <v>0</v>
      </c>
      <c r="N28" s="548">
        <f>+'49'!N28+'50'!N28+'51'!N28+'52'!N28</f>
        <v>0</v>
      </c>
      <c r="O28" s="548">
        <f>+'49'!O28+'50'!O28+'51'!O28+'52'!O28</f>
        <v>0</v>
      </c>
      <c r="P28" s="548">
        <f>+'49'!P28+'50'!P28+'51'!P28+'52'!P28</f>
        <v>0</v>
      </c>
      <c r="Q28" s="548">
        <f>+'49'!Q28+'50'!Q28+'51'!Q28+'52'!Q28</f>
        <v>0</v>
      </c>
      <c r="R28" s="369">
        <f>+'49'!R28+'50'!R28+'51'!R28+'52'!R28</f>
        <v>0</v>
      </c>
      <c r="S28" s="370">
        <f>+'49'!S28+'50'!S28+'51'!S28+'52'!S28</f>
        <v>0</v>
      </c>
      <c r="T28" s="370">
        <f>+'49'!T28+'50'!T28+'51'!T28+'52'!T28</f>
        <v>0</v>
      </c>
      <c r="U28" s="492">
        <f>+'49'!U28+'50'!U28+'51'!U28+'52'!U28</f>
        <v>0</v>
      </c>
      <c r="V28" s="548">
        <f>+'49'!V28+'50'!V28+'51'!V28+'52'!V28</f>
        <v>0</v>
      </c>
      <c r="W28" s="548">
        <f>+'49'!W28+'50'!W28+'51'!W28+'52'!W28</f>
        <v>0</v>
      </c>
      <c r="X28" s="548">
        <f>+'49'!X28+'50'!X28+'51'!X28+'52'!X28</f>
        <v>0</v>
      </c>
      <c r="Y28" s="548">
        <f>+'49'!Y28+'50'!Y28+'51'!Y28+'52'!Y28</f>
        <v>0</v>
      </c>
      <c r="Z28" s="549">
        <f>+'51'!Z28+'52'!Z28</f>
        <v>0</v>
      </c>
      <c r="AA28" s="548">
        <f>+'51'!AA28+'52'!AA28</f>
        <v>0</v>
      </c>
      <c r="AB28" s="548">
        <f>+'51'!AB28+'52'!AB28</f>
        <v>0</v>
      </c>
      <c r="AC28" s="548">
        <f>+'51'!AC28+'52'!AC28</f>
        <v>0</v>
      </c>
      <c r="AD28" s="549">
        <f t="shared" si="0"/>
        <v>2962</v>
      </c>
      <c r="AE28" s="548">
        <f t="shared" si="4"/>
        <v>2651</v>
      </c>
      <c r="AF28" s="548">
        <f t="shared" si="5"/>
        <v>2853</v>
      </c>
      <c r="AG28" s="533">
        <f t="shared" si="6"/>
        <v>3069</v>
      </c>
    </row>
    <row r="29" spans="1:35" ht="18" customHeight="1">
      <c r="A29" s="94" t="s">
        <v>1020</v>
      </c>
      <c r="B29" s="549">
        <f>+'49'!B29+'50'!B29+'51'!B29+'52'!B29</f>
        <v>3037</v>
      </c>
      <c r="C29" s="548">
        <f>+'49'!C29+'50'!C29+'51'!C29+'52'!C29</f>
        <v>2611</v>
      </c>
      <c r="D29" s="548">
        <f>+'49'!D29+'50'!D29+'51'!D29+'52'!D29</f>
        <v>2559</v>
      </c>
      <c r="E29" s="533">
        <f>+'49'!E29+'50'!E29+'51'!E29+'52'!E29</f>
        <v>2754</v>
      </c>
      <c r="F29" s="548">
        <f>+'49'!F29+'50'!F29+'51'!F29+'52'!F29</f>
        <v>2708</v>
      </c>
      <c r="G29" s="548">
        <f>+'49'!G29+'50'!G29+'51'!G29+'52'!G29</f>
        <v>2839</v>
      </c>
      <c r="H29" s="548">
        <f>+'49'!H29+'50'!H29+'51'!H29+'52'!H29</f>
        <v>3153</v>
      </c>
      <c r="I29" s="548">
        <f>+'49'!I29+'50'!I29+'51'!I29+'52'!I29</f>
        <v>3474</v>
      </c>
      <c r="J29" s="549">
        <f>+'49'!J29+'50'!J29+'51'!J29+'52'!J29</f>
        <v>1036</v>
      </c>
      <c r="K29" s="548">
        <f>+'49'!K29+'50'!K29+'51'!K29+'52'!K29</f>
        <v>797</v>
      </c>
      <c r="L29" s="548">
        <f>+'49'!L29+'50'!L29+'51'!L29+'52'!L29</f>
        <v>831</v>
      </c>
      <c r="M29" s="533">
        <f>+'49'!M29+'50'!M29+'51'!M29+'52'!M29</f>
        <v>896</v>
      </c>
      <c r="N29" s="548">
        <f>+'49'!N29+'50'!N29+'51'!N29+'52'!N29</f>
        <v>0</v>
      </c>
      <c r="O29" s="548">
        <f>+'49'!O29+'50'!O29+'51'!O29+'52'!O29</f>
        <v>0</v>
      </c>
      <c r="P29" s="548">
        <f>+'49'!P29+'50'!P29+'51'!P29+'52'!P29</f>
        <v>0</v>
      </c>
      <c r="Q29" s="548">
        <f>+'49'!Q29+'50'!Q29+'51'!Q29+'52'!Q29</f>
        <v>0</v>
      </c>
      <c r="R29" s="369">
        <f>+'49'!R29+'50'!R29+'51'!R29+'52'!R29</f>
        <v>0</v>
      </c>
      <c r="S29" s="370">
        <f>+'49'!S29+'50'!S29+'51'!S29+'52'!S29</f>
        <v>0</v>
      </c>
      <c r="T29" s="370">
        <f>+'49'!T29+'50'!T29+'51'!T29+'52'!T29</f>
        <v>0</v>
      </c>
      <c r="U29" s="492">
        <f>+'49'!U29+'50'!U29+'51'!U29+'52'!U29</f>
        <v>0</v>
      </c>
      <c r="V29" s="548">
        <f>+'49'!V29+'50'!V29+'51'!V29+'52'!V29</f>
        <v>0</v>
      </c>
      <c r="W29" s="548">
        <f>+'49'!W29+'50'!W29+'51'!W29+'52'!W29</f>
        <v>0</v>
      </c>
      <c r="X29" s="548">
        <f>+'49'!X29+'50'!X29+'51'!X29+'52'!X29</f>
        <v>0</v>
      </c>
      <c r="Y29" s="548">
        <f>+'49'!Y29+'50'!Y29+'51'!Y29+'52'!Y29</f>
        <v>0</v>
      </c>
      <c r="Z29" s="549">
        <f>+'51'!Z29+'52'!Z29</f>
        <v>0</v>
      </c>
      <c r="AA29" s="548">
        <f>+'51'!AA29+'52'!AA29</f>
        <v>0</v>
      </c>
      <c r="AB29" s="548">
        <f>+'51'!AB29+'52'!AB29</f>
        <v>0</v>
      </c>
      <c r="AC29" s="548">
        <f>+'51'!AC29+'52'!AC29</f>
        <v>0</v>
      </c>
      <c r="AD29" s="549">
        <f t="shared" si="0"/>
        <v>6781</v>
      </c>
      <c r="AE29" s="548">
        <f t="shared" si="4"/>
        <v>6247</v>
      </c>
      <c r="AF29" s="548">
        <f t="shared" si="5"/>
        <v>6543</v>
      </c>
      <c r="AG29" s="533">
        <f t="shared" si="6"/>
        <v>7124</v>
      </c>
      <c r="AI29" s="566"/>
    </row>
    <row r="30" spans="1:35" ht="18" customHeight="1">
      <c r="A30" s="94" t="s">
        <v>1021</v>
      </c>
      <c r="B30" s="549">
        <f>+'49'!B30+'50'!B30+'51'!B30+'52'!B30</f>
        <v>4668</v>
      </c>
      <c r="C30" s="548">
        <f>+'49'!C30+'50'!C30+'51'!C30+'52'!C30</f>
        <v>4264</v>
      </c>
      <c r="D30" s="548">
        <f>+'49'!D30+'50'!D30+'51'!D30+'52'!D30</f>
        <v>4577</v>
      </c>
      <c r="E30" s="533">
        <f>+'49'!E30+'50'!E30+'51'!E30+'52'!E30</f>
        <v>4606</v>
      </c>
      <c r="F30" s="548">
        <f>+'49'!F30+'50'!F30+'51'!F30+'52'!F30</f>
        <v>4126</v>
      </c>
      <c r="G30" s="548">
        <f>+'49'!G30+'50'!G30+'51'!G30+'52'!G30</f>
        <v>4578</v>
      </c>
      <c r="H30" s="548">
        <f>+'49'!H30+'50'!H30+'51'!H30+'52'!H30</f>
        <v>4034</v>
      </c>
      <c r="I30" s="548">
        <f>+'49'!I30+'50'!I30+'51'!I30+'52'!I30</f>
        <v>4166</v>
      </c>
      <c r="J30" s="549">
        <f>+'49'!J30+'50'!J30+'51'!J30+'52'!J30</f>
        <v>666</v>
      </c>
      <c r="K30" s="548">
        <f>+'49'!K30+'50'!K30+'51'!K30+'52'!K30</f>
        <v>183</v>
      </c>
      <c r="L30" s="548">
        <f>+'49'!L30+'50'!L30+'51'!L30+'52'!L30</f>
        <v>0</v>
      </c>
      <c r="M30" s="533">
        <f>+'49'!M30+'50'!M30+'51'!M30+'52'!M30</f>
        <v>0</v>
      </c>
      <c r="N30" s="548">
        <f>+'49'!N30+'50'!N30+'51'!N30+'52'!N30</f>
        <v>0</v>
      </c>
      <c r="O30" s="548">
        <f>+'49'!O30+'50'!O30+'51'!O30+'52'!O30</f>
        <v>0</v>
      </c>
      <c r="P30" s="548">
        <f>+'49'!P30+'50'!P30+'51'!P30+'52'!P30</f>
        <v>0</v>
      </c>
      <c r="Q30" s="548">
        <f>+'49'!Q30+'50'!Q30+'51'!Q30+'52'!Q30</f>
        <v>0</v>
      </c>
      <c r="R30" s="369">
        <f>+'49'!R30+'50'!R30+'51'!R30+'52'!R30</f>
        <v>0</v>
      </c>
      <c r="S30" s="370">
        <f>+'49'!S30+'50'!S30+'51'!S30+'52'!S30</f>
        <v>0</v>
      </c>
      <c r="T30" s="370">
        <f>+'49'!T30+'50'!T30+'51'!T30+'52'!T30</f>
        <v>0</v>
      </c>
      <c r="U30" s="492">
        <f>+'49'!U30+'50'!U30+'51'!U30+'52'!U30</f>
        <v>0</v>
      </c>
      <c r="V30" s="548">
        <f>+'49'!V30+'50'!V30+'51'!V30+'52'!V30</f>
        <v>0</v>
      </c>
      <c r="W30" s="548">
        <f>+'49'!W30+'50'!W30+'51'!W30+'52'!W30</f>
        <v>0</v>
      </c>
      <c r="X30" s="548">
        <f>+'49'!X30+'50'!X30+'51'!X30+'52'!X30</f>
        <v>0</v>
      </c>
      <c r="Y30" s="548">
        <f>+'49'!Y30+'50'!Y30+'51'!Y30+'52'!Y30</f>
        <v>0</v>
      </c>
      <c r="Z30" s="549">
        <f>+'51'!Z30+'52'!Z30</f>
        <v>0</v>
      </c>
      <c r="AA30" s="548">
        <f>+'51'!AA30+'52'!AA30</f>
        <v>0</v>
      </c>
      <c r="AB30" s="548">
        <f>+'51'!AB30+'52'!AB30</f>
        <v>0</v>
      </c>
      <c r="AC30" s="548">
        <f>+'51'!AC30+'52'!AC30</f>
        <v>0</v>
      </c>
      <c r="AD30" s="549">
        <f t="shared" si="0"/>
        <v>9460</v>
      </c>
      <c r="AE30" s="548">
        <f t="shared" si="4"/>
        <v>9025</v>
      </c>
      <c r="AF30" s="548">
        <f t="shared" si="5"/>
        <v>8611</v>
      </c>
      <c r="AG30" s="533">
        <f t="shared" si="6"/>
        <v>8772</v>
      </c>
      <c r="AI30" s="566"/>
    </row>
    <row r="31" spans="1:35" ht="18" customHeight="1">
      <c r="A31" s="94" t="s">
        <v>1022</v>
      </c>
      <c r="B31" s="549">
        <f>+'49'!B31+'50'!B31+'51'!B31+'52'!B31</f>
        <v>6160</v>
      </c>
      <c r="C31" s="548">
        <f>+'49'!C31+'50'!C31+'51'!C31+'52'!C31</f>
        <v>5448</v>
      </c>
      <c r="D31" s="548">
        <f>+'49'!D31+'50'!D31+'51'!D31+'52'!D31</f>
        <v>4392</v>
      </c>
      <c r="E31" s="533">
        <f>+'49'!E31+'50'!E31+'51'!E31+'52'!E31</f>
        <v>6890</v>
      </c>
      <c r="F31" s="548">
        <f>+'49'!F31+'50'!F31+'51'!F31+'52'!F31</f>
        <v>0</v>
      </c>
      <c r="G31" s="548">
        <f>+'49'!G31+'50'!G31+'51'!G31+'52'!G31</f>
        <v>0</v>
      </c>
      <c r="H31" s="548">
        <f>+'49'!H31+'50'!H31+'51'!H31+'52'!H31</f>
        <v>0</v>
      </c>
      <c r="I31" s="548">
        <f>+'49'!I31+'50'!I31+'51'!I31+'52'!I31</f>
        <v>0</v>
      </c>
      <c r="J31" s="549">
        <f>+'49'!J31+'50'!J31+'51'!J31+'52'!J31</f>
        <v>0</v>
      </c>
      <c r="K31" s="548">
        <f>+'49'!K31+'50'!K31+'51'!K31+'52'!K31</f>
        <v>0</v>
      </c>
      <c r="L31" s="548">
        <f>+'49'!L31+'50'!L31+'51'!L31+'52'!L31</f>
        <v>0</v>
      </c>
      <c r="M31" s="533">
        <f>+'49'!M31+'50'!M31+'51'!M31+'52'!M31</f>
        <v>0</v>
      </c>
      <c r="N31" s="548">
        <f>+'49'!N31+'50'!N31+'51'!N31+'52'!N31</f>
        <v>0</v>
      </c>
      <c r="O31" s="548">
        <f>+'49'!O31+'50'!O31+'51'!O31+'52'!O31</f>
        <v>0</v>
      </c>
      <c r="P31" s="548">
        <f>+'49'!P31+'50'!P31+'51'!P31+'52'!P31</f>
        <v>0</v>
      </c>
      <c r="Q31" s="548">
        <f>+'49'!Q31+'50'!Q31+'51'!Q31+'52'!Q31</f>
        <v>0</v>
      </c>
      <c r="R31" s="369">
        <f>+'49'!R31+'50'!R31+'51'!R31+'52'!R31</f>
        <v>0</v>
      </c>
      <c r="S31" s="370">
        <f>+'49'!S31+'50'!S31+'51'!S31+'52'!S31</f>
        <v>0</v>
      </c>
      <c r="T31" s="370">
        <f>+'49'!T31+'50'!T31+'51'!T31+'52'!T31</f>
        <v>0</v>
      </c>
      <c r="U31" s="492">
        <f>+'49'!U31+'50'!U31+'51'!U31+'52'!U31</f>
        <v>0</v>
      </c>
      <c r="V31" s="548">
        <f>+'49'!V31+'50'!V31+'51'!V31+'52'!V31</f>
        <v>0</v>
      </c>
      <c r="W31" s="548">
        <f>+'49'!W31+'50'!W31+'51'!W31+'52'!W31</f>
        <v>0</v>
      </c>
      <c r="X31" s="548">
        <f>+'49'!X31+'50'!X31+'51'!X31+'52'!X31</f>
        <v>0</v>
      </c>
      <c r="Y31" s="548">
        <f>+'49'!Y31+'50'!Y31+'51'!Y31+'52'!Y31</f>
        <v>0</v>
      </c>
      <c r="Z31" s="549">
        <f>+'51'!Z31+'52'!Z31</f>
        <v>1224</v>
      </c>
      <c r="AA31" s="548">
        <f>+'51'!AA31+'52'!AA31+'50'!AA31</f>
        <v>70</v>
      </c>
      <c r="AB31" s="548">
        <f>+'50'!AB31+'51'!AB31+'52'!AB31</f>
        <v>0</v>
      </c>
      <c r="AC31" s="548">
        <f>+'49'!AC31+'50'!AC31+'51'!AC31+'52'!AC31</f>
        <v>1912</v>
      </c>
      <c r="AD31" s="549">
        <f t="shared" si="0"/>
        <v>7384</v>
      </c>
      <c r="AE31" s="548">
        <f t="shared" si="4"/>
        <v>5518</v>
      </c>
      <c r="AF31" s="548">
        <f t="shared" si="5"/>
        <v>4392</v>
      </c>
      <c r="AG31" s="533">
        <f t="shared" si="6"/>
        <v>8802</v>
      </c>
      <c r="AI31" s="566"/>
    </row>
    <row r="32" spans="1:35" ht="18" customHeight="1">
      <c r="A32" s="94" t="s">
        <v>1023</v>
      </c>
      <c r="B32" s="549">
        <f>+'49'!B32+'50'!B32+'51'!B32+'52'!B32</f>
        <v>2484</v>
      </c>
      <c r="C32" s="548">
        <f>+'49'!C32+'50'!C32+'51'!C32+'52'!C32</f>
        <v>2368</v>
      </c>
      <c r="D32" s="548">
        <f>+'49'!D32+'50'!D32+'51'!D32+'52'!D32</f>
        <v>2471</v>
      </c>
      <c r="E32" s="533">
        <f>+'49'!E32+'50'!E32+'51'!E32+'52'!E32</f>
        <v>7122</v>
      </c>
      <c r="F32" s="548">
        <f>+'49'!F32+'50'!F32+'51'!F32+'52'!F32</f>
        <v>0</v>
      </c>
      <c r="G32" s="548">
        <f>+'49'!G32+'50'!G32+'51'!G32+'52'!G32</f>
        <v>0</v>
      </c>
      <c r="H32" s="548">
        <f>+'49'!H32+'50'!H32+'51'!H32+'52'!H32</f>
        <v>0</v>
      </c>
      <c r="I32" s="548">
        <f>+'49'!I32+'50'!I32+'51'!I32+'52'!I32</f>
        <v>0</v>
      </c>
      <c r="J32" s="549">
        <f>+'49'!J32+'50'!J32+'51'!J32+'52'!J32</f>
        <v>0</v>
      </c>
      <c r="K32" s="548">
        <f>+'49'!K32+'50'!K32+'51'!K32+'52'!K32</f>
        <v>0</v>
      </c>
      <c r="L32" s="548">
        <f>+'49'!L32+'50'!L32+'51'!L32+'52'!L32</f>
        <v>0</v>
      </c>
      <c r="M32" s="533">
        <f>+'49'!M32+'50'!M32+'51'!M32+'52'!M32</f>
        <v>0</v>
      </c>
      <c r="N32" s="548">
        <f>+'49'!N32+'50'!N32+'51'!N32+'52'!N32</f>
        <v>0</v>
      </c>
      <c r="O32" s="548">
        <f>+'49'!O32+'50'!O32+'51'!O32+'52'!O32</f>
        <v>0</v>
      </c>
      <c r="P32" s="548">
        <f>+'49'!P32+'50'!P32+'51'!P32+'52'!P32</f>
        <v>0</v>
      </c>
      <c r="Q32" s="548">
        <f>+'49'!Q32+'50'!Q32+'51'!Q32+'52'!Q32</f>
        <v>0</v>
      </c>
      <c r="R32" s="369">
        <f>+'49'!R32+'50'!R32+'51'!R32+'52'!R32</f>
        <v>0</v>
      </c>
      <c r="S32" s="370">
        <f>+'49'!S32+'50'!S32+'51'!S32+'52'!S32</f>
        <v>0</v>
      </c>
      <c r="T32" s="370">
        <f>+'49'!T32+'50'!T32+'51'!T32+'52'!T32</f>
        <v>0</v>
      </c>
      <c r="U32" s="492">
        <f>+'49'!U32+'50'!U32+'51'!U32+'52'!U32</f>
        <v>0</v>
      </c>
      <c r="V32" s="548">
        <f>+'49'!V32+'50'!V32+'51'!V32+'52'!V32</f>
        <v>0</v>
      </c>
      <c r="W32" s="548">
        <f>+'49'!W32+'50'!W32+'51'!W32+'52'!W32</f>
        <v>0</v>
      </c>
      <c r="X32" s="548">
        <f>+'49'!X32+'50'!X32+'51'!X32+'52'!X32</f>
        <v>0</v>
      </c>
      <c r="Y32" s="548">
        <f>+'49'!Y32+'50'!Y32+'51'!Y32+'52'!Y32</f>
        <v>0</v>
      </c>
      <c r="Z32" s="549">
        <f>+'51'!Z32+'52'!Z32</f>
        <v>0</v>
      </c>
      <c r="AA32" s="548">
        <f>+'51'!AA32+'52'!AA32</f>
        <v>0</v>
      </c>
      <c r="AB32" s="548">
        <f>+'51'!AB32+'52'!AB32</f>
        <v>0</v>
      </c>
      <c r="AC32" s="548">
        <f>+'51'!AC32+'52'!AC32</f>
        <v>0</v>
      </c>
      <c r="AD32" s="549">
        <f t="shared" si="0"/>
        <v>2484</v>
      </c>
      <c r="AE32" s="548">
        <f t="shared" si="4"/>
        <v>2368</v>
      </c>
      <c r="AF32" s="548">
        <f t="shared" si="5"/>
        <v>2471</v>
      </c>
      <c r="AG32" s="533">
        <f t="shared" si="6"/>
        <v>7122</v>
      </c>
    </row>
    <row r="33" spans="1:34" ht="18" customHeight="1">
      <c r="A33" s="94" t="s">
        <v>1024</v>
      </c>
      <c r="B33" s="549">
        <f>+'49'!B33+'50'!B33+'51'!B33+'52'!B33</f>
        <v>0</v>
      </c>
      <c r="C33" s="548">
        <f>+'49'!C33+'50'!C33+'51'!C33+'52'!C33</f>
        <v>0</v>
      </c>
      <c r="D33" s="548">
        <f>+'49'!D33+'50'!D33+'51'!D33+'52'!D33</f>
        <v>0</v>
      </c>
      <c r="E33" s="533">
        <f>+'49'!E33+'50'!E33+'51'!E33+'52'!E33</f>
        <v>0</v>
      </c>
      <c r="F33" s="548">
        <f>+'49'!F33+'50'!F33+'51'!F33+'52'!F33</f>
        <v>11487</v>
      </c>
      <c r="G33" s="548">
        <f>+'49'!G33+'50'!G33+'51'!G33+'52'!G33</f>
        <v>11011</v>
      </c>
      <c r="H33" s="548">
        <f>+'49'!H33+'50'!H33+'51'!H33+'52'!H33</f>
        <v>10892</v>
      </c>
      <c r="I33" s="548">
        <f>+'49'!I33+'50'!I33+'51'!I33+'52'!I33</f>
        <v>10417</v>
      </c>
      <c r="J33" s="549">
        <f>+'49'!J33+'50'!J33+'51'!J33+'52'!J33</f>
        <v>0</v>
      </c>
      <c r="K33" s="548">
        <f>+'49'!K33+'50'!K33+'51'!K33+'52'!K33</f>
        <v>0</v>
      </c>
      <c r="L33" s="548">
        <f>+'49'!L33+'50'!L33+'51'!L33+'52'!L33</f>
        <v>0</v>
      </c>
      <c r="M33" s="533">
        <f>+'49'!M33+'50'!M33+'51'!M33+'52'!M33</f>
        <v>0</v>
      </c>
      <c r="N33" s="548">
        <f>+'49'!N33+'50'!N33+'51'!N33+'52'!N33</f>
        <v>0</v>
      </c>
      <c r="O33" s="548">
        <f>+'49'!O33+'50'!O33+'51'!O33+'52'!O33</f>
        <v>0</v>
      </c>
      <c r="P33" s="548">
        <f>+'49'!P33+'50'!P33+'51'!P33+'52'!P33</f>
        <v>0</v>
      </c>
      <c r="Q33" s="548">
        <f>+'49'!Q33+'50'!Q33+'51'!Q33+'52'!Q33</f>
        <v>0</v>
      </c>
      <c r="R33" s="369">
        <f>+'49'!R33+'50'!R33+'51'!R33+'52'!R33</f>
        <v>0</v>
      </c>
      <c r="S33" s="370">
        <f>+'49'!S33+'50'!S33+'51'!S33+'52'!S33</f>
        <v>0</v>
      </c>
      <c r="T33" s="370">
        <f>+'49'!T33+'50'!T33+'51'!T33+'52'!T33</f>
        <v>0</v>
      </c>
      <c r="U33" s="492">
        <f>+'49'!U33+'50'!U33+'51'!U33+'52'!U33</f>
        <v>0</v>
      </c>
      <c r="V33" s="548">
        <f>+'49'!V33+'50'!V33+'51'!V33+'52'!V33</f>
        <v>0</v>
      </c>
      <c r="W33" s="548">
        <f>+'49'!W33+'50'!W33+'51'!W33+'52'!W33</f>
        <v>0</v>
      </c>
      <c r="X33" s="548">
        <f>+'49'!X33+'50'!X33+'51'!X33+'52'!X33</f>
        <v>0</v>
      </c>
      <c r="Y33" s="548">
        <f>+'49'!Y33+'50'!Y33+'51'!Y33+'52'!Y33</f>
        <v>0</v>
      </c>
      <c r="Z33" s="549">
        <f>+'51'!Z33+'52'!Z33</f>
        <v>0</v>
      </c>
      <c r="AA33" s="548">
        <f>+'51'!AA33+'52'!AA33</f>
        <v>0</v>
      </c>
      <c r="AB33" s="548">
        <f>+'51'!AB33+'52'!AB33</f>
        <v>0</v>
      </c>
      <c r="AC33" s="548">
        <f>+'51'!AC33+'52'!AC33</f>
        <v>0</v>
      </c>
      <c r="AD33" s="549">
        <f t="shared" si="0"/>
        <v>11487</v>
      </c>
      <c r="AE33" s="548">
        <f t="shared" si="4"/>
        <v>11011</v>
      </c>
      <c r="AF33" s="548">
        <f t="shared" si="5"/>
        <v>10892</v>
      </c>
      <c r="AG33" s="533">
        <f t="shared" si="6"/>
        <v>10417</v>
      </c>
    </row>
    <row r="34" spans="1:34" ht="18" customHeight="1">
      <c r="A34" s="94" t="s">
        <v>1025</v>
      </c>
      <c r="B34" s="549">
        <f>+'49'!B34+'50'!B34+'51'!B34+'52'!B34</f>
        <v>201</v>
      </c>
      <c r="C34" s="548">
        <f>+'49'!C34+'50'!C34+'51'!C34+'52'!C34</f>
        <v>128</v>
      </c>
      <c r="D34" s="548">
        <f>+'49'!D34+'50'!D34+'51'!D34+'52'!D34</f>
        <v>87</v>
      </c>
      <c r="E34" s="533">
        <f>+'49'!E34+'50'!E34+'51'!E34+'52'!E34</f>
        <v>10</v>
      </c>
      <c r="F34" s="548">
        <f>+'49'!F34+'50'!F34+'51'!F34+'52'!F34</f>
        <v>4518</v>
      </c>
      <c r="G34" s="548">
        <f>+'49'!G34+'50'!G34+'51'!G34+'52'!G34</f>
        <v>4421</v>
      </c>
      <c r="H34" s="548">
        <f>+'49'!H34+'50'!H34+'51'!H34+'52'!H34</f>
        <v>3952</v>
      </c>
      <c r="I34" s="548">
        <f>+'49'!I34+'50'!I34+'51'!I34+'52'!I34</f>
        <v>4557</v>
      </c>
      <c r="J34" s="549">
        <f>+'49'!J34+'50'!J34+'51'!J34+'52'!J34</f>
        <v>0</v>
      </c>
      <c r="K34" s="548">
        <f>+'49'!K34+'50'!K34+'51'!K34+'52'!K34</f>
        <v>0</v>
      </c>
      <c r="L34" s="548">
        <f>+'49'!L34+'50'!L34+'51'!L34+'52'!L34</f>
        <v>0</v>
      </c>
      <c r="M34" s="533">
        <f>+'49'!M34+'50'!M34+'51'!M34+'52'!M34</f>
        <v>0</v>
      </c>
      <c r="N34" s="548">
        <f>+'49'!N34+'50'!N34+'51'!N34+'52'!N34</f>
        <v>0</v>
      </c>
      <c r="O34" s="548">
        <f>+'49'!O34+'50'!O34+'51'!O34+'52'!O34</f>
        <v>0</v>
      </c>
      <c r="P34" s="548">
        <f>+'49'!P34+'50'!P34+'51'!P34+'52'!P34</f>
        <v>0</v>
      </c>
      <c r="Q34" s="548">
        <f>+'49'!Q34+'50'!Q34+'51'!Q34+'52'!Q34</f>
        <v>0</v>
      </c>
      <c r="R34" s="369">
        <f>+'49'!R34+'50'!R34+'51'!R34+'52'!R34</f>
        <v>0</v>
      </c>
      <c r="S34" s="370">
        <f>+'49'!S34+'50'!S34+'51'!S34+'52'!S34</f>
        <v>0</v>
      </c>
      <c r="T34" s="370">
        <f>+'49'!T34+'50'!T34+'51'!T34+'52'!T34</f>
        <v>0</v>
      </c>
      <c r="U34" s="492">
        <f>+'49'!U34+'50'!U34+'51'!U34+'52'!U34</f>
        <v>0</v>
      </c>
      <c r="V34" s="548">
        <f>+'49'!V34+'50'!V34+'51'!V34+'52'!V34</f>
        <v>0</v>
      </c>
      <c r="W34" s="548">
        <f>+'49'!W34+'50'!W34+'51'!W34+'52'!W34</f>
        <v>0</v>
      </c>
      <c r="X34" s="548">
        <f>+'49'!X34+'50'!X34+'51'!X34+'52'!X34</f>
        <v>0</v>
      </c>
      <c r="Y34" s="548">
        <f>+'49'!Y34+'50'!Y34+'51'!Y34+'52'!Y34</f>
        <v>0</v>
      </c>
      <c r="Z34" s="549">
        <f>+'51'!Z34+'52'!Z34</f>
        <v>0</v>
      </c>
      <c r="AA34" s="548">
        <f>+'51'!AA34+'52'!AA34</f>
        <v>0</v>
      </c>
      <c r="AB34" s="548">
        <f>+'51'!AB34+'52'!AB34</f>
        <v>0</v>
      </c>
      <c r="AC34" s="548">
        <f>+'51'!AC34+'52'!AC34</f>
        <v>0</v>
      </c>
      <c r="AD34" s="549">
        <f t="shared" si="0"/>
        <v>4719</v>
      </c>
      <c r="AE34" s="548">
        <f t="shared" si="4"/>
        <v>4549</v>
      </c>
      <c r="AF34" s="548">
        <f t="shared" si="5"/>
        <v>4039</v>
      </c>
      <c r="AG34" s="533">
        <f t="shared" si="6"/>
        <v>4567</v>
      </c>
    </row>
    <row r="35" spans="1:34" ht="18" customHeight="1">
      <c r="A35" s="94" t="s">
        <v>1026</v>
      </c>
      <c r="B35" s="549">
        <f>+'49'!B35+'50'!B35+'51'!B35+'52'!B35</f>
        <v>1338</v>
      </c>
      <c r="C35" s="548">
        <f>+'49'!C35+'50'!C35+'51'!C35+'52'!C35</f>
        <v>1211</v>
      </c>
      <c r="D35" s="548">
        <f>+'49'!D35+'50'!D35+'51'!D35+'52'!D35</f>
        <v>674</v>
      </c>
      <c r="E35" s="533">
        <f>+'49'!E35+'50'!E35+'51'!E35+'52'!E35</f>
        <v>954</v>
      </c>
      <c r="F35" s="548">
        <f>+'49'!F35+'50'!F35+'51'!F35+'52'!F35</f>
        <v>0</v>
      </c>
      <c r="G35" s="548">
        <f>+'49'!G35+'50'!G35+'51'!G35+'52'!G35</f>
        <v>0</v>
      </c>
      <c r="H35" s="548">
        <f>+'49'!H35+'50'!H35+'51'!H35+'52'!H35</f>
        <v>0</v>
      </c>
      <c r="I35" s="548">
        <f>+'49'!I35+'50'!I35+'51'!I35+'52'!I35</f>
        <v>0</v>
      </c>
      <c r="J35" s="549">
        <f>+'49'!J35+'50'!J35+'51'!J35+'52'!J35</f>
        <v>0</v>
      </c>
      <c r="K35" s="548">
        <f>+'49'!K35+'50'!K35+'51'!K35+'52'!K35</f>
        <v>0</v>
      </c>
      <c r="L35" s="548">
        <f>+'49'!L35+'50'!L35+'51'!L35+'52'!L35</f>
        <v>0</v>
      </c>
      <c r="M35" s="533">
        <f>+'49'!M35+'50'!M35+'51'!M35+'52'!M35</f>
        <v>0</v>
      </c>
      <c r="N35" s="548">
        <f>+'49'!N35+'50'!N35+'51'!N35+'52'!N35</f>
        <v>0</v>
      </c>
      <c r="O35" s="548">
        <f>+'49'!O35+'50'!O35+'51'!O35+'52'!O35</f>
        <v>0</v>
      </c>
      <c r="P35" s="548">
        <f>+'49'!P35+'50'!P35+'51'!P35+'52'!P35</f>
        <v>0</v>
      </c>
      <c r="Q35" s="548">
        <f>+'49'!Q35+'50'!Q35+'51'!Q35+'52'!Q35</f>
        <v>0</v>
      </c>
      <c r="R35" s="369">
        <f>+'49'!R35+'50'!R35+'51'!R35+'52'!R35</f>
        <v>0</v>
      </c>
      <c r="S35" s="370">
        <f>+'49'!S35+'50'!S35+'51'!S35+'52'!S35</f>
        <v>0</v>
      </c>
      <c r="T35" s="370">
        <f>+'49'!T35+'50'!T35+'51'!T35+'52'!T35</f>
        <v>0</v>
      </c>
      <c r="U35" s="492">
        <f>+'49'!U35+'50'!U35+'51'!U35+'52'!U35</f>
        <v>0</v>
      </c>
      <c r="V35" s="548">
        <f>+'49'!V35+'50'!V35+'51'!V35+'52'!V35</f>
        <v>0</v>
      </c>
      <c r="W35" s="548">
        <f>+'49'!W35+'50'!W35+'51'!W35+'52'!W35</f>
        <v>0</v>
      </c>
      <c r="X35" s="548">
        <f>+'49'!X35+'50'!X35+'51'!X35+'52'!X35</f>
        <v>0</v>
      </c>
      <c r="Y35" s="548">
        <f>+'49'!Y35+'50'!Y35+'51'!Y35+'52'!Y35</f>
        <v>0</v>
      </c>
      <c r="Z35" s="549">
        <f>+'51'!Z35+'52'!Z35</f>
        <v>0</v>
      </c>
      <c r="AA35" s="548">
        <f>+'51'!AA35+'52'!AA35</f>
        <v>0</v>
      </c>
      <c r="AB35" s="548">
        <f>+'51'!AB35+'52'!AB35</f>
        <v>0</v>
      </c>
      <c r="AC35" s="548">
        <f>+'51'!AC35+'52'!AC35</f>
        <v>0</v>
      </c>
      <c r="AD35" s="549">
        <f t="shared" si="0"/>
        <v>1338</v>
      </c>
      <c r="AE35" s="548">
        <f t="shared" si="4"/>
        <v>1211</v>
      </c>
      <c r="AF35" s="548">
        <f t="shared" si="5"/>
        <v>674</v>
      </c>
      <c r="AG35" s="533">
        <f t="shared" si="6"/>
        <v>954</v>
      </c>
    </row>
    <row r="36" spans="1:34" ht="18" customHeight="1">
      <c r="A36" s="15" t="s">
        <v>863</v>
      </c>
      <c r="B36" s="553">
        <f t="shared" ref="B36:AG36" si="7">SUM(B9:B35)</f>
        <v>63950</v>
      </c>
      <c r="C36" s="551">
        <f t="shared" si="7"/>
        <v>62307</v>
      </c>
      <c r="D36" s="551">
        <f t="shared" si="7"/>
        <v>62942</v>
      </c>
      <c r="E36" s="552">
        <f t="shared" si="7"/>
        <v>73097</v>
      </c>
      <c r="F36" s="551">
        <f t="shared" si="7"/>
        <v>57607</v>
      </c>
      <c r="G36" s="551">
        <f t="shared" si="7"/>
        <v>55582</v>
      </c>
      <c r="H36" s="551">
        <f t="shared" si="7"/>
        <v>52929</v>
      </c>
      <c r="I36" s="551">
        <f t="shared" si="7"/>
        <v>52831</v>
      </c>
      <c r="J36" s="553">
        <f t="shared" si="7"/>
        <v>1702</v>
      </c>
      <c r="K36" s="551">
        <f t="shared" si="7"/>
        <v>980</v>
      </c>
      <c r="L36" s="551">
        <f t="shared" si="7"/>
        <v>831</v>
      </c>
      <c r="M36" s="552">
        <f t="shared" si="7"/>
        <v>896</v>
      </c>
      <c r="N36" s="551">
        <f t="shared" si="7"/>
        <v>5428</v>
      </c>
      <c r="O36" s="551">
        <f t="shared" si="7"/>
        <v>4385</v>
      </c>
      <c r="P36" s="551">
        <f t="shared" si="7"/>
        <v>4136</v>
      </c>
      <c r="Q36" s="551">
        <f t="shared" si="7"/>
        <v>2876</v>
      </c>
      <c r="R36" s="373">
        <f t="shared" si="7"/>
        <v>554</v>
      </c>
      <c r="S36" s="374">
        <f t="shared" si="7"/>
        <v>673</v>
      </c>
      <c r="T36" s="374">
        <f>SUM(T9:T35)</f>
        <v>628</v>
      </c>
      <c r="U36" s="535">
        <f>SUM(U9:U35)</f>
        <v>131</v>
      </c>
      <c r="V36" s="551">
        <f t="shared" si="7"/>
        <v>0</v>
      </c>
      <c r="W36" s="551">
        <f t="shared" si="7"/>
        <v>0</v>
      </c>
      <c r="X36" s="551">
        <f t="shared" si="7"/>
        <v>0</v>
      </c>
      <c r="Y36" s="552">
        <f t="shared" si="7"/>
        <v>0</v>
      </c>
      <c r="Z36" s="553">
        <f t="shared" si="7"/>
        <v>1224</v>
      </c>
      <c r="AA36" s="551">
        <f t="shared" si="7"/>
        <v>70</v>
      </c>
      <c r="AB36" s="551">
        <f t="shared" si="7"/>
        <v>0</v>
      </c>
      <c r="AC36" s="552">
        <f t="shared" si="7"/>
        <v>1912</v>
      </c>
      <c r="AD36" s="551">
        <f t="shared" si="7"/>
        <v>130465</v>
      </c>
      <c r="AE36" s="551">
        <f t="shared" si="7"/>
        <v>123997</v>
      </c>
      <c r="AF36" s="551">
        <f t="shared" si="7"/>
        <v>121466</v>
      </c>
      <c r="AG36" s="552">
        <f t="shared" si="7"/>
        <v>131743</v>
      </c>
    </row>
    <row r="37" spans="1:34" ht="18" customHeight="1">
      <c r="A37" s="8"/>
      <c r="B37" s="554"/>
      <c r="C37" s="554"/>
      <c r="D37" s="554"/>
      <c r="E37" s="554"/>
      <c r="F37" s="554"/>
      <c r="G37" s="554"/>
      <c r="H37" s="554"/>
      <c r="I37" s="554"/>
      <c r="J37" s="554"/>
      <c r="K37" s="554"/>
      <c r="L37" s="554"/>
      <c r="M37" s="554"/>
      <c r="N37" s="554"/>
      <c r="O37" s="554"/>
      <c r="P37" s="554"/>
      <c r="Q37" s="554"/>
      <c r="R37" s="548"/>
      <c r="S37" s="554"/>
      <c r="T37" s="554"/>
      <c r="U37" s="554"/>
      <c r="V37" s="554"/>
      <c r="W37" s="554"/>
      <c r="X37" s="554"/>
      <c r="Y37" s="554"/>
      <c r="Z37" s="554"/>
      <c r="AA37" s="554"/>
      <c r="AB37" s="554"/>
      <c r="AC37" s="554"/>
      <c r="AD37" s="1214"/>
      <c r="AE37" s="1214"/>
      <c r="AF37" s="554"/>
      <c r="AG37" s="554"/>
      <c r="AH37" s="566"/>
    </row>
    <row r="38" spans="1:34" ht="18" customHeight="1">
      <c r="A38" s="511" t="s">
        <v>1027</v>
      </c>
      <c r="B38" s="554"/>
      <c r="C38" s="554"/>
      <c r="D38" s="554"/>
      <c r="E38" s="551"/>
      <c r="F38" s="554"/>
      <c r="G38" s="554"/>
      <c r="H38" s="554"/>
      <c r="I38" s="554"/>
      <c r="J38" s="554"/>
      <c r="K38" s="554"/>
      <c r="L38" s="554"/>
      <c r="M38" s="554"/>
      <c r="N38" s="554"/>
      <c r="O38" s="554"/>
      <c r="P38" s="554"/>
      <c r="Q38" s="554"/>
      <c r="R38" s="548"/>
      <c r="S38" s="554"/>
      <c r="T38" s="554"/>
      <c r="U38" s="554"/>
      <c r="V38" s="554"/>
      <c r="W38" s="554"/>
      <c r="X38" s="554"/>
      <c r="Y38" s="554"/>
      <c r="Z38" s="554"/>
      <c r="AA38" s="554"/>
      <c r="AB38" s="554"/>
      <c r="AC38" s="554"/>
      <c r="AD38" s="554"/>
      <c r="AE38" s="554"/>
      <c r="AF38" s="554"/>
      <c r="AG38" s="554"/>
    </row>
    <row r="39" spans="1:34" ht="18" customHeight="1">
      <c r="A39" s="558" t="s">
        <v>1028</v>
      </c>
      <c r="B39" s="555">
        <f>+'49'!B39+'50'!B39+'51'!B39+'52'!B39</f>
        <v>746</v>
      </c>
      <c r="C39" s="556">
        <f>+'49'!C39+'50'!C39+'51'!C39+'52'!C39</f>
        <v>987</v>
      </c>
      <c r="D39" s="556">
        <f>+'49'!D39+'50'!D39+'51'!D39+'52'!D39</f>
        <v>679</v>
      </c>
      <c r="E39" s="533">
        <f>+'49'!E39+'50'!E39+'51'!E39+'52'!E39</f>
        <v>604</v>
      </c>
      <c r="F39" s="555">
        <f>+'49'!F39+'50'!F39+'51'!F39+'52'!F39</f>
        <v>5552</v>
      </c>
      <c r="G39" s="556">
        <f>+'49'!G39+'50'!G39+'51'!G39+'52'!G39</f>
        <v>6467</v>
      </c>
      <c r="H39" s="556">
        <f>+'49'!H39+'50'!H39+'51'!H39+'52'!H39</f>
        <v>5757</v>
      </c>
      <c r="I39" s="557">
        <f>+'49'!I39+'50'!I39+'51'!I39+'52'!I39</f>
        <v>5666</v>
      </c>
      <c r="J39" s="555">
        <f>+'49'!J39+'50'!J39+'51'!J39+'52'!J39</f>
        <v>0</v>
      </c>
      <c r="K39" s="556">
        <f>+'49'!K39+'50'!K39+'51'!K39+'52'!K39</f>
        <v>0</v>
      </c>
      <c r="L39" s="556">
        <f>+'49'!L39+'50'!L39+'51'!L39+'52'!L39</f>
        <v>0</v>
      </c>
      <c r="M39" s="557">
        <f>+'49'!M39+'50'!M39+'51'!M39+'52'!M39</f>
        <v>0</v>
      </c>
      <c r="N39" s="555">
        <f>+'49'!N39+'50'!N39+'51'!N39+'52'!N39</f>
        <v>0</v>
      </c>
      <c r="O39" s="556">
        <f>+'49'!O39+'50'!O39+'51'!O39+'52'!O39</f>
        <v>0</v>
      </c>
      <c r="P39" s="556">
        <f>+'49'!P39+'50'!P39+'51'!P39+'52'!P39</f>
        <v>0</v>
      </c>
      <c r="Q39" s="556">
        <f>+'49'!Q39+'50'!Q39+'51'!Q39+'52'!Q39</f>
        <v>0</v>
      </c>
      <c r="R39" s="555">
        <f>+'49'!R39+'50'!R39+'51'!R39+'52'!R39</f>
        <v>0</v>
      </c>
      <c r="S39" s="556">
        <f>+'49'!S39+'50'!S39+'51'!S39+'52'!S39</f>
        <v>0</v>
      </c>
      <c r="T39" s="556">
        <f>+'49'!T39+'50'!T39+'51'!T39+'52'!T39</f>
        <v>0</v>
      </c>
      <c r="U39" s="557">
        <f>+'49'!U39+'50'!U39+'51'!U39+'52'!U39</f>
        <v>0</v>
      </c>
      <c r="V39" s="556">
        <f>+'49'!V39+'50'!V39+'51'!V39+'52'!V39</f>
        <v>0</v>
      </c>
      <c r="W39" s="556">
        <f>+'49'!W39+'50'!W39+'51'!W39+'52'!W39</f>
        <v>0</v>
      </c>
      <c r="X39" s="556">
        <f>+'49'!X39+'50'!X39+'51'!X39+'52'!X39</f>
        <v>0</v>
      </c>
      <c r="Y39" s="556">
        <f>+'49'!Y39+'50'!Y39+'51'!Y39+'52'!Y39</f>
        <v>0</v>
      </c>
      <c r="Z39" s="555"/>
      <c r="AA39" s="556"/>
      <c r="AB39" s="556"/>
      <c r="AC39" s="556"/>
      <c r="AD39" s="555">
        <f t="shared" ref="AD39:AG40" si="8">+N39+J39+F39+B39</f>
        <v>6298</v>
      </c>
      <c r="AE39" s="556">
        <f t="shared" si="8"/>
        <v>7454</v>
      </c>
      <c r="AF39" s="556">
        <f t="shared" si="8"/>
        <v>6436</v>
      </c>
      <c r="AG39" s="557">
        <f t="shared" si="8"/>
        <v>6270</v>
      </c>
    </row>
    <row r="40" spans="1:34" ht="18" customHeight="1">
      <c r="A40" s="560" t="s">
        <v>1029</v>
      </c>
      <c r="B40" s="549">
        <f>+'49'!B40+'50'!B40+'51'!B40+'52'!B40</f>
        <v>2533</v>
      </c>
      <c r="C40" s="548">
        <f>+'49'!C40+'50'!C40+'51'!C40+'52'!C40</f>
        <v>1828</v>
      </c>
      <c r="D40" s="548">
        <f>+'49'!D40+'50'!D40+'51'!D40+'52'!D40</f>
        <v>320</v>
      </c>
      <c r="E40" s="533">
        <f>+'49'!E40+'50'!E40+'51'!E40+'52'!E40</f>
        <v>0</v>
      </c>
      <c r="F40" s="549">
        <f>+'49'!F40+'50'!F40+'51'!F40+'52'!F40</f>
        <v>537</v>
      </c>
      <c r="G40" s="548">
        <f>+'49'!G40+'50'!G40+'51'!G40+'52'!G40</f>
        <v>637</v>
      </c>
      <c r="H40" s="548">
        <f>+'49'!H40+'50'!H40+'51'!H40+'52'!H40</f>
        <v>368</v>
      </c>
      <c r="I40" s="533">
        <f>+'49'!I40+'50'!I40+'51'!I40+'52'!I40</f>
        <v>320</v>
      </c>
      <c r="J40" s="549">
        <f>+'49'!J40+'50'!J40+'51'!J40+'52'!J40</f>
        <v>0</v>
      </c>
      <c r="K40" s="548">
        <f>+'49'!K40+'50'!K40+'51'!K40+'52'!K40</f>
        <v>0</v>
      </c>
      <c r="L40" s="548">
        <f>+'49'!L40+'50'!L40+'51'!L40+'52'!L40</f>
        <v>0</v>
      </c>
      <c r="M40" s="533">
        <f>+'49'!M40+'50'!M40+'51'!M40+'52'!M40</f>
        <v>0</v>
      </c>
      <c r="N40" s="549">
        <f>+'49'!N40+'50'!N40+'51'!N40+'52'!N40</f>
        <v>0</v>
      </c>
      <c r="O40" s="548">
        <f>+'49'!O40+'50'!O40+'51'!O40+'52'!O40</f>
        <v>0</v>
      </c>
      <c r="P40" s="548">
        <f>+'49'!P40+'50'!P40+'51'!P40+'52'!P40</f>
        <v>0</v>
      </c>
      <c r="Q40" s="548">
        <f>+'49'!Q40+'50'!Q40+'51'!Q40+'52'!Q40</f>
        <v>0</v>
      </c>
      <c r="R40" s="549">
        <f>+'49'!R40+'50'!R40+'51'!R40+'52'!R40</f>
        <v>0</v>
      </c>
      <c r="S40" s="548">
        <f>+'49'!S40+'50'!S40+'51'!S40+'52'!S40</f>
        <v>0</v>
      </c>
      <c r="T40" s="548">
        <f>+'49'!T40+'50'!T40+'51'!T40+'52'!T40</f>
        <v>0</v>
      </c>
      <c r="U40" s="533">
        <f>+'49'!U40+'50'!U40+'51'!U40+'52'!U40</f>
        <v>0</v>
      </c>
      <c r="V40" s="548">
        <f>+'49'!V40+'50'!V40+'51'!V40+'52'!V40</f>
        <v>0</v>
      </c>
      <c r="W40" s="548">
        <f>+'49'!W40+'50'!W40+'51'!W40+'52'!W40</f>
        <v>0</v>
      </c>
      <c r="X40" s="548">
        <f>+'49'!X40+'50'!X40+'51'!X40+'52'!X40</f>
        <v>0</v>
      </c>
      <c r="Y40" s="548">
        <f>+'49'!Y40+'50'!Y40+'51'!Y40+'52'!Y40</f>
        <v>0</v>
      </c>
      <c r="Z40" s="549"/>
      <c r="AA40" s="548"/>
      <c r="AB40" s="548"/>
      <c r="AC40" s="548"/>
      <c r="AD40" s="549">
        <f t="shared" si="8"/>
        <v>3070</v>
      </c>
      <c r="AE40" s="548">
        <f t="shared" si="8"/>
        <v>2465</v>
      </c>
      <c r="AF40" s="548">
        <f t="shared" si="8"/>
        <v>688</v>
      </c>
      <c r="AG40" s="533">
        <f t="shared" si="8"/>
        <v>320</v>
      </c>
    </row>
    <row r="41" spans="1:34" ht="18" customHeight="1">
      <c r="A41" s="560" t="s">
        <v>1030</v>
      </c>
      <c r="B41" s="549">
        <f>+'49'!B41+'50'!B41+'51'!B41+'52'!B41</f>
        <v>1785</v>
      </c>
      <c r="C41" s="548">
        <f>+'49'!C41+'50'!C41+'51'!C41+'52'!C41</f>
        <v>1823</v>
      </c>
      <c r="D41" s="548">
        <f>+'49'!D41+'50'!D41+'51'!D41+'52'!D41</f>
        <v>1960</v>
      </c>
      <c r="E41" s="533">
        <f>+'49'!E41+'50'!E41+'51'!E41+'52'!E41</f>
        <v>2289</v>
      </c>
      <c r="F41" s="549">
        <f>+'49'!F41+'50'!F41+'51'!F41+'52'!F41</f>
        <v>2337</v>
      </c>
      <c r="G41" s="548">
        <f>+'49'!G41+'50'!G41+'51'!G41+'52'!G41</f>
        <v>2300</v>
      </c>
      <c r="H41" s="548">
        <f>+'49'!H41+'50'!H41+'51'!H41+'52'!H41</f>
        <v>1990</v>
      </c>
      <c r="I41" s="533">
        <f>+'49'!I41+'50'!I41+'51'!I41+'52'!I41</f>
        <v>2160</v>
      </c>
      <c r="J41" s="549">
        <f>+'49'!J41+'50'!J41+'51'!J41+'52'!J41</f>
        <v>0</v>
      </c>
      <c r="K41" s="548">
        <f>+'49'!K41+'50'!K41+'51'!K41+'52'!K41</f>
        <v>0</v>
      </c>
      <c r="L41" s="548">
        <f>+'49'!L41+'50'!L41+'51'!L41+'52'!L41</f>
        <v>0</v>
      </c>
      <c r="M41" s="533">
        <f>+'49'!M41+'50'!M41+'51'!M41+'52'!M41</f>
        <v>0</v>
      </c>
      <c r="N41" s="549">
        <f>+'49'!N41+'50'!N41+'51'!N41+'52'!N41</f>
        <v>0</v>
      </c>
      <c r="O41" s="548">
        <f>+'49'!O41+'50'!O41+'51'!O41+'52'!O41</f>
        <v>0</v>
      </c>
      <c r="P41" s="548">
        <f>+'49'!P41+'50'!P41+'51'!P41+'52'!P41</f>
        <v>0</v>
      </c>
      <c r="Q41" s="548">
        <f>+'49'!Q41+'50'!Q41+'51'!Q41+'52'!Q41</f>
        <v>0</v>
      </c>
      <c r="R41" s="549">
        <f>+'49'!R41+'50'!R41+'51'!R41+'52'!R41</f>
        <v>0</v>
      </c>
      <c r="S41" s="548">
        <f>+'49'!S41+'50'!S41+'51'!S41+'52'!S41</f>
        <v>0</v>
      </c>
      <c r="T41" s="548">
        <f>+'49'!T41+'50'!T41+'51'!T41+'52'!T41</f>
        <v>0</v>
      </c>
      <c r="U41" s="533">
        <f>+'49'!U41+'50'!U41+'51'!U41+'52'!U41</f>
        <v>0</v>
      </c>
      <c r="V41" s="548">
        <f>+'49'!V41+'50'!V41+'51'!V41+'52'!V41</f>
        <v>0</v>
      </c>
      <c r="W41" s="548">
        <f>+'49'!W41+'50'!W41+'51'!W41+'52'!W41</f>
        <v>0</v>
      </c>
      <c r="X41" s="548">
        <f>+'49'!X41+'50'!X41+'51'!X41+'52'!X41</f>
        <v>0</v>
      </c>
      <c r="Y41" s="548">
        <f>+'49'!Y41+'50'!Y41+'51'!Y41+'52'!Y41</f>
        <v>0</v>
      </c>
      <c r="Z41" s="549"/>
      <c r="AA41" s="548"/>
      <c r="AB41" s="548"/>
      <c r="AC41" s="548"/>
      <c r="AD41" s="549">
        <f t="shared" ref="AD41:AG47" si="9">+N41+J41+F41+B41</f>
        <v>4122</v>
      </c>
      <c r="AE41" s="548">
        <f t="shared" si="9"/>
        <v>4123</v>
      </c>
      <c r="AF41" s="548">
        <f t="shared" si="9"/>
        <v>3950</v>
      </c>
      <c r="AG41" s="533">
        <f t="shared" si="9"/>
        <v>4449</v>
      </c>
    </row>
    <row r="42" spans="1:34" ht="18" customHeight="1">
      <c r="A42" s="560" t="s">
        <v>1031</v>
      </c>
      <c r="B42" s="549">
        <f>+'49'!B42+'50'!B42+'51'!B42+'52'!B42</f>
        <v>1225</v>
      </c>
      <c r="C42" s="548">
        <f>+'49'!C42+'50'!C42+'51'!C42+'52'!C42</f>
        <v>990</v>
      </c>
      <c r="D42" s="548">
        <f>+'49'!D42+'50'!D42+'51'!D42+'52'!D42</f>
        <v>796</v>
      </c>
      <c r="E42" s="533">
        <f>+'49'!E42+'50'!E42+'51'!E42+'52'!E42</f>
        <v>944</v>
      </c>
      <c r="F42" s="549">
        <f>+'49'!F42+'50'!F42+'51'!F42+'52'!F42</f>
        <v>1274</v>
      </c>
      <c r="G42" s="548">
        <f>+'49'!G42+'50'!G42+'51'!G42+'52'!G42</f>
        <v>1457</v>
      </c>
      <c r="H42" s="548">
        <f>+'49'!H42+'50'!H42+'51'!H42+'52'!H42</f>
        <v>1503</v>
      </c>
      <c r="I42" s="533">
        <f>+'49'!I42+'50'!I42+'51'!I42+'52'!I42</f>
        <v>1565</v>
      </c>
      <c r="J42" s="549">
        <f>+'49'!J42+'50'!J42+'51'!J42+'52'!J42</f>
        <v>0</v>
      </c>
      <c r="K42" s="548">
        <f>+'49'!K42+'50'!K42+'51'!K42+'52'!K42</f>
        <v>0</v>
      </c>
      <c r="L42" s="548">
        <f>+'49'!L42+'50'!L42+'51'!L42+'52'!L42</f>
        <v>0</v>
      </c>
      <c r="M42" s="533">
        <f>+'49'!M42+'50'!M42+'51'!M42+'52'!M42</f>
        <v>0</v>
      </c>
      <c r="N42" s="549">
        <f>+'49'!N42+'50'!N42+'51'!N42+'52'!N42</f>
        <v>0</v>
      </c>
      <c r="O42" s="548">
        <f>+'49'!O42+'50'!O42+'51'!O42+'52'!O42</f>
        <v>0</v>
      </c>
      <c r="P42" s="548">
        <f>+'49'!P42+'50'!P42+'51'!P42+'52'!P42</f>
        <v>0</v>
      </c>
      <c r="Q42" s="548">
        <f>+'49'!Q42+'50'!Q42+'51'!Q42+'52'!Q42</f>
        <v>0</v>
      </c>
      <c r="R42" s="549">
        <f>+'49'!R42+'50'!R42+'51'!R42+'52'!R42</f>
        <v>0</v>
      </c>
      <c r="S42" s="548">
        <f>+'49'!S42+'50'!S42+'51'!S42+'52'!S42</f>
        <v>0</v>
      </c>
      <c r="T42" s="548">
        <f>+'49'!T42+'50'!T42+'51'!T42+'52'!T42</f>
        <v>0</v>
      </c>
      <c r="U42" s="533">
        <f>+'49'!U42+'50'!U42+'51'!U42+'52'!U42</f>
        <v>0</v>
      </c>
      <c r="V42" s="548">
        <f>+'49'!V42+'50'!V42+'51'!V42+'52'!V42</f>
        <v>0</v>
      </c>
      <c r="W42" s="548">
        <f>+'49'!W42+'50'!W42+'51'!W42+'52'!W42</f>
        <v>0</v>
      </c>
      <c r="X42" s="548">
        <f>+'49'!X42+'50'!X42+'51'!X42+'52'!X42</f>
        <v>0</v>
      </c>
      <c r="Y42" s="548">
        <f>+'49'!Y42+'50'!Y42+'51'!Y42+'52'!Y42</f>
        <v>0</v>
      </c>
      <c r="Z42" s="549"/>
      <c r="AA42" s="548"/>
      <c r="AB42" s="548"/>
      <c r="AC42" s="548"/>
      <c r="AD42" s="549">
        <f t="shared" si="9"/>
        <v>2499</v>
      </c>
      <c r="AE42" s="548">
        <f t="shared" si="9"/>
        <v>2447</v>
      </c>
      <c r="AF42" s="548">
        <f t="shared" si="9"/>
        <v>2299</v>
      </c>
      <c r="AG42" s="533">
        <f t="shared" si="9"/>
        <v>2509</v>
      </c>
    </row>
    <row r="43" spans="1:34" ht="18" customHeight="1">
      <c r="A43" s="560" t="s">
        <v>1032</v>
      </c>
      <c r="B43" s="549">
        <f>+'49'!B43+'50'!B43+'51'!B43+'52'!B43</f>
        <v>1998</v>
      </c>
      <c r="C43" s="548">
        <f>+'49'!C43+'50'!C43+'51'!C43+'52'!C43</f>
        <v>2294</v>
      </c>
      <c r="D43" s="548">
        <f>+'49'!D43+'50'!D43+'51'!D43+'52'!D43</f>
        <v>2706</v>
      </c>
      <c r="E43" s="533">
        <f>+'49'!E43+'50'!E43+'51'!E43+'52'!E43</f>
        <v>3227</v>
      </c>
      <c r="F43" s="549">
        <f>+'49'!F43+'50'!F43+'51'!F43+'52'!F43</f>
        <v>0</v>
      </c>
      <c r="G43" s="548">
        <f>+'49'!G43+'50'!G43+'51'!G43+'52'!G43</f>
        <v>0</v>
      </c>
      <c r="H43" s="548">
        <f>+'49'!H43+'50'!H43+'51'!H43+'52'!H43</f>
        <v>0</v>
      </c>
      <c r="I43" s="533">
        <f>+'49'!I43+'50'!I43+'51'!I43+'52'!I43</f>
        <v>0</v>
      </c>
      <c r="J43" s="549">
        <f>+'49'!J43+'50'!J43+'51'!J43+'52'!J43</f>
        <v>0</v>
      </c>
      <c r="K43" s="548">
        <f>+'49'!K43+'50'!K43+'51'!K43+'52'!K43</f>
        <v>0</v>
      </c>
      <c r="L43" s="548">
        <f>+'49'!L43+'50'!L43+'51'!L43+'52'!L43</f>
        <v>0</v>
      </c>
      <c r="M43" s="533">
        <f>+'49'!M43+'50'!M43+'51'!M43+'52'!M43</f>
        <v>0</v>
      </c>
      <c r="N43" s="549">
        <f>+'49'!N43+'50'!N43+'51'!N43+'52'!N43</f>
        <v>0</v>
      </c>
      <c r="O43" s="548">
        <f>+'49'!O43+'50'!O43+'51'!O43+'52'!O43</f>
        <v>0</v>
      </c>
      <c r="P43" s="548">
        <f>+'49'!P43+'50'!P43+'51'!P43+'52'!P43</f>
        <v>0</v>
      </c>
      <c r="Q43" s="548">
        <f>+'49'!Q43+'50'!Q43+'51'!Q43+'52'!Q43</f>
        <v>0</v>
      </c>
      <c r="R43" s="549">
        <f>+'49'!R43+'50'!R43+'51'!R43+'52'!R43</f>
        <v>0</v>
      </c>
      <c r="S43" s="548">
        <f>+'49'!S43+'50'!S43+'51'!S43+'52'!S43</f>
        <v>0</v>
      </c>
      <c r="T43" s="548">
        <f>+'49'!T43+'50'!T43+'51'!T43+'52'!T43</f>
        <v>0</v>
      </c>
      <c r="U43" s="533">
        <f>+'49'!U43+'50'!U43+'51'!U43+'52'!U43</f>
        <v>0</v>
      </c>
      <c r="V43" s="548">
        <f>+'49'!V43+'50'!V43+'51'!V43+'52'!V43</f>
        <v>0</v>
      </c>
      <c r="W43" s="548">
        <f>+'49'!W43+'50'!W43+'51'!W43+'52'!W43</f>
        <v>0</v>
      </c>
      <c r="X43" s="548">
        <f>+'49'!X43+'50'!X43+'51'!X43+'52'!X43</f>
        <v>0</v>
      </c>
      <c r="Y43" s="548">
        <f>+'49'!Y43+'50'!Y43+'51'!Y43+'52'!Y43</f>
        <v>0</v>
      </c>
      <c r="Z43" s="549"/>
      <c r="AA43" s="548"/>
      <c r="AB43" s="548"/>
      <c r="AC43" s="548"/>
      <c r="AD43" s="549">
        <f t="shared" si="9"/>
        <v>1998</v>
      </c>
      <c r="AE43" s="548">
        <f t="shared" si="9"/>
        <v>2294</v>
      </c>
      <c r="AF43" s="548">
        <f t="shared" si="9"/>
        <v>2706</v>
      </c>
      <c r="AG43" s="533">
        <f t="shared" si="9"/>
        <v>3227</v>
      </c>
    </row>
    <row r="44" spans="1:34" ht="18" customHeight="1">
      <c r="A44" s="380" t="s">
        <v>1033</v>
      </c>
      <c r="B44" s="549">
        <f>+'49'!B44+'50'!B44+'51'!B44+'52'!B44</f>
        <v>12312</v>
      </c>
      <c r="C44" s="548">
        <f>+'49'!C44+'50'!C44+'51'!C44+'52'!C44</f>
        <v>14555</v>
      </c>
      <c r="D44" s="548">
        <f>+'49'!D44+'50'!D44+'51'!D44+'52'!D44</f>
        <v>13084</v>
      </c>
      <c r="E44" s="533">
        <f>+'49'!E44+'50'!E44+'51'!E44+'52'!E44</f>
        <v>13890</v>
      </c>
      <c r="F44" s="549">
        <f>+'49'!F44+'50'!F44+'51'!F44+'52'!F44</f>
        <v>15606</v>
      </c>
      <c r="G44" s="548">
        <f>+'49'!G44+'50'!G44+'51'!G44+'52'!G44</f>
        <v>13017</v>
      </c>
      <c r="H44" s="548">
        <f>+'49'!H44+'50'!H44+'51'!H44+'52'!H44</f>
        <v>12848</v>
      </c>
      <c r="I44" s="533">
        <f>+'49'!I44+'50'!I44+'51'!I44+'52'!I44</f>
        <v>12256</v>
      </c>
      <c r="J44" s="549">
        <f>+'49'!J44+'50'!J44+'51'!J44+'52'!J44</f>
        <v>0</v>
      </c>
      <c r="K44" s="548">
        <f>+'49'!K44+'50'!K44+'51'!K44+'52'!K44</f>
        <v>0</v>
      </c>
      <c r="L44" s="548">
        <f>+'49'!L44+'50'!L44+'51'!L44+'52'!L44</f>
        <v>0</v>
      </c>
      <c r="M44" s="533">
        <f>+'49'!M44+'50'!M44+'51'!M44+'52'!M44</f>
        <v>0</v>
      </c>
      <c r="N44" s="549">
        <f>+'49'!N44+'50'!N44+'51'!N44+'52'!N44</f>
        <v>0</v>
      </c>
      <c r="O44" s="548">
        <f>+'49'!O44+'50'!O44+'51'!O44+'52'!O44</f>
        <v>0</v>
      </c>
      <c r="P44" s="548">
        <f>+'49'!P44+'50'!P44+'51'!P44+'52'!P44</f>
        <v>0</v>
      </c>
      <c r="Q44" s="548">
        <f>+'49'!Q44+'50'!Q44+'51'!Q44+'52'!Q44</f>
        <v>0</v>
      </c>
      <c r="R44" s="549">
        <f>+'49'!R44+'50'!R44+'51'!R44+'52'!R44</f>
        <v>0</v>
      </c>
      <c r="S44" s="548">
        <f>+'49'!S44+'50'!S44+'51'!S44+'52'!S44</f>
        <v>0</v>
      </c>
      <c r="T44" s="548">
        <f>+'49'!T44+'50'!T44+'51'!T44+'52'!T44</f>
        <v>0</v>
      </c>
      <c r="U44" s="533">
        <f>+'49'!U44+'50'!U44+'51'!U44+'52'!U44</f>
        <v>0</v>
      </c>
      <c r="V44" s="548">
        <f>+'49'!V44+'50'!V44+'51'!V44+'52'!V44</f>
        <v>0</v>
      </c>
      <c r="W44" s="548">
        <f>+'49'!W44+'50'!W44+'51'!W44+'52'!W44</f>
        <v>0</v>
      </c>
      <c r="X44" s="548">
        <f>+'49'!X44+'50'!X44+'51'!X44+'52'!X44</f>
        <v>0</v>
      </c>
      <c r="Y44" s="548">
        <f>+'49'!Y44+'50'!Y44+'51'!Y44+'52'!Y44</f>
        <v>0</v>
      </c>
      <c r="Z44" s="549"/>
      <c r="AA44" s="548"/>
      <c r="AB44" s="548"/>
      <c r="AC44" s="548"/>
      <c r="AD44" s="549">
        <f t="shared" si="9"/>
        <v>27918</v>
      </c>
      <c r="AE44" s="548">
        <f t="shared" si="9"/>
        <v>27572</v>
      </c>
      <c r="AF44" s="548">
        <f t="shared" si="9"/>
        <v>25932</v>
      </c>
      <c r="AG44" s="533">
        <f t="shared" si="9"/>
        <v>26146</v>
      </c>
    </row>
    <row r="45" spans="1:34" ht="18" customHeight="1">
      <c r="A45" s="380" t="s">
        <v>1034</v>
      </c>
      <c r="B45" s="549">
        <f>+'49'!B45+'50'!B45+'51'!B45+'52'!B45</f>
        <v>2595</v>
      </c>
      <c r="C45" s="548">
        <f>+'49'!C45+'50'!C45+'51'!C45+'52'!C45</f>
        <v>1118</v>
      </c>
      <c r="D45" s="548">
        <f>+'49'!D45+'50'!D45+'51'!D45+'52'!D45</f>
        <v>56</v>
      </c>
      <c r="E45" s="533">
        <f>+'49'!E45+'50'!E45+'51'!E45+'52'!E45</f>
        <v>1468</v>
      </c>
      <c r="F45" s="549">
        <f>+'49'!F45+'50'!F45+'51'!F45+'52'!F45</f>
        <v>0</v>
      </c>
      <c r="G45" s="548">
        <f>+'49'!G45+'50'!G45+'51'!G45+'52'!G45</f>
        <v>0</v>
      </c>
      <c r="H45" s="548">
        <f>+'49'!H45+'50'!H45+'51'!H45+'52'!H45</f>
        <v>0</v>
      </c>
      <c r="I45" s="533">
        <f>+'49'!I45+'50'!I45+'51'!I45+'52'!I45</f>
        <v>0</v>
      </c>
      <c r="J45" s="549">
        <f>+'49'!J45+'50'!J45+'51'!J45+'52'!J45</f>
        <v>0</v>
      </c>
      <c r="K45" s="548">
        <f>+'49'!K45+'50'!K45+'51'!K45+'52'!K45</f>
        <v>0</v>
      </c>
      <c r="L45" s="548">
        <f>+'49'!L45+'50'!L45+'51'!L45+'52'!L45</f>
        <v>0</v>
      </c>
      <c r="M45" s="533">
        <f>+'49'!M45+'50'!M45+'51'!M45+'52'!M45</f>
        <v>0</v>
      </c>
      <c r="N45" s="549">
        <f>+'49'!N45+'50'!N45+'51'!N45+'52'!N45</f>
        <v>0</v>
      </c>
      <c r="O45" s="548">
        <f>+'49'!O45+'50'!O45+'51'!O45+'52'!O45</f>
        <v>0</v>
      </c>
      <c r="P45" s="548">
        <f>+'49'!P45+'50'!P45+'51'!P45+'52'!P45</f>
        <v>0</v>
      </c>
      <c r="Q45" s="548">
        <f>+'49'!Q45+'50'!Q45+'51'!Q45+'52'!Q45</f>
        <v>0</v>
      </c>
      <c r="R45" s="369">
        <f>+'49'!R45+'50'!R45+'51'!R45+'52'!R45</f>
        <v>0</v>
      </c>
      <c r="S45" s="370">
        <f>+'49'!S45+'50'!S45+'51'!S45+'52'!S45</f>
        <v>0</v>
      </c>
      <c r="T45" s="370">
        <f>+'49'!T45+'50'!T45+'51'!T45+'52'!T45</f>
        <v>0</v>
      </c>
      <c r="U45" s="492">
        <f>+'49'!U45+'50'!U45+'51'!U45+'52'!U45</f>
        <v>0</v>
      </c>
      <c r="V45" s="548">
        <f>+'49'!V45+'50'!V45+'51'!V45+'52'!V45</f>
        <v>0</v>
      </c>
      <c r="W45" s="548">
        <f>+'49'!W45+'50'!W45+'51'!W45+'52'!W45</f>
        <v>0</v>
      </c>
      <c r="X45" s="548">
        <f>+'49'!X45+'50'!X45+'51'!X45+'52'!X45</f>
        <v>0</v>
      </c>
      <c r="Y45" s="548">
        <f>+'49'!Y45+'50'!Y45+'51'!Y45+'52'!Y45</f>
        <v>0</v>
      </c>
      <c r="Z45" s="549"/>
      <c r="AA45" s="548"/>
      <c r="AB45" s="548"/>
      <c r="AC45" s="548"/>
      <c r="AD45" s="549">
        <f t="shared" si="9"/>
        <v>2595</v>
      </c>
      <c r="AE45" s="548">
        <f t="shared" si="9"/>
        <v>1118</v>
      </c>
      <c r="AF45" s="548">
        <f t="shared" si="9"/>
        <v>56</v>
      </c>
      <c r="AG45" s="533">
        <f t="shared" si="9"/>
        <v>1468</v>
      </c>
    </row>
    <row r="46" spans="1:34" ht="18" customHeight="1">
      <c r="A46" s="560" t="str">
        <f>+'51'!A46</f>
        <v xml:space="preserve"> TECNOLOGO  MEDICO</v>
      </c>
      <c r="B46" s="549">
        <f>+'49'!B46+'50'!B46+'51'!B46+'52'!B46</f>
        <v>8200</v>
      </c>
      <c r="C46" s="548">
        <f>+'49'!C46+'50'!C46+'51'!C46+'52'!C46</f>
        <v>10122</v>
      </c>
      <c r="D46" s="548">
        <f>+'49'!D46+'50'!D46+'51'!D46+'52'!D46</f>
        <v>6104</v>
      </c>
      <c r="E46" s="533">
        <f>+'49'!E46+'50'!E46+'51'!E46+'52'!E46</f>
        <v>5404</v>
      </c>
      <c r="F46" s="549">
        <f>+'49'!F46+'50'!F46+'51'!F46+'52'!F46</f>
        <v>0</v>
      </c>
      <c r="G46" s="548">
        <f>+'49'!G46+'50'!G46+'51'!G46+'52'!G46</f>
        <v>0</v>
      </c>
      <c r="H46" s="548">
        <f>+'49'!H46+'50'!H46+'51'!H46+'52'!H46</f>
        <v>0</v>
      </c>
      <c r="I46" s="533">
        <f>+'49'!I46+'50'!I46+'51'!I46+'52'!I46</f>
        <v>0</v>
      </c>
      <c r="J46" s="549">
        <f>+'49'!J46+'50'!J46+'51'!J46+'52'!J46</f>
        <v>0</v>
      </c>
      <c r="K46" s="548">
        <f>+'49'!K46+'50'!K46+'51'!K46+'52'!K46</f>
        <v>0</v>
      </c>
      <c r="L46" s="548">
        <f>+'49'!L46+'50'!L46+'51'!L46+'52'!L46</f>
        <v>0</v>
      </c>
      <c r="M46" s="533">
        <f>+'49'!M46+'50'!M46+'51'!M46+'52'!M46</f>
        <v>0</v>
      </c>
      <c r="N46" s="549">
        <f>+'49'!N46+'50'!N46+'51'!N46+'52'!N46</f>
        <v>0</v>
      </c>
      <c r="O46" s="548">
        <f>+'49'!O46+'50'!O46+'51'!O46+'52'!O46</f>
        <v>0</v>
      </c>
      <c r="P46" s="548">
        <f>+'49'!P46+'50'!P46+'51'!P46+'52'!P46</f>
        <v>0</v>
      </c>
      <c r="Q46" s="548">
        <f>+'49'!Q46+'50'!Q46+'51'!Q46+'52'!Q46</f>
        <v>0</v>
      </c>
      <c r="R46" s="549">
        <f>+'49'!R46+'50'!R46+'51'!R46+'52'!R46</f>
        <v>0</v>
      </c>
      <c r="S46" s="548">
        <f>+'49'!S46+'50'!S46+'51'!S46+'52'!S46</f>
        <v>0</v>
      </c>
      <c r="T46" s="548">
        <f>+'49'!T46+'50'!T46+'51'!T46+'52'!T46</f>
        <v>0</v>
      </c>
      <c r="U46" s="533">
        <f>+'49'!U46+'50'!U46+'51'!U46+'52'!U46</f>
        <v>0</v>
      </c>
      <c r="V46" s="548">
        <f>+'49'!V46+'50'!V46+'51'!V46+'52'!V46</f>
        <v>0</v>
      </c>
      <c r="W46" s="548">
        <f>+'49'!W46+'50'!W46+'51'!W46+'52'!W46</f>
        <v>0</v>
      </c>
      <c r="X46" s="548">
        <f>+'49'!X46+'50'!X46+'51'!X46+'52'!X46</f>
        <v>0</v>
      </c>
      <c r="Y46" s="548">
        <f>+'49'!Y46+'50'!Y46+'51'!Y46+'52'!Y46</f>
        <v>0</v>
      </c>
      <c r="Z46" s="549"/>
      <c r="AA46" s="548"/>
      <c r="AB46" s="548"/>
      <c r="AC46" s="548"/>
      <c r="AD46" s="549">
        <f t="shared" si="9"/>
        <v>8200</v>
      </c>
      <c r="AE46" s="548">
        <f t="shared" si="9"/>
        <v>10122</v>
      </c>
      <c r="AF46" s="548">
        <f t="shared" si="9"/>
        <v>6104</v>
      </c>
      <c r="AG46" s="533">
        <f t="shared" si="9"/>
        <v>5404</v>
      </c>
    </row>
    <row r="47" spans="1:34" ht="18" customHeight="1">
      <c r="A47" s="565" t="s">
        <v>1036</v>
      </c>
      <c r="B47" s="553">
        <f>+'49'!B47+'50'!B47+'51'!B47+'52'!B47</f>
        <v>6648</v>
      </c>
      <c r="C47" s="551">
        <f>+'49'!C47+'50'!C47+'51'!C47+'52'!C47</f>
        <v>7128</v>
      </c>
      <c r="D47" s="551">
        <f>+'49'!D47+'50'!D47+'51'!D47+'52'!D47</f>
        <v>7417</v>
      </c>
      <c r="E47" s="552">
        <f>+'49'!E47+'50'!E47+'51'!E47+'52'!E47</f>
        <v>6975</v>
      </c>
      <c r="F47" s="553">
        <f>+'49'!F47+'50'!F47+'51'!F47+'52'!F47</f>
        <v>1811</v>
      </c>
      <c r="G47" s="551">
        <f>+'49'!G47+'50'!G47+'51'!G47+'52'!G47</f>
        <v>2263</v>
      </c>
      <c r="H47" s="551">
        <f>+'49'!H47+'50'!H47+'51'!H47+'52'!H47</f>
        <v>2159</v>
      </c>
      <c r="I47" s="552">
        <f>+'49'!I47+'50'!I47+'51'!I47+'52'!I47</f>
        <v>1997</v>
      </c>
      <c r="J47" s="553">
        <f>+'49'!J47+'50'!J47+'51'!J47+'52'!J47</f>
        <v>0</v>
      </c>
      <c r="K47" s="551">
        <f>+'49'!K47+'50'!K47+'51'!K47+'52'!K47</f>
        <v>0</v>
      </c>
      <c r="L47" s="551">
        <f>+'49'!L47+'50'!L47+'51'!L47+'52'!L47</f>
        <v>0</v>
      </c>
      <c r="M47" s="552">
        <f>+'49'!M47+'50'!M47+'51'!M47+'52'!M47</f>
        <v>0</v>
      </c>
      <c r="N47" s="553">
        <f>+'49'!N47+'50'!N47+'51'!N47+'52'!N47</f>
        <v>97</v>
      </c>
      <c r="O47" s="551">
        <f>+'49'!O47+'50'!O47+'51'!O47+'52'!O47</f>
        <v>61</v>
      </c>
      <c r="P47" s="551">
        <f>+'49'!P47+'50'!P47+'51'!P47+'52'!P47</f>
        <v>26</v>
      </c>
      <c r="Q47" s="551">
        <f>+'49'!Q47+'50'!Q47+'51'!Q47+'52'!Q47</f>
        <v>3</v>
      </c>
      <c r="R47" s="553">
        <f>+'49'!R47+'50'!R47+'51'!R47+'52'!R47</f>
        <v>354</v>
      </c>
      <c r="S47" s="551">
        <f>+'49'!S47+'50'!S47+'51'!S47+'52'!S47</f>
        <v>253</v>
      </c>
      <c r="T47" s="551">
        <f>+'49'!T47+'50'!T47+'51'!T47+'52'!T47</f>
        <v>4</v>
      </c>
      <c r="U47" s="552">
        <f>+'49'!U47+'50'!U47+'51'!U47+'52'!U47</f>
        <v>336</v>
      </c>
      <c r="V47" s="551">
        <f>+'49'!V47+'50'!V47+'51'!V47+'52'!V47</f>
        <v>0</v>
      </c>
      <c r="W47" s="551">
        <f>+'49'!W47+'50'!W47+'51'!W47+'52'!W47</f>
        <v>0</v>
      </c>
      <c r="X47" s="551">
        <f>+'49'!X47+'50'!X47+'51'!X47+'52'!X47</f>
        <v>0</v>
      </c>
      <c r="Y47" s="551">
        <f>+'49'!Y47+'50'!Y47+'51'!Y47+'52'!Y47</f>
        <v>0</v>
      </c>
      <c r="Z47" s="553"/>
      <c r="AA47" s="551"/>
      <c r="AB47" s="551"/>
      <c r="AC47" s="551"/>
      <c r="AD47" s="553">
        <f t="shared" si="9"/>
        <v>8556</v>
      </c>
      <c r="AE47" s="551">
        <f>+O47+K47+G47+C47+S47</f>
        <v>9705</v>
      </c>
      <c r="AF47" s="551">
        <f>+P47+L47+H47+D47+T47</f>
        <v>9606</v>
      </c>
      <c r="AG47" s="552">
        <f>+Q47+M47+I47+E47+U47</f>
        <v>9311</v>
      </c>
    </row>
    <row r="48" spans="1:34">
      <c r="A48" s="8"/>
      <c r="B48" s="554"/>
      <c r="C48" s="554"/>
      <c r="D48" s="554"/>
      <c r="E48" s="554"/>
      <c r="F48" s="554"/>
      <c r="G48" s="554"/>
      <c r="H48" s="554"/>
      <c r="I48" s="554"/>
      <c r="J48" s="554"/>
      <c r="K48" s="554"/>
      <c r="L48" s="554"/>
      <c r="M48" s="554"/>
      <c r="N48" s="554"/>
      <c r="O48" s="554"/>
      <c r="P48" s="554"/>
      <c r="Q48" s="554"/>
      <c r="R48" s="554"/>
      <c r="S48" s="554"/>
      <c r="T48" s="554"/>
      <c r="U48" s="554"/>
      <c r="V48" s="554"/>
      <c r="W48" s="554"/>
      <c r="X48" s="554"/>
      <c r="Y48" s="554"/>
      <c r="Z48" s="554"/>
      <c r="AA48" s="554"/>
      <c r="AB48" s="554"/>
      <c r="AC48" s="554"/>
      <c r="AD48" s="554"/>
      <c r="AE48" s="1214"/>
      <c r="AF48" s="554"/>
      <c r="AG48" s="554"/>
    </row>
    <row r="49" spans="1:33">
      <c r="A49" s="8"/>
      <c r="B49" s="554"/>
      <c r="C49" s="554"/>
      <c r="D49" s="554"/>
      <c r="E49" s="554"/>
      <c r="F49" s="554"/>
      <c r="G49" s="554"/>
      <c r="H49" s="554"/>
      <c r="I49" s="554"/>
      <c r="J49" s="554"/>
      <c r="K49" s="554"/>
      <c r="L49" s="554"/>
      <c r="M49" s="554"/>
      <c r="N49" s="554"/>
      <c r="O49" s="554"/>
      <c r="P49" s="554"/>
      <c r="Q49" s="554"/>
      <c r="R49" s="554"/>
      <c r="S49" s="554"/>
      <c r="T49" s="554"/>
      <c r="U49" s="554"/>
      <c r="V49" s="554"/>
      <c r="W49" s="554"/>
      <c r="X49" s="554"/>
      <c r="Y49" s="554"/>
      <c r="Z49" s="554"/>
      <c r="AA49" s="554"/>
      <c r="AB49" s="554"/>
      <c r="AC49" s="554"/>
      <c r="AD49" s="554"/>
      <c r="AE49" s="554"/>
      <c r="AF49" s="554"/>
      <c r="AG49" s="554"/>
    </row>
    <row r="50" spans="1:33">
      <c r="A50" s="8"/>
      <c r="B50" s="554"/>
      <c r="C50" s="554"/>
      <c r="D50" s="554"/>
      <c r="E50" s="554"/>
      <c r="F50" s="554"/>
      <c r="G50" s="554"/>
      <c r="H50" s="554"/>
      <c r="I50" s="554"/>
      <c r="J50" s="554"/>
      <c r="K50" s="554"/>
      <c r="L50" s="554"/>
      <c r="M50" s="554"/>
      <c r="N50" s="554"/>
      <c r="O50" s="554"/>
      <c r="P50" s="554"/>
      <c r="Q50" s="554"/>
      <c r="R50" s="554"/>
      <c r="S50" s="554"/>
      <c r="T50" s="554"/>
      <c r="U50" s="554"/>
      <c r="V50" s="554"/>
      <c r="W50" s="554"/>
      <c r="X50" s="554"/>
      <c r="Y50" s="554"/>
      <c r="Z50" s="554"/>
      <c r="AA50" s="554"/>
      <c r="AB50" s="554"/>
      <c r="AC50" s="554"/>
      <c r="AD50" s="554"/>
      <c r="AE50" s="554"/>
      <c r="AF50" s="554"/>
      <c r="AG50" s="554"/>
    </row>
    <row r="51" spans="1:33">
      <c r="A51" s="8"/>
      <c r="B51" s="554"/>
      <c r="C51" s="554"/>
      <c r="D51" s="554"/>
      <c r="E51" s="554"/>
      <c r="F51" s="554"/>
      <c r="G51" s="554"/>
      <c r="H51" s="554"/>
      <c r="I51" s="554"/>
      <c r="J51" s="554"/>
      <c r="K51" s="554"/>
      <c r="L51" s="554"/>
      <c r="M51" s="554"/>
      <c r="N51" s="554"/>
      <c r="O51" s="554"/>
      <c r="P51" s="554"/>
      <c r="Q51" s="554"/>
      <c r="R51" s="554"/>
      <c r="S51" s="554"/>
      <c r="T51" s="554"/>
      <c r="U51" s="554"/>
      <c r="V51" s="554"/>
      <c r="W51" s="554"/>
      <c r="X51" s="554"/>
      <c r="Y51" s="554"/>
      <c r="Z51" s="554"/>
      <c r="AA51" s="554"/>
      <c r="AB51" s="554"/>
      <c r="AC51" s="554"/>
      <c r="AD51" s="554"/>
      <c r="AE51" s="554"/>
      <c r="AF51" s="554"/>
      <c r="AG51" s="554"/>
    </row>
    <row r="52" spans="1:33">
      <c r="A52" s="8"/>
      <c r="B52" s="554"/>
      <c r="C52" s="554"/>
      <c r="D52" s="554"/>
      <c r="E52" s="554"/>
      <c r="F52" s="554"/>
      <c r="G52" s="554"/>
      <c r="H52" s="554"/>
      <c r="I52" s="554"/>
      <c r="J52" s="554"/>
      <c r="K52" s="554"/>
      <c r="L52" s="554"/>
      <c r="M52" s="554"/>
      <c r="N52" s="554"/>
      <c r="O52" s="554"/>
      <c r="P52" s="554"/>
      <c r="Q52" s="554"/>
      <c r="R52" s="554"/>
      <c r="S52" s="554"/>
      <c r="T52" s="554"/>
      <c r="U52" s="554"/>
      <c r="V52" s="554"/>
      <c r="W52" s="554"/>
      <c r="X52" s="554"/>
      <c r="Y52" s="554"/>
      <c r="Z52" s="554"/>
      <c r="AA52" s="554"/>
      <c r="AB52" s="554"/>
      <c r="AC52" s="554"/>
      <c r="AD52" s="554"/>
      <c r="AE52" s="554"/>
      <c r="AF52" s="554"/>
      <c r="AG52" s="554"/>
    </row>
    <row r="53" spans="1:33">
      <c r="A53" s="8"/>
      <c r="B53" s="554"/>
      <c r="C53" s="554"/>
      <c r="D53" s="554"/>
      <c r="E53" s="554"/>
      <c r="F53" s="554"/>
      <c r="G53" s="554"/>
      <c r="H53" s="554"/>
      <c r="I53" s="554"/>
      <c r="J53" s="554"/>
      <c r="K53" s="554"/>
      <c r="L53" s="554"/>
      <c r="M53" s="554"/>
      <c r="N53" s="554"/>
      <c r="O53" s="554"/>
      <c r="P53" s="554"/>
      <c r="Q53" s="554"/>
      <c r="R53" s="554"/>
      <c r="S53" s="554"/>
      <c r="T53" s="554"/>
      <c r="U53" s="554"/>
      <c r="V53" s="554"/>
      <c r="W53" s="554"/>
      <c r="X53" s="554"/>
      <c r="Y53" s="554"/>
      <c r="Z53" s="554"/>
      <c r="AA53" s="554"/>
      <c r="AB53" s="554"/>
      <c r="AC53" s="554"/>
      <c r="AD53" s="554"/>
      <c r="AE53" s="554"/>
      <c r="AF53" s="554"/>
      <c r="AG53" s="554"/>
    </row>
    <row r="54" spans="1:33">
      <c r="A54" s="8"/>
      <c r="B54" s="554"/>
      <c r="C54" s="554"/>
      <c r="D54" s="554"/>
      <c r="E54" s="554"/>
      <c r="F54" s="554"/>
      <c r="G54" s="554"/>
      <c r="H54" s="554"/>
      <c r="I54" s="554"/>
      <c r="J54" s="554"/>
      <c r="K54" s="554"/>
      <c r="L54" s="554"/>
      <c r="M54" s="554"/>
      <c r="N54" s="554"/>
      <c r="O54" s="554"/>
      <c r="P54" s="554"/>
      <c r="Q54" s="554"/>
      <c r="R54" s="554"/>
      <c r="S54" s="554"/>
      <c r="T54" s="554"/>
      <c r="U54" s="554"/>
      <c r="V54" s="554"/>
      <c r="W54" s="554"/>
      <c r="X54" s="554"/>
      <c r="Y54" s="554"/>
      <c r="Z54" s="554"/>
      <c r="AA54" s="554"/>
      <c r="AB54" s="554"/>
      <c r="AC54" s="554"/>
      <c r="AD54" s="554"/>
      <c r="AE54" s="554"/>
      <c r="AF54" s="554"/>
      <c r="AG54" s="554"/>
    </row>
    <row r="55" spans="1:33">
      <c r="A55" s="8"/>
    </row>
    <row r="56" spans="1:33">
      <c r="A56" s="8"/>
    </row>
    <row r="57" spans="1:33">
      <c r="A57" s="8"/>
    </row>
    <row r="58" spans="1:33">
      <c r="A58" s="8"/>
    </row>
    <row r="59" spans="1:33">
      <c r="A59" s="8"/>
    </row>
  </sheetData>
  <mergeCells count="11">
    <mergeCell ref="A1:AG1"/>
    <mergeCell ref="A2:AG2"/>
    <mergeCell ref="A3:AG3"/>
    <mergeCell ref="B7:E7"/>
    <mergeCell ref="F7:I7"/>
    <mergeCell ref="J7:M7"/>
    <mergeCell ref="N7:Q7"/>
    <mergeCell ref="AD7:AG7"/>
    <mergeCell ref="V7:Y7"/>
    <mergeCell ref="Z7:AC7"/>
    <mergeCell ref="R7:U7"/>
  </mergeCells>
  <phoneticPr fontId="19" type="noConversion"/>
  <pageMargins left="0.39370078740157483" right="0.59055118110236227" top="0.39370078740157483" bottom="0.39370078740157483" header="0" footer="0"/>
  <pageSetup paperSize="5" scale="73" orientation="landscape" horizontalDpi="300"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7"/>
  <sheetViews>
    <sheetView topLeftCell="A31" workbookViewId="0">
      <selection activeCell="A2" sqref="A2:Q2"/>
    </sheetView>
  </sheetViews>
  <sheetFormatPr baseColWidth="10" defaultRowHeight="12.75"/>
  <cols>
    <col min="1" max="1" width="27.5703125" customWidth="1"/>
    <col min="2" max="17" width="10.28515625" customWidth="1"/>
  </cols>
  <sheetData>
    <row r="1" spans="1:17">
      <c r="A1" s="1422" t="s">
        <v>1540</v>
      </c>
      <c r="B1" s="1422"/>
      <c r="C1" s="1422"/>
      <c r="D1" s="1422"/>
      <c r="E1" s="1422"/>
      <c r="F1" s="1422"/>
      <c r="G1" s="1422"/>
      <c r="H1" s="1422"/>
      <c r="I1" s="1422"/>
      <c r="J1" s="1422"/>
      <c r="K1" s="1422"/>
      <c r="L1" s="1422"/>
      <c r="M1" s="1422"/>
      <c r="N1" s="1422"/>
      <c r="O1" s="1422"/>
      <c r="P1" s="1422"/>
      <c r="Q1" s="1422"/>
    </row>
    <row r="2" spans="1:17">
      <c r="A2" s="1393" t="s">
        <v>910</v>
      </c>
      <c r="B2" s="1393"/>
      <c r="C2" s="1393"/>
      <c r="D2" s="1393"/>
      <c r="E2" s="1393"/>
      <c r="F2" s="1393"/>
      <c r="G2" s="1393"/>
      <c r="H2" s="1393"/>
      <c r="I2" s="1393"/>
      <c r="J2" s="1393"/>
      <c r="K2" s="1393"/>
      <c r="L2" s="1393"/>
      <c r="M2" s="1393"/>
      <c r="N2" s="1393"/>
      <c r="O2" s="1393"/>
      <c r="P2" s="1393"/>
      <c r="Q2" s="1393"/>
    </row>
    <row r="6" spans="1:17">
      <c r="A6" s="31" t="s">
        <v>998</v>
      </c>
    </row>
    <row r="7" spans="1:17">
      <c r="A7" s="674" t="s">
        <v>999</v>
      </c>
      <c r="B7" s="1420" t="s">
        <v>1000</v>
      </c>
      <c r="C7" s="1420"/>
      <c r="D7" s="1420"/>
      <c r="E7" s="1420"/>
      <c r="F7" s="1419" t="s">
        <v>916</v>
      </c>
      <c r="G7" s="1420"/>
      <c r="H7" s="1420"/>
      <c r="I7" s="1421"/>
      <c r="J7" s="1420" t="s">
        <v>1479</v>
      </c>
      <c r="K7" s="1420"/>
      <c r="L7" s="1420"/>
      <c r="M7" s="1420"/>
      <c r="N7" s="1419" t="s">
        <v>535</v>
      </c>
      <c r="O7" s="1420"/>
      <c r="P7" s="1420"/>
      <c r="Q7" s="1421"/>
    </row>
    <row r="8" spans="1:17">
      <c r="A8" s="302"/>
      <c r="B8" s="541">
        <v>2012</v>
      </c>
      <c r="C8" s="541">
        <v>2013</v>
      </c>
      <c r="D8" s="541">
        <v>2014</v>
      </c>
      <c r="E8" s="541">
        <v>2015</v>
      </c>
      <c r="F8" s="1269">
        <v>2012</v>
      </c>
      <c r="G8" s="1270">
        <v>2013</v>
      </c>
      <c r="H8" s="1270">
        <v>2014</v>
      </c>
      <c r="I8" s="1271">
        <v>2015</v>
      </c>
      <c r="J8" s="541">
        <v>2012</v>
      </c>
      <c r="K8" s="541">
        <v>2013</v>
      </c>
      <c r="L8" s="541">
        <v>2014</v>
      </c>
      <c r="M8" s="1276">
        <v>2015</v>
      </c>
      <c r="N8" s="1274">
        <v>2012</v>
      </c>
      <c r="O8" s="1275">
        <v>2013</v>
      </c>
      <c r="P8" s="1275">
        <v>2014</v>
      </c>
      <c r="Q8" s="1276">
        <v>2015</v>
      </c>
    </row>
    <row r="9" spans="1:17">
      <c r="A9" s="674" t="s">
        <v>1002</v>
      </c>
      <c r="B9" s="1289"/>
      <c r="C9" s="1289"/>
      <c r="D9" s="1289"/>
      <c r="E9" s="1290"/>
      <c r="F9" s="1289"/>
      <c r="G9" s="1289"/>
      <c r="H9" s="1289"/>
      <c r="I9" s="1290">
        <v>62</v>
      </c>
      <c r="J9" s="1289"/>
      <c r="K9" s="1289"/>
      <c r="L9" s="1289"/>
      <c r="M9" s="1288"/>
      <c r="N9" s="1291">
        <f t="shared" ref="N9:Q10" si="0">+B9+F9+J9</f>
        <v>0</v>
      </c>
      <c r="O9" s="1291">
        <f t="shared" si="0"/>
        <v>0</v>
      </c>
      <c r="P9" s="1291">
        <f t="shared" si="0"/>
        <v>0</v>
      </c>
      <c r="Q9" s="679">
        <f t="shared" si="0"/>
        <v>62</v>
      </c>
    </row>
    <row r="10" spans="1:17">
      <c r="A10" s="299" t="s">
        <v>1003</v>
      </c>
      <c r="B10" s="1289">
        <v>807</v>
      </c>
      <c r="C10" s="1289">
        <v>407</v>
      </c>
      <c r="D10" s="1289">
        <v>684</v>
      </c>
      <c r="E10" s="1288"/>
      <c r="F10" s="1289">
        <v>434</v>
      </c>
      <c r="G10" s="1289">
        <v>470</v>
      </c>
      <c r="H10" s="1289">
        <v>375</v>
      </c>
      <c r="I10" s="1288">
        <v>112</v>
      </c>
      <c r="J10" s="1289"/>
      <c r="K10" s="1289"/>
      <c r="L10" s="1289"/>
      <c r="M10" s="1288"/>
      <c r="N10" s="1291">
        <f t="shared" si="0"/>
        <v>1241</v>
      </c>
      <c r="O10" s="1291">
        <f t="shared" si="0"/>
        <v>877</v>
      </c>
      <c r="P10" s="1291">
        <f t="shared" si="0"/>
        <v>1059</v>
      </c>
      <c r="Q10" s="1288">
        <f t="shared" si="0"/>
        <v>112</v>
      </c>
    </row>
    <row r="11" spans="1:17">
      <c r="A11" s="299" t="s">
        <v>1004</v>
      </c>
      <c r="B11" s="1289"/>
      <c r="C11" s="1289"/>
      <c r="D11" s="1289"/>
      <c r="E11" s="1288"/>
      <c r="F11" s="1289"/>
      <c r="G11" s="1289"/>
      <c r="H11" s="1289"/>
      <c r="I11" s="1288"/>
      <c r="J11" s="1289"/>
      <c r="K11" s="1289"/>
      <c r="L11" s="1289"/>
      <c r="M11" s="1288"/>
      <c r="N11" s="1291">
        <f t="shared" ref="N11:Q36" si="1">+B11+F11+J11</f>
        <v>0</v>
      </c>
      <c r="O11" s="1291">
        <f t="shared" si="1"/>
        <v>0</v>
      </c>
      <c r="P11" s="1291">
        <f t="shared" si="1"/>
        <v>0</v>
      </c>
      <c r="Q11" s="1288">
        <f t="shared" si="1"/>
        <v>0</v>
      </c>
    </row>
    <row r="12" spans="1:17">
      <c r="A12" s="299" t="s">
        <v>1005</v>
      </c>
      <c r="B12" s="1289"/>
      <c r="C12" s="1289"/>
      <c r="D12" s="1289"/>
      <c r="E12" s="1288"/>
      <c r="F12" s="1289"/>
      <c r="G12" s="1289"/>
      <c r="H12" s="1289"/>
      <c r="I12" s="1288"/>
      <c r="J12" s="1289"/>
      <c r="K12" s="1289"/>
      <c r="L12" s="1289"/>
      <c r="M12" s="1288"/>
      <c r="N12" s="1291">
        <f t="shared" si="1"/>
        <v>0</v>
      </c>
      <c r="O12" s="1291">
        <f t="shared" si="1"/>
        <v>0</v>
      </c>
      <c r="P12" s="1291">
        <f t="shared" si="1"/>
        <v>0</v>
      </c>
      <c r="Q12" s="1288">
        <f t="shared" si="1"/>
        <v>0</v>
      </c>
    </row>
    <row r="13" spans="1:17">
      <c r="A13" s="299" t="s">
        <v>1038</v>
      </c>
      <c r="B13" s="1289">
        <v>288</v>
      </c>
      <c r="C13" s="1289"/>
      <c r="D13" s="1289">
        <v>295</v>
      </c>
      <c r="E13" s="1288"/>
      <c r="F13" s="1289">
        <v>117</v>
      </c>
      <c r="G13" s="1289"/>
      <c r="H13" s="1289">
        <v>95</v>
      </c>
      <c r="I13" s="1288"/>
      <c r="J13" s="1289"/>
      <c r="K13" s="1289"/>
      <c r="L13" s="1289"/>
      <c r="M13" s="1288"/>
      <c r="N13" s="1291">
        <f t="shared" si="1"/>
        <v>405</v>
      </c>
      <c r="O13" s="1291">
        <f t="shared" si="1"/>
        <v>0</v>
      </c>
      <c r="P13" s="1291">
        <f t="shared" si="1"/>
        <v>390</v>
      </c>
      <c r="Q13" s="1288">
        <f t="shared" si="1"/>
        <v>0</v>
      </c>
    </row>
    <row r="14" spans="1:17">
      <c r="A14" s="299" t="s">
        <v>1007</v>
      </c>
      <c r="B14" s="1289"/>
      <c r="C14" s="1289"/>
      <c r="D14" s="1289"/>
      <c r="E14" s="1288"/>
      <c r="F14" s="1289"/>
      <c r="G14" s="1289">
        <v>32</v>
      </c>
      <c r="H14" s="1289">
        <v>122</v>
      </c>
      <c r="I14" s="1288"/>
      <c r="J14" s="1289"/>
      <c r="K14" s="1289"/>
      <c r="L14" s="1289"/>
      <c r="M14" s="1288"/>
      <c r="N14" s="1291">
        <f t="shared" si="1"/>
        <v>0</v>
      </c>
      <c r="O14" s="1291">
        <f t="shared" si="1"/>
        <v>32</v>
      </c>
      <c r="P14" s="1291">
        <f t="shared" si="1"/>
        <v>122</v>
      </c>
      <c r="Q14" s="1288">
        <f t="shared" si="1"/>
        <v>0</v>
      </c>
    </row>
    <row r="15" spans="1:17">
      <c r="A15" s="299" t="s">
        <v>1008</v>
      </c>
      <c r="B15" s="1289"/>
      <c r="C15" s="1289"/>
      <c r="D15" s="1289"/>
      <c r="E15" s="1288"/>
      <c r="F15" s="1289">
        <v>289</v>
      </c>
      <c r="G15" s="1289">
        <v>22</v>
      </c>
      <c r="H15" s="1289">
        <v>42</v>
      </c>
      <c r="I15" s="1288">
        <v>76</v>
      </c>
      <c r="J15" s="1289"/>
      <c r="K15" s="1289"/>
      <c r="L15" s="1289"/>
      <c r="M15" s="1288"/>
      <c r="N15" s="1291">
        <f t="shared" si="1"/>
        <v>289</v>
      </c>
      <c r="O15" s="1291">
        <f t="shared" si="1"/>
        <v>22</v>
      </c>
      <c r="P15" s="1291">
        <f t="shared" si="1"/>
        <v>42</v>
      </c>
      <c r="Q15" s="1288">
        <f t="shared" si="1"/>
        <v>76</v>
      </c>
    </row>
    <row r="16" spans="1:17">
      <c r="A16" s="299" t="s">
        <v>1009</v>
      </c>
      <c r="B16" s="1289"/>
      <c r="C16" s="1289"/>
      <c r="D16" s="1289"/>
      <c r="E16" s="1288"/>
      <c r="F16" s="1289"/>
      <c r="G16" s="1289"/>
      <c r="H16" s="1289"/>
      <c r="I16" s="1288"/>
      <c r="J16" s="1289"/>
      <c r="K16" s="1289"/>
      <c r="L16" s="1289"/>
      <c r="M16" s="1288"/>
      <c r="N16" s="1291">
        <f t="shared" si="1"/>
        <v>0</v>
      </c>
      <c r="O16" s="1291">
        <f t="shared" si="1"/>
        <v>0</v>
      </c>
      <c r="P16" s="1291">
        <f t="shared" si="1"/>
        <v>0</v>
      </c>
      <c r="Q16" s="1288">
        <f t="shared" si="1"/>
        <v>0</v>
      </c>
    </row>
    <row r="17" spans="1:17">
      <c r="A17" s="299" t="s">
        <v>1010</v>
      </c>
      <c r="B17" s="1289"/>
      <c r="C17" s="1289"/>
      <c r="D17" s="1289"/>
      <c r="E17" s="1288"/>
      <c r="F17" s="1289"/>
      <c r="G17" s="1289"/>
      <c r="H17" s="1289"/>
      <c r="I17" s="1288"/>
      <c r="J17" s="1289"/>
      <c r="K17" s="1289"/>
      <c r="L17" s="1289"/>
      <c r="M17" s="1288"/>
      <c r="N17" s="1291">
        <f t="shared" si="1"/>
        <v>0</v>
      </c>
      <c r="O17" s="1291">
        <f t="shared" si="1"/>
        <v>0</v>
      </c>
      <c r="P17" s="1291">
        <f t="shared" si="1"/>
        <v>0</v>
      </c>
      <c r="Q17" s="1288">
        <f t="shared" si="1"/>
        <v>0</v>
      </c>
    </row>
    <row r="18" spans="1:17">
      <c r="A18" s="299" t="s">
        <v>1011</v>
      </c>
      <c r="B18" s="1289"/>
      <c r="C18" s="1289"/>
      <c r="D18" s="1289"/>
      <c r="E18" s="1288"/>
      <c r="F18" s="1289">
        <v>43</v>
      </c>
      <c r="G18" s="1289"/>
      <c r="H18" s="1289">
        <v>240</v>
      </c>
      <c r="I18" s="1288">
        <v>179</v>
      </c>
      <c r="J18" s="1289"/>
      <c r="K18" s="1289"/>
      <c r="L18" s="1289"/>
      <c r="M18" s="1288"/>
      <c r="N18" s="1291">
        <f t="shared" si="1"/>
        <v>43</v>
      </c>
      <c r="O18" s="1291">
        <f t="shared" si="1"/>
        <v>0</v>
      </c>
      <c r="P18" s="1291">
        <f t="shared" si="1"/>
        <v>240</v>
      </c>
      <c r="Q18" s="1288">
        <f t="shared" si="1"/>
        <v>179</v>
      </c>
    </row>
    <row r="19" spans="1:17">
      <c r="A19" s="299" t="s">
        <v>1012</v>
      </c>
      <c r="B19" s="1289"/>
      <c r="C19" s="1289"/>
      <c r="D19" s="1289"/>
      <c r="E19" s="1288"/>
      <c r="F19" s="1289">
        <v>354</v>
      </c>
      <c r="G19" s="1289">
        <v>274</v>
      </c>
      <c r="H19" s="1289">
        <v>755</v>
      </c>
      <c r="I19" s="1288">
        <v>102</v>
      </c>
      <c r="J19" s="1289"/>
      <c r="K19" s="1289"/>
      <c r="L19" s="1289"/>
      <c r="M19" s="1288"/>
      <c r="N19" s="1291">
        <f t="shared" si="1"/>
        <v>354</v>
      </c>
      <c r="O19" s="1291">
        <f t="shared" si="1"/>
        <v>274</v>
      </c>
      <c r="P19" s="1291">
        <f t="shared" si="1"/>
        <v>755</v>
      </c>
      <c r="Q19" s="1288">
        <f t="shared" si="1"/>
        <v>102</v>
      </c>
    </row>
    <row r="20" spans="1:17">
      <c r="A20" s="299" t="s">
        <v>1013</v>
      </c>
      <c r="B20" s="1289"/>
      <c r="C20" s="1289"/>
      <c r="D20" s="1289"/>
      <c r="E20" s="1288"/>
      <c r="F20" s="1289"/>
      <c r="G20" s="1289"/>
      <c r="H20" s="1289"/>
      <c r="I20" s="1288"/>
      <c r="J20" s="1289"/>
      <c r="K20" s="1289"/>
      <c r="L20" s="1289"/>
      <c r="M20" s="1288"/>
      <c r="N20" s="1291">
        <f t="shared" si="1"/>
        <v>0</v>
      </c>
      <c r="O20" s="1291">
        <f t="shared" si="1"/>
        <v>0</v>
      </c>
      <c r="P20" s="1291">
        <f t="shared" si="1"/>
        <v>0</v>
      </c>
      <c r="Q20" s="1288">
        <f t="shared" si="1"/>
        <v>0</v>
      </c>
    </row>
    <row r="21" spans="1:17">
      <c r="A21" s="1287" t="s">
        <v>807</v>
      </c>
      <c r="B21" s="1289"/>
      <c r="C21" s="1289"/>
      <c r="D21" s="1289"/>
      <c r="E21" s="1288"/>
      <c r="F21" s="1289"/>
      <c r="G21" s="1289"/>
      <c r="H21" s="1289"/>
      <c r="I21" s="1288"/>
      <c r="J21" s="1289"/>
      <c r="K21" s="1289"/>
      <c r="L21" s="1289"/>
      <c r="M21" s="1288"/>
      <c r="N21" s="1291">
        <f t="shared" si="1"/>
        <v>0</v>
      </c>
      <c r="O21" s="1291">
        <f t="shared" si="1"/>
        <v>0</v>
      </c>
      <c r="P21" s="1291">
        <f t="shared" si="1"/>
        <v>0</v>
      </c>
      <c r="Q21" s="1288">
        <f t="shared" si="1"/>
        <v>0</v>
      </c>
    </row>
    <row r="22" spans="1:17">
      <c r="A22" s="299" t="s">
        <v>1014</v>
      </c>
      <c r="B22" s="1289">
        <v>1355</v>
      </c>
      <c r="C22" s="1289">
        <v>2323</v>
      </c>
      <c r="D22" s="1289">
        <v>1807</v>
      </c>
      <c r="E22" s="1288">
        <v>2523</v>
      </c>
      <c r="F22" s="1289"/>
      <c r="G22" s="1289"/>
      <c r="H22" s="1289"/>
      <c r="I22" s="1288"/>
      <c r="J22" s="1289"/>
      <c r="K22" s="1289"/>
      <c r="L22" s="1289"/>
      <c r="M22" s="1288"/>
      <c r="N22" s="1291">
        <f t="shared" si="1"/>
        <v>1355</v>
      </c>
      <c r="O22" s="1291">
        <f t="shared" si="1"/>
        <v>2323</v>
      </c>
      <c r="P22" s="1291">
        <f t="shared" si="1"/>
        <v>1807</v>
      </c>
      <c r="Q22" s="1288">
        <f t="shared" si="1"/>
        <v>2523</v>
      </c>
    </row>
    <row r="23" spans="1:17">
      <c r="A23" s="299" t="s">
        <v>1015</v>
      </c>
      <c r="B23" s="1289"/>
      <c r="C23" s="1289"/>
      <c r="D23" s="1289"/>
      <c r="E23" s="1288"/>
      <c r="F23" s="1289"/>
      <c r="G23" s="1289"/>
      <c r="H23" s="1289"/>
      <c r="I23" s="1288"/>
      <c r="J23" s="1289">
        <v>1807</v>
      </c>
      <c r="K23" s="1289">
        <v>2107</v>
      </c>
      <c r="L23" s="1289">
        <v>1410</v>
      </c>
      <c r="M23" s="1288">
        <v>1157</v>
      </c>
      <c r="N23" s="1291">
        <f t="shared" si="1"/>
        <v>1807</v>
      </c>
      <c r="O23" s="1291">
        <f t="shared" si="1"/>
        <v>2107</v>
      </c>
      <c r="P23" s="1291">
        <f t="shared" si="1"/>
        <v>1410</v>
      </c>
      <c r="Q23" s="1288">
        <f t="shared" si="1"/>
        <v>1157</v>
      </c>
    </row>
    <row r="24" spans="1:17">
      <c r="A24" s="299" t="s">
        <v>1476</v>
      </c>
      <c r="B24" s="1289"/>
      <c r="C24" s="1289"/>
      <c r="D24" s="1289">
        <v>448</v>
      </c>
      <c r="E24" s="1288">
        <v>7</v>
      </c>
      <c r="F24" s="1289">
        <v>351</v>
      </c>
      <c r="G24" s="1289"/>
      <c r="H24" s="1289"/>
      <c r="I24" s="1288"/>
      <c r="J24" s="1289"/>
      <c r="K24" s="1289"/>
      <c r="L24" s="1289"/>
      <c r="M24" s="1288"/>
      <c r="N24" s="1291">
        <f t="shared" si="1"/>
        <v>351</v>
      </c>
      <c r="O24" s="1291">
        <f t="shared" si="1"/>
        <v>0</v>
      </c>
      <c r="P24" s="1291">
        <f t="shared" si="1"/>
        <v>448</v>
      </c>
      <c r="Q24" s="1288">
        <f t="shared" si="1"/>
        <v>7</v>
      </c>
    </row>
    <row r="25" spans="1:17">
      <c r="A25" s="299" t="s">
        <v>1478</v>
      </c>
      <c r="B25" s="1289"/>
      <c r="C25" s="1289"/>
      <c r="D25" s="1289"/>
      <c r="E25" s="1288"/>
      <c r="F25" s="1289"/>
      <c r="G25" s="1289"/>
      <c r="H25" s="1289"/>
      <c r="I25" s="1288"/>
      <c r="J25" s="1289"/>
      <c r="K25" s="1289"/>
      <c r="L25" s="1289"/>
      <c r="M25" s="1288"/>
      <c r="N25" s="1291">
        <f t="shared" si="1"/>
        <v>0</v>
      </c>
      <c r="O25" s="1291">
        <f t="shared" si="1"/>
        <v>0</v>
      </c>
      <c r="P25" s="1291">
        <f t="shared" si="1"/>
        <v>0</v>
      </c>
      <c r="Q25" s="1288">
        <f t="shared" si="1"/>
        <v>0</v>
      </c>
    </row>
    <row r="26" spans="1:17">
      <c r="A26" s="299" t="s">
        <v>1017</v>
      </c>
      <c r="B26" s="1289"/>
      <c r="C26" s="1289"/>
      <c r="D26" s="1289"/>
      <c r="E26" s="1288"/>
      <c r="F26" s="1289"/>
      <c r="G26" s="1289"/>
      <c r="H26" s="1289"/>
      <c r="I26" s="1288"/>
      <c r="J26" s="1289"/>
      <c r="K26" s="1289"/>
      <c r="L26" s="1289"/>
      <c r="M26" s="1288"/>
      <c r="N26" s="1291">
        <f t="shared" si="1"/>
        <v>0</v>
      </c>
      <c r="O26" s="1291">
        <f t="shared" si="1"/>
        <v>0</v>
      </c>
      <c r="P26" s="1291">
        <f t="shared" si="1"/>
        <v>0</v>
      </c>
      <c r="Q26" s="1288">
        <f t="shared" si="1"/>
        <v>0</v>
      </c>
    </row>
    <row r="27" spans="1:17">
      <c r="A27" s="1287" t="s">
        <v>1136</v>
      </c>
      <c r="B27" s="1289"/>
      <c r="C27" s="1289"/>
      <c r="D27" s="1289"/>
      <c r="E27" s="1288"/>
      <c r="F27" s="1289"/>
      <c r="G27" s="1289"/>
      <c r="H27" s="1289"/>
      <c r="I27" s="1288"/>
      <c r="J27" s="1289"/>
      <c r="K27" s="1289"/>
      <c r="L27" s="1289"/>
      <c r="M27" s="1288"/>
      <c r="N27" s="1291">
        <f t="shared" si="1"/>
        <v>0</v>
      </c>
      <c r="O27" s="1291">
        <f t="shared" si="1"/>
        <v>0</v>
      </c>
      <c r="P27" s="1291">
        <f t="shared" si="1"/>
        <v>0</v>
      </c>
      <c r="Q27" s="1288">
        <f t="shared" si="1"/>
        <v>0</v>
      </c>
    </row>
    <row r="28" spans="1:17">
      <c r="A28" s="299" t="s">
        <v>1018</v>
      </c>
      <c r="B28" s="1289"/>
      <c r="C28" s="1289"/>
      <c r="D28" s="1289"/>
      <c r="E28" s="1288"/>
      <c r="F28" s="1289"/>
      <c r="G28" s="1289"/>
      <c r="H28" s="1289"/>
      <c r="I28" s="1288"/>
      <c r="J28" s="1289"/>
      <c r="K28" s="1289"/>
      <c r="L28" s="1289"/>
      <c r="M28" s="1288"/>
      <c r="N28" s="1291">
        <f t="shared" si="1"/>
        <v>0</v>
      </c>
      <c r="O28" s="1291">
        <f t="shared" si="1"/>
        <v>0</v>
      </c>
      <c r="P28" s="1291">
        <f t="shared" si="1"/>
        <v>0</v>
      </c>
      <c r="Q28" s="1288">
        <f t="shared" si="1"/>
        <v>0</v>
      </c>
    </row>
    <row r="29" spans="1:17">
      <c r="A29" s="299" t="s">
        <v>1019</v>
      </c>
      <c r="B29" s="1289"/>
      <c r="C29" s="1289"/>
      <c r="D29" s="1289"/>
      <c r="E29" s="1288"/>
      <c r="F29" s="1289"/>
      <c r="G29" s="1289"/>
      <c r="H29" s="1289"/>
      <c r="I29" s="1288"/>
      <c r="J29" s="1289"/>
      <c r="K29" s="1289"/>
      <c r="L29" s="1289"/>
      <c r="M29" s="1288"/>
      <c r="N29" s="1291">
        <f t="shared" si="1"/>
        <v>0</v>
      </c>
      <c r="O29" s="1291">
        <f t="shared" si="1"/>
        <v>0</v>
      </c>
      <c r="P29" s="1291">
        <f t="shared" si="1"/>
        <v>0</v>
      </c>
      <c r="Q29" s="1288">
        <f t="shared" si="1"/>
        <v>0</v>
      </c>
    </row>
    <row r="30" spans="1:17">
      <c r="A30" s="299" t="s">
        <v>1020</v>
      </c>
      <c r="B30" s="1289"/>
      <c r="C30" s="1289"/>
      <c r="D30" s="1289"/>
      <c r="E30" s="1288"/>
      <c r="F30" s="1289"/>
      <c r="G30" s="1289"/>
      <c r="H30" s="1289"/>
      <c r="I30" s="1288"/>
      <c r="J30" s="1289"/>
      <c r="K30" s="1289"/>
      <c r="L30" s="1289"/>
      <c r="M30" s="1288"/>
      <c r="N30" s="1291">
        <f t="shared" si="1"/>
        <v>0</v>
      </c>
      <c r="O30" s="1291">
        <f t="shared" si="1"/>
        <v>0</v>
      </c>
      <c r="P30" s="1291">
        <f t="shared" si="1"/>
        <v>0</v>
      </c>
      <c r="Q30" s="1288">
        <f t="shared" si="1"/>
        <v>0</v>
      </c>
    </row>
    <row r="31" spans="1:17">
      <c r="A31" s="299" t="s">
        <v>1477</v>
      </c>
      <c r="B31" s="1289"/>
      <c r="C31" s="1289">
        <v>192</v>
      </c>
      <c r="D31" s="1289">
        <v>34</v>
      </c>
      <c r="E31" s="1288">
        <v>808</v>
      </c>
      <c r="F31" s="1289"/>
      <c r="G31" s="1289"/>
      <c r="H31" s="1289"/>
      <c r="I31" s="1288"/>
      <c r="J31" s="1289"/>
      <c r="K31" s="1289"/>
      <c r="L31" s="1289"/>
      <c r="M31" s="1288"/>
      <c r="N31" s="1291">
        <f t="shared" si="1"/>
        <v>0</v>
      </c>
      <c r="O31" s="1291">
        <f t="shared" si="1"/>
        <v>192</v>
      </c>
      <c r="P31" s="1291">
        <f t="shared" si="1"/>
        <v>34</v>
      </c>
      <c r="Q31" s="1288">
        <f t="shared" si="1"/>
        <v>808</v>
      </c>
    </row>
    <row r="32" spans="1:17">
      <c r="A32" s="299" t="s">
        <v>1022</v>
      </c>
      <c r="B32" s="1289">
        <v>9161</v>
      </c>
      <c r="C32" s="1289">
        <v>7386</v>
      </c>
      <c r="D32" s="1289">
        <v>5273</v>
      </c>
      <c r="E32" s="1288">
        <v>3023</v>
      </c>
      <c r="F32" s="1289"/>
      <c r="G32" s="1289"/>
      <c r="H32" s="1289"/>
      <c r="I32" s="1288"/>
      <c r="J32" s="1289"/>
      <c r="K32" s="1289"/>
      <c r="L32" s="1289"/>
      <c r="M32" s="1288"/>
      <c r="N32" s="1291">
        <f t="shared" si="1"/>
        <v>9161</v>
      </c>
      <c r="O32" s="1291">
        <f t="shared" si="1"/>
        <v>7386</v>
      </c>
      <c r="P32" s="1291">
        <f t="shared" si="1"/>
        <v>5273</v>
      </c>
      <c r="Q32" s="1288">
        <f t="shared" si="1"/>
        <v>3023</v>
      </c>
    </row>
    <row r="33" spans="1:17">
      <c r="A33" s="299" t="s">
        <v>1023</v>
      </c>
      <c r="B33" s="1289">
        <v>4413</v>
      </c>
      <c r="C33" s="1289">
        <v>5737</v>
      </c>
      <c r="D33" s="1289">
        <v>4378</v>
      </c>
      <c r="E33" s="1288">
        <v>3352</v>
      </c>
      <c r="F33" s="1289"/>
      <c r="G33" s="1289"/>
      <c r="H33" s="1289"/>
      <c r="I33" s="1288"/>
      <c r="J33" s="1289"/>
      <c r="K33" s="1289"/>
      <c r="L33" s="1289"/>
      <c r="M33" s="1288"/>
      <c r="N33" s="1291">
        <f t="shared" si="1"/>
        <v>4413</v>
      </c>
      <c r="O33" s="1291">
        <f t="shared" si="1"/>
        <v>5737</v>
      </c>
      <c r="P33" s="1291">
        <f t="shared" si="1"/>
        <v>4378</v>
      </c>
      <c r="Q33" s="1288">
        <f t="shared" si="1"/>
        <v>3352</v>
      </c>
    </row>
    <row r="34" spans="1:17">
      <c r="A34" s="299" t="s">
        <v>1024</v>
      </c>
      <c r="B34" s="1289"/>
      <c r="C34" s="1289"/>
      <c r="D34" s="1289"/>
      <c r="E34" s="1288"/>
      <c r="F34" s="1289">
        <v>1412</v>
      </c>
      <c r="G34" s="1289">
        <v>982</v>
      </c>
      <c r="H34" s="1289">
        <v>1494</v>
      </c>
      <c r="I34" s="1288">
        <v>697</v>
      </c>
      <c r="J34" s="1289"/>
      <c r="K34" s="1289"/>
      <c r="L34" s="1289"/>
      <c r="M34" s="1288"/>
      <c r="N34" s="1291">
        <f t="shared" si="1"/>
        <v>1412</v>
      </c>
      <c r="O34" s="1291">
        <f t="shared" si="1"/>
        <v>982</v>
      </c>
      <c r="P34" s="1291">
        <f t="shared" si="1"/>
        <v>1494</v>
      </c>
      <c r="Q34" s="1288">
        <f t="shared" si="1"/>
        <v>697</v>
      </c>
    </row>
    <row r="35" spans="1:17">
      <c r="A35" s="299" t="s">
        <v>1025</v>
      </c>
      <c r="B35" s="1289"/>
      <c r="C35" s="1289"/>
      <c r="D35" s="1289"/>
      <c r="E35" s="1288"/>
      <c r="F35" s="1289">
        <v>737</v>
      </c>
      <c r="G35" s="1289">
        <v>516</v>
      </c>
      <c r="H35" s="1289">
        <v>1515</v>
      </c>
      <c r="I35" s="1288">
        <v>840</v>
      </c>
      <c r="J35" s="1289"/>
      <c r="K35" s="1289"/>
      <c r="L35" s="1289"/>
      <c r="M35" s="1288"/>
      <c r="N35" s="1291">
        <f t="shared" si="1"/>
        <v>737</v>
      </c>
      <c r="O35" s="1291">
        <f t="shared" si="1"/>
        <v>516</v>
      </c>
      <c r="P35" s="1291">
        <f t="shared" si="1"/>
        <v>1515</v>
      </c>
      <c r="Q35" s="1288">
        <f t="shared" si="1"/>
        <v>840</v>
      </c>
    </row>
    <row r="36" spans="1:17">
      <c r="A36" s="299" t="s">
        <v>1026</v>
      </c>
      <c r="B36" s="1289"/>
      <c r="C36" s="1289"/>
      <c r="D36" s="1289"/>
      <c r="E36" s="1288"/>
      <c r="F36" s="1289"/>
      <c r="G36" s="1289"/>
      <c r="H36" s="1289"/>
      <c r="I36" s="1288"/>
      <c r="J36" s="1289"/>
      <c r="K36" s="1289"/>
      <c r="L36" s="1289"/>
      <c r="M36" s="1288"/>
      <c r="N36" s="1291">
        <f t="shared" si="1"/>
        <v>0</v>
      </c>
      <c r="O36" s="1291">
        <f t="shared" si="1"/>
        <v>0</v>
      </c>
      <c r="P36" s="1291">
        <f t="shared" si="1"/>
        <v>0</v>
      </c>
      <c r="Q36" s="1288">
        <f t="shared" si="1"/>
        <v>0</v>
      </c>
    </row>
    <row r="37" spans="1:17">
      <c r="A37" s="302" t="s">
        <v>863</v>
      </c>
      <c r="B37" s="551">
        <f t="shared" ref="B37:Q37" si="2">SUM(B9:B36)</f>
        <v>16024</v>
      </c>
      <c r="C37" s="551">
        <f t="shared" si="2"/>
        <v>16045</v>
      </c>
      <c r="D37" s="551">
        <f t="shared" si="2"/>
        <v>12919</v>
      </c>
      <c r="E37" s="552">
        <f t="shared" si="2"/>
        <v>9713</v>
      </c>
      <c r="F37" s="551">
        <f t="shared" si="2"/>
        <v>3737</v>
      </c>
      <c r="G37" s="551">
        <f t="shared" si="2"/>
        <v>2296</v>
      </c>
      <c r="H37" s="551">
        <f t="shared" si="2"/>
        <v>4638</v>
      </c>
      <c r="I37" s="552">
        <f t="shared" si="2"/>
        <v>2068</v>
      </c>
      <c r="J37" s="551">
        <f t="shared" si="2"/>
        <v>1807</v>
      </c>
      <c r="K37" s="551">
        <f t="shared" si="2"/>
        <v>2107</v>
      </c>
      <c r="L37" s="551">
        <f t="shared" si="2"/>
        <v>1410</v>
      </c>
      <c r="M37" s="552">
        <f t="shared" si="2"/>
        <v>1157</v>
      </c>
      <c r="N37" s="553">
        <f t="shared" si="2"/>
        <v>21568</v>
      </c>
      <c r="O37" s="551">
        <f t="shared" si="2"/>
        <v>20448</v>
      </c>
      <c r="P37" s="551">
        <f t="shared" si="2"/>
        <v>18967</v>
      </c>
      <c r="Q37" s="552">
        <f t="shared" si="2"/>
        <v>12938</v>
      </c>
    </row>
  </sheetData>
  <mergeCells count="6">
    <mergeCell ref="B7:E7"/>
    <mergeCell ref="F7:I7"/>
    <mergeCell ref="J7:M7"/>
    <mergeCell ref="N7:Q7"/>
    <mergeCell ref="A1:Q1"/>
    <mergeCell ref="A2:Q2"/>
  </mergeCells>
  <pageMargins left="0.7" right="0.7" top="0.75" bottom="0.75" header="0.3" footer="0.3"/>
  <pageSetup orientation="portrait" r:id="rId1"/>
  <ignoredErrors>
    <ignoredError sqref="B37:P37" formulaRange="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5"/>
  <sheetViews>
    <sheetView topLeftCell="A25" workbookViewId="0">
      <selection activeCell="D67" sqref="D67"/>
    </sheetView>
  </sheetViews>
  <sheetFormatPr baseColWidth="10" defaultRowHeight="12.75"/>
  <cols>
    <col min="1" max="1" width="25.85546875" customWidth="1"/>
    <col min="2" max="2" width="8.42578125" customWidth="1"/>
    <col min="3" max="16" width="6.140625" customWidth="1"/>
    <col min="17" max="26" width="6" customWidth="1"/>
    <col min="27" max="30" width="6.140625" customWidth="1"/>
  </cols>
  <sheetData>
    <row r="1" spans="1:30">
      <c r="A1" s="1371" t="s">
        <v>1414</v>
      </c>
      <c r="B1" s="1371"/>
      <c r="C1" s="1371"/>
      <c r="D1" s="1371"/>
      <c r="E1" s="1371"/>
      <c r="F1" s="1371"/>
      <c r="G1" s="1371"/>
      <c r="H1" s="1371"/>
      <c r="I1" s="1371"/>
      <c r="J1" s="1371"/>
      <c r="K1" s="1371"/>
      <c r="L1" s="1371"/>
      <c r="M1" s="1371"/>
      <c r="N1" s="1371"/>
      <c r="O1" s="1371"/>
      <c r="P1" s="1371"/>
      <c r="Q1" s="1371"/>
      <c r="R1" s="1371"/>
      <c r="S1" s="1371"/>
      <c r="T1" s="1371"/>
      <c r="U1" s="1371"/>
      <c r="V1" s="1371"/>
      <c r="W1" s="1371"/>
      <c r="X1" s="1371"/>
      <c r="Y1" s="1371"/>
      <c r="Z1" s="1371"/>
      <c r="AA1" s="1371"/>
      <c r="AB1" s="1371"/>
    </row>
    <row r="2" spans="1:30" ht="20.25" customHeight="1">
      <c r="A2" s="567"/>
      <c r="B2" s="239"/>
      <c r="C2" s="239"/>
      <c r="D2" s="239"/>
      <c r="E2" s="567"/>
      <c r="F2" s="567"/>
      <c r="G2" s="567"/>
      <c r="H2" s="567"/>
      <c r="I2" s="567"/>
      <c r="J2" s="567"/>
      <c r="K2" s="567"/>
      <c r="L2" s="567"/>
      <c r="M2" s="567"/>
      <c r="N2" s="567"/>
      <c r="O2" s="567"/>
    </row>
    <row r="3" spans="1:30" s="354" customFormat="1" ht="22.5" customHeight="1">
      <c r="A3" s="513" t="s">
        <v>1043</v>
      </c>
      <c r="B3" s="568"/>
      <c r="C3" s="569" t="s">
        <v>535</v>
      </c>
      <c r="D3" s="570"/>
      <c r="E3" s="1426" t="s">
        <v>1044</v>
      </c>
      <c r="F3" s="1427"/>
      <c r="G3" s="1427" t="s">
        <v>1045</v>
      </c>
      <c r="H3" s="1427"/>
      <c r="I3" s="1425" t="s">
        <v>859</v>
      </c>
      <c r="J3" s="1425"/>
      <c r="K3" s="1425" t="s">
        <v>637</v>
      </c>
      <c r="L3" s="1425"/>
      <c r="M3" s="1425" t="s">
        <v>636</v>
      </c>
      <c r="N3" s="1425"/>
      <c r="O3" s="1425" t="s">
        <v>1046</v>
      </c>
      <c r="P3" s="1425"/>
      <c r="Q3" s="1425" t="s">
        <v>638</v>
      </c>
      <c r="R3" s="1425"/>
      <c r="S3" s="1428" t="s">
        <v>1047</v>
      </c>
      <c r="T3" s="1428"/>
      <c r="U3" s="1423" t="s">
        <v>643</v>
      </c>
      <c r="V3" s="1424"/>
      <c r="W3" s="1423" t="s">
        <v>1048</v>
      </c>
      <c r="X3" s="1424"/>
      <c r="Y3" s="1423" t="s">
        <v>641</v>
      </c>
      <c r="Z3" s="1424"/>
      <c r="AA3" s="1423" t="s">
        <v>639</v>
      </c>
      <c r="AB3" s="1424"/>
      <c r="AC3" s="1425" t="s">
        <v>1049</v>
      </c>
      <c r="AD3" s="1425"/>
    </row>
    <row r="4" spans="1:30" s="354" customFormat="1" ht="21" customHeight="1">
      <c r="A4" s="571"/>
      <c r="B4" s="572" t="s">
        <v>535</v>
      </c>
      <c r="C4" s="573" t="s">
        <v>1050</v>
      </c>
      <c r="D4" s="574" t="s">
        <v>1051</v>
      </c>
      <c r="E4" s="1102" t="s">
        <v>1050</v>
      </c>
      <c r="F4" s="1102" t="s">
        <v>1051</v>
      </c>
      <c r="G4" s="1102" t="s">
        <v>1050</v>
      </c>
      <c r="H4" s="1102" t="s">
        <v>1051</v>
      </c>
      <c r="I4" s="1102" t="s">
        <v>1050</v>
      </c>
      <c r="J4" s="1102" t="s">
        <v>1051</v>
      </c>
      <c r="K4" s="1102" t="s">
        <v>1050</v>
      </c>
      <c r="L4" s="1102" t="s">
        <v>1051</v>
      </c>
      <c r="M4" s="1102" t="s">
        <v>1050</v>
      </c>
      <c r="N4" s="1102" t="s">
        <v>1051</v>
      </c>
      <c r="O4" s="1102" t="s">
        <v>1050</v>
      </c>
      <c r="P4" s="1102" t="s">
        <v>1051</v>
      </c>
      <c r="Q4" s="1102" t="s">
        <v>1050</v>
      </c>
      <c r="R4" s="1102" t="s">
        <v>1051</v>
      </c>
      <c r="S4" s="1102" t="s">
        <v>1050</v>
      </c>
      <c r="T4" s="1102" t="s">
        <v>1051</v>
      </c>
      <c r="U4" s="1102" t="s">
        <v>1050</v>
      </c>
      <c r="V4" s="1102" t="s">
        <v>1051</v>
      </c>
      <c r="W4" s="1102" t="s">
        <v>1050</v>
      </c>
      <c r="X4" s="1102" t="s">
        <v>1051</v>
      </c>
      <c r="Y4" s="1102" t="s">
        <v>1050</v>
      </c>
      <c r="Z4" s="1102" t="s">
        <v>1051</v>
      </c>
      <c r="AA4" s="1102" t="s">
        <v>1050</v>
      </c>
      <c r="AB4" s="1102" t="s">
        <v>1051</v>
      </c>
      <c r="AC4" s="1102" t="s">
        <v>1050</v>
      </c>
      <c r="AD4" s="1102" t="s">
        <v>1051</v>
      </c>
    </row>
    <row r="5" spans="1:30" s="354" customFormat="1">
      <c r="A5" s="575" t="s">
        <v>1052</v>
      </c>
      <c r="B5" s="576">
        <f t="shared" ref="B5:B13" si="0">SUM(C5:D5)</f>
        <v>1012</v>
      </c>
      <c r="C5" s="577">
        <f t="shared" ref="C5:D8" si="1">+E5+G5+I5+K5+M5+O5+Q5+S5+U5+W5+Y5+AA5+AC5</f>
        <v>999</v>
      </c>
      <c r="D5" s="577">
        <f t="shared" si="1"/>
        <v>13</v>
      </c>
      <c r="E5" s="369">
        <f>+[7]cons!D5</f>
        <v>41</v>
      </c>
      <c r="F5" s="492">
        <f>+[7]cons!E5</f>
        <v>0</v>
      </c>
      <c r="G5" s="369">
        <f>+[7]cons!F5</f>
        <v>77</v>
      </c>
      <c r="H5" s="492">
        <f>+[7]cons!G5</f>
        <v>0</v>
      </c>
      <c r="I5" s="369">
        <f>+[7]cons!H5</f>
        <v>91</v>
      </c>
      <c r="J5" s="492">
        <f>+[7]cons!I5</f>
        <v>0</v>
      </c>
      <c r="K5" s="369">
        <f>+[7]cons!J5</f>
        <v>44</v>
      </c>
      <c r="L5" s="492">
        <f>+[7]cons!K5</f>
        <v>4</v>
      </c>
      <c r="M5" s="369">
        <f>+[7]cons!L5</f>
        <v>53</v>
      </c>
      <c r="N5" s="492">
        <f>+[7]cons!M5</f>
        <v>0</v>
      </c>
      <c r="O5" s="369">
        <f>+[7]cons!N5</f>
        <v>29</v>
      </c>
      <c r="P5" s="492">
        <f>+[7]cons!O5</f>
        <v>0</v>
      </c>
      <c r="Q5" s="369">
        <f>+[7]cons!P5</f>
        <v>91</v>
      </c>
      <c r="R5" s="492">
        <f>+[7]cons!Q5</f>
        <v>0</v>
      </c>
      <c r="S5" s="369">
        <f>+[7]cons!R5</f>
        <v>221</v>
      </c>
      <c r="T5" s="492">
        <f>+[7]cons!S5</f>
        <v>3</v>
      </c>
      <c r="U5" s="369">
        <f>+[7]cons!T5</f>
        <v>46</v>
      </c>
      <c r="V5" s="492">
        <f>+[7]cons!U5</f>
        <v>1</v>
      </c>
      <c r="W5" s="369">
        <f>+[7]cons!V5</f>
        <v>127</v>
      </c>
      <c r="X5" s="492">
        <f>+[7]cons!W5</f>
        <v>2</v>
      </c>
      <c r="Y5" s="369">
        <f>+[7]cons!X5</f>
        <v>27</v>
      </c>
      <c r="Z5" s="492">
        <f>+[7]cons!Y5</f>
        <v>0</v>
      </c>
      <c r="AA5" s="369">
        <f>+[7]cons!Z5</f>
        <v>60</v>
      </c>
      <c r="AB5" s="492">
        <f>+[7]cons!AA5</f>
        <v>3</v>
      </c>
      <c r="AC5" s="369">
        <f>+[7]cons!AB5</f>
        <v>92</v>
      </c>
      <c r="AD5" s="492">
        <f>+[7]cons!AC5</f>
        <v>0</v>
      </c>
    </row>
    <row r="6" spans="1:30" s="354" customFormat="1">
      <c r="A6" s="578" t="s">
        <v>1053</v>
      </c>
      <c r="B6" s="579">
        <f t="shared" si="0"/>
        <v>5023</v>
      </c>
      <c r="C6" s="577">
        <f t="shared" si="1"/>
        <v>9</v>
      </c>
      <c r="D6" s="577">
        <f t="shared" si="1"/>
        <v>5014</v>
      </c>
      <c r="E6" s="369">
        <f>+[7]cons!D6</f>
        <v>0</v>
      </c>
      <c r="F6" s="492">
        <f>+[7]cons!E6</f>
        <v>522</v>
      </c>
      <c r="G6" s="369">
        <f>+[7]cons!F6</f>
        <v>0</v>
      </c>
      <c r="H6" s="492">
        <f>+[7]cons!G6</f>
        <v>396</v>
      </c>
      <c r="I6" s="369">
        <f>+[7]cons!H6</f>
        <v>0</v>
      </c>
      <c r="J6" s="492">
        <f>+[7]cons!I6</f>
        <v>367</v>
      </c>
      <c r="K6" s="369">
        <f>+[7]cons!J6</f>
        <v>0</v>
      </c>
      <c r="L6" s="492">
        <f>+[7]cons!K6</f>
        <v>212</v>
      </c>
      <c r="M6" s="369">
        <f>+[7]cons!L6</f>
        <v>0</v>
      </c>
      <c r="N6" s="492">
        <f>+[7]cons!M6</f>
        <v>290</v>
      </c>
      <c r="O6" s="369">
        <f>+[7]cons!N6</f>
        <v>2</v>
      </c>
      <c r="P6" s="492">
        <f>+[7]cons!O6</f>
        <v>106</v>
      </c>
      <c r="Q6" s="369">
        <f>+[7]cons!P6</f>
        <v>0</v>
      </c>
      <c r="R6" s="492">
        <f>+[7]cons!Q6</f>
        <v>470</v>
      </c>
      <c r="S6" s="369">
        <f>+[7]cons!R6</f>
        <v>4</v>
      </c>
      <c r="T6" s="492">
        <f>+[7]cons!S6</f>
        <v>820</v>
      </c>
      <c r="U6" s="369">
        <f>+[7]cons!T6</f>
        <v>0</v>
      </c>
      <c r="V6" s="492">
        <f>+[7]cons!U6</f>
        <v>304</v>
      </c>
      <c r="W6" s="369">
        <f>+[7]cons!V6</f>
        <v>2</v>
      </c>
      <c r="X6" s="492">
        <f>+[7]cons!W6</f>
        <v>576</v>
      </c>
      <c r="Y6" s="369">
        <f>+[7]cons!X6</f>
        <v>1</v>
      </c>
      <c r="Z6" s="492">
        <f>+[7]cons!Y6</f>
        <v>107</v>
      </c>
      <c r="AA6" s="369">
        <f>+[7]cons!Z6</f>
        <v>0</v>
      </c>
      <c r="AB6" s="492">
        <f>+[7]cons!AA6</f>
        <v>449</v>
      </c>
      <c r="AC6" s="369">
        <f>+[7]cons!AB6</f>
        <v>0</v>
      </c>
      <c r="AD6" s="492">
        <f>+[7]cons!AC6</f>
        <v>395</v>
      </c>
    </row>
    <row r="7" spans="1:30" s="354" customFormat="1">
      <c r="A7" s="578" t="s">
        <v>1054</v>
      </c>
      <c r="B7" s="579">
        <f t="shared" si="0"/>
        <v>0</v>
      </c>
      <c r="C7" s="577">
        <f t="shared" si="1"/>
        <v>0</v>
      </c>
      <c r="D7" s="577">
        <f t="shared" si="1"/>
        <v>0</v>
      </c>
      <c r="E7" s="369">
        <f>+[7]cons!D7</f>
        <v>0</v>
      </c>
      <c r="F7" s="492">
        <f>+[7]cons!E7</f>
        <v>0</v>
      </c>
      <c r="G7" s="369">
        <f>+[7]cons!F7</f>
        <v>0</v>
      </c>
      <c r="H7" s="492">
        <f>+[7]cons!G7</f>
        <v>0</v>
      </c>
      <c r="I7" s="369">
        <f>+[7]cons!H7</f>
        <v>0</v>
      </c>
      <c r="J7" s="492">
        <f>+[7]cons!I7</f>
        <v>0</v>
      </c>
      <c r="K7" s="369">
        <f>+[7]cons!J7</f>
        <v>0</v>
      </c>
      <c r="L7" s="492">
        <f>+[7]cons!K7</f>
        <v>0</v>
      </c>
      <c r="M7" s="369">
        <f>+[7]cons!L7</f>
        <v>0</v>
      </c>
      <c r="N7" s="492">
        <f>+[7]cons!M7</f>
        <v>0</v>
      </c>
      <c r="O7" s="369">
        <f>+[7]cons!N7</f>
        <v>0</v>
      </c>
      <c r="P7" s="492">
        <f>+[7]cons!O7</f>
        <v>0</v>
      </c>
      <c r="Q7" s="369">
        <f>+[7]cons!P7</f>
        <v>0</v>
      </c>
      <c r="R7" s="492">
        <f>+[7]cons!Q7</f>
        <v>0</v>
      </c>
      <c r="S7" s="369">
        <f>+[7]cons!R7</f>
        <v>0</v>
      </c>
      <c r="T7" s="492">
        <f>+[7]cons!S7</f>
        <v>0</v>
      </c>
      <c r="U7" s="369">
        <f>+[7]cons!T7</f>
        <v>0</v>
      </c>
      <c r="V7" s="492">
        <f>+[7]cons!U7</f>
        <v>0</v>
      </c>
      <c r="W7" s="369">
        <f>+[7]cons!V7</f>
        <v>0</v>
      </c>
      <c r="X7" s="492">
        <f>+[7]cons!W7</f>
        <v>0</v>
      </c>
      <c r="Y7" s="369">
        <f>+[7]cons!X7</f>
        <v>0</v>
      </c>
      <c r="Z7" s="492">
        <f>+[7]cons!Y7</f>
        <v>0</v>
      </c>
      <c r="AA7" s="369">
        <f>+[7]cons!Z7</f>
        <v>0</v>
      </c>
      <c r="AB7" s="492">
        <f>+[7]cons!AA7</f>
        <v>0</v>
      </c>
      <c r="AC7" s="369">
        <f>+[7]cons!AB7</f>
        <v>0</v>
      </c>
      <c r="AD7" s="492">
        <f>+[7]cons!AC7</f>
        <v>0</v>
      </c>
    </row>
    <row r="8" spans="1:30" s="354" customFormat="1">
      <c r="A8" s="578" t="s">
        <v>1055</v>
      </c>
      <c r="B8" s="579">
        <f t="shared" si="0"/>
        <v>11</v>
      </c>
      <c r="C8" s="577">
        <f t="shared" si="1"/>
        <v>3</v>
      </c>
      <c r="D8" s="577">
        <f t="shared" si="1"/>
        <v>8</v>
      </c>
      <c r="E8" s="369">
        <f>+[7]cons!D8</f>
        <v>1</v>
      </c>
      <c r="F8" s="492">
        <f>+[7]cons!E8</f>
        <v>4</v>
      </c>
      <c r="G8" s="369">
        <f>+[7]cons!F8</f>
        <v>0</v>
      </c>
      <c r="H8" s="492">
        <f>+[7]cons!G8</f>
        <v>0</v>
      </c>
      <c r="I8" s="369">
        <f>+[7]cons!H8</f>
        <v>0</v>
      </c>
      <c r="J8" s="492">
        <f>+[7]cons!I8</f>
        <v>0</v>
      </c>
      <c r="K8" s="369">
        <f>+[7]cons!J8</f>
        <v>2</v>
      </c>
      <c r="L8" s="492">
        <f>+[7]cons!K8</f>
        <v>0</v>
      </c>
      <c r="M8" s="369">
        <f>+[7]cons!L8</f>
        <v>0</v>
      </c>
      <c r="N8" s="492">
        <f>+[7]cons!M8</f>
        <v>4</v>
      </c>
      <c r="O8" s="369">
        <f>+[7]cons!N8</f>
        <v>0</v>
      </c>
      <c r="P8" s="492">
        <f>+[7]cons!O8</f>
        <v>0</v>
      </c>
      <c r="Q8" s="369">
        <f>+[7]cons!P8</f>
        <v>0</v>
      </c>
      <c r="R8" s="492">
        <f>+[7]cons!Q8</f>
        <v>0</v>
      </c>
      <c r="S8" s="369">
        <f>+[7]cons!R8</f>
        <v>0</v>
      </c>
      <c r="T8" s="492">
        <f>+[7]cons!S8</f>
        <v>0</v>
      </c>
      <c r="U8" s="369">
        <f>+[7]cons!T8</f>
        <v>0</v>
      </c>
      <c r="V8" s="492">
        <f>+[7]cons!U8</f>
        <v>0</v>
      </c>
      <c r="W8" s="369">
        <f>+[7]cons!V8</f>
        <v>0</v>
      </c>
      <c r="X8" s="492">
        <f>+[7]cons!W8</f>
        <v>0</v>
      </c>
      <c r="Y8" s="369">
        <f>+[7]cons!X8</f>
        <v>0</v>
      </c>
      <c r="Z8" s="492">
        <f>+[7]cons!Y8</f>
        <v>0</v>
      </c>
      <c r="AA8" s="369">
        <f>+[7]cons!Z8</f>
        <v>0</v>
      </c>
      <c r="AB8" s="492">
        <f>+[7]cons!AA8</f>
        <v>0</v>
      </c>
      <c r="AC8" s="369">
        <f>+[7]cons!AB8</f>
        <v>0</v>
      </c>
      <c r="AD8" s="492">
        <f>+[7]cons!AC8</f>
        <v>0</v>
      </c>
    </row>
    <row r="9" spans="1:30" s="354" customFormat="1">
      <c r="A9" s="578" t="s">
        <v>1056</v>
      </c>
      <c r="B9" s="579">
        <f t="shared" si="0"/>
        <v>28</v>
      </c>
      <c r="C9" s="577">
        <f t="shared" ref="C9:D13" si="2">+E9+G9+I9+K9+M9+O9+Q9+S9+U9+W9+Y9+AA9+AC9</f>
        <v>15</v>
      </c>
      <c r="D9" s="577">
        <f t="shared" si="2"/>
        <v>13</v>
      </c>
      <c r="E9" s="369">
        <f>+[7]cons!D9</f>
        <v>0</v>
      </c>
      <c r="F9" s="492">
        <f>+[7]cons!E9</f>
        <v>0</v>
      </c>
      <c r="G9" s="369">
        <f>+[7]cons!F9</f>
        <v>8</v>
      </c>
      <c r="H9" s="492">
        <f>+[7]cons!G9</f>
        <v>0</v>
      </c>
      <c r="I9" s="369">
        <f>+[7]cons!H9</f>
        <v>0</v>
      </c>
      <c r="J9" s="492">
        <f>+[7]cons!I9</f>
        <v>0</v>
      </c>
      <c r="K9" s="369">
        <f>+[7]cons!J9</f>
        <v>0</v>
      </c>
      <c r="L9" s="492">
        <f>+[7]cons!K9</f>
        <v>1</v>
      </c>
      <c r="M9" s="369">
        <f>+[7]cons!L9</f>
        <v>0</v>
      </c>
      <c r="N9" s="492">
        <f>+[7]cons!M9</f>
        <v>1</v>
      </c>
      <c r="O9" s="369">
        <f>+[7]cons!N9</f>
        <v>4</v>
      </c>
      <c r="P9" s="492">
        <f>+[7]cons!O9</f>
        <v>9</v>
      </c>
      <c r="Q9" s="369">
        <f>+[7]cons!P9</f>
        <v>0</v>
      </c>
      <c r="R9" s="492">
        <f>+[7]cons!Q9</f>
        <v>0</v>
      </c>
      <c r="S9" s="369">
        <f>+[7]cons!R9</f>
        <v>0</v>
      </c>
      <c r="T9" s="492">
        <f>+[7]cons!S9</f>
        <v>0</v>
      </c>
      <c r="U9" s="369">
        <f>+[7]cons!T9</f>
        <v>0</v>
      </c>
      <c r="V9" s="492">
        <f>+[7]cons!U9</f>
        <v>0</v>
      </c>
      <c r="W9" s="369">
        <f>+[7]cons!V9</f>
        <v>0</v>
      </c>
      <c r="X9" s="492">
        <f>+[7]cons!W9</f>
        <v>0</v>
      </c>
      <c r="Y9" s="369">
        <f>+[7]cons!X9</f>
        <v>0</v>
      </c>
      <c r="Z9" s="492">
        <f>+[7]cons!Y9</f>
        <v>0</v>
      </c>
      <c r="AA9" s="369">
        <f>+[7]cons!Z9</f>
        <v>1</v>
      </c>
      <c r="AB9" s="492">
        <f>+[7]cons!AA9</f>
        <v>0</v>
      </c>
      <c r="AC9" s="369">
        <f>+[7]cons!AB9</f>
        <v>2</v>
      </c>
      <c r="AD9" s="492">
        <f>+[7]cons!AC9</f>
        <v>2</v>
      </c>
    </row>
    <row r="10" spans="1:30" s="354" customFormat="1">
      <c r="A10" s="578" t="s">
        <v>1057</v>
      </c>
      <c r="B10" s="579">
        <f t="shared" si="0"/>
        <v>5</v>
      </c>
      <c r="C10" s="577">
        <f t="shared" si="2"/>
        <v>0</v>
      </c>
      <c r="D10" s="577">
        <f t="shared" si="2"/>
        <v>5</v>
      </c>
      <c r="E10" s="369">
        <f>+[7]cons!D10</f>
        <v>0</v>
      </c>
      <c r="F10" s="492">
        <f>+[7]cons!E10</f>
        <v>0</v>
      </c>
      <c r="G10" s="369">
        <f>+[7]cons!F10</f>
        <v>0</v>
      </c>
      <c r="H10" s="492">
        <f>+[7]cons!G10</f>
        <v>0</v>
      </c>
      <c r="I10" s="369">
        <f>+[7]cons!H10</f>
        <v>0</v>
      </c>
      <c r="J10" s="492">
        <f>+[7]cons!I10</f>
        <v>0</v>
      </c>
      <c r="K10" s="369">
        <f>+[7]cons!J10</f>
        <v>0</v>
      </c>
      <c r="L10" s="492">
        <f>+[7]cons!K10</f>
        <v>0</v>
      </c>
      <c r="M10" s="369">
        <f>+[7]cons!L10</f>
        <v>0</v>
      </c>
      <c r="N10" s="492">
        <f>+[7]cons!M10</f>
        <v>5</v>
      </c>
      <c r="O10" s="369">
        <f>+[7]cons!N10</f>
        <v>0</v>
      </c>
      <c r="P10" s="492">
        <f>+[7]cons!O10</f>
        <v>0</v>
      </c>
      <c r="Q10" s="369">
        <f>+[7]cons!P10</f>
        <v>0</v>
      </c>
      <c r="R10" s="492">
        <f>+[7]cons!Q10</f>
        <v>0</v>
      </c>
      <c r="S10" s="369">
        <f>+[7]cons!R10</f>
        <v>0</v>
      </c>
      <c r="T10" s="492">
        <f>+[7]cons!S10</f>
        <v>0</v>
      </c>
      <c r="U10" s="369">
        <f>+[7]cons!T10</f>
        <v>0</v>
      </c>
      <c r="V10" s="492">
        <f>+[7]cons!U10</f>
        <v>0</v>
      </c>
      <c r="W10" s="369">
        <f>+[7]cons!V10</f>
        <v>0</v>
      </c>
      <c r="X10" s="492">
        <f>+[7]cons!W10</f>
        <v>0</v>
      </c>
      <c r="Y10" s="369">
        <f>+[7]cons!X10</f>
        <v>0</v>
      </c>
      <c r="Z10" s="492">
        <f>+[7]cons!Y10</f>
        <v>0</v>
      </c>
      <c r="AA10" s="369">
        <f>+[7]cons!Z10</f>
        <v>0</v>
      </c>
      <c r="AB10" s="492">
        <f>+[7]cons!AA10</f>
        <v>0</v>
      </c>
      <c r="AC10" s="369">
        <f>+[7]cons!AB10</f>
        <v>0</v>
      </c>
      <c r="AD10" s="492">
        <f>+[7]cons!AC10</f>
        <v>0</v>
      </c>
    </row>
    <row r="11" spans="1:30" s="354" customFormat="1">
      <c r="A11" s="578" t="s">
        <v>1058</v>
      </c>
      <c r="B11" s="579">
        <f t="shared" si="0"/>
        <v>1</v>
      </c>
      <c r="C11" s="577">
        <f t="shared" si="2"/>
        <v>0</v>
      </c>
      <c r="D11" s="577">
        <f t="shared" si="2"/>
        <v>1</v>
      </c>
      <c r="E11" s="369">
        <f>+[7]cons!D11</f>
        <v>0</v>
      </c>
      <c r="F11" s="492">
        <f>+[7]cons!E11</f>
        <v>0</v>
      </c>
      <c r="G11" s="369">
        <f>+[7]cons!F11</f>
        <v>0</v>
      </c>
      <c r="H11" s="492">
        <f>+[7]cons!G11</f>
        <v>0</v>
      </c>
      <c r="I11" s="369">
        <f>+[7]cons!H11</f>
        <v>0</v>
      </c>
      <c r="J11" s="492">
        <f>+[7]cons!I11</f>
        <v>0</v>
      </c>
      <c r="K11" s="369">
        <f>+[7]cons!J11</f>
        <v>0</v>
      </c>
      <c r="L11" s="492">
        <f>+[7]cons!K11</f>
        <v>0</v>
      </c>
      <c r="M11" s="369">
        <f>+[7]cons!L11</f>
        <v>0</v>
      </c>
      <c r="N11" s="492">
        <f>+[7]cons!M11</f>
        <v>0</v>
      </c>
      <c r="O11" s="369">
        <f>+[7]cons!N11</f>
        <v>0</v>
      </c>
      <c r="P11" s="492">
        <f>+[7]cons!O11</f>
        <v>1</v>
      </c>
      <c r="Q11" s="369">
        <f>+[7]cons!P11</f>
        <v>0</v>
      </c>
      <c r="R11" s="492">
        <f>+[7]cons!Q11</f>
        <v>0</v>
      </c>
      <c r="S11" s="369">
        <f>+[7]cons!R11</f>
        <v>0</v>
      </c>
      <c r="T11" s="492">
        <f>+[7]cons!S11</f>
        <v>0</v>
      </c>
      <c r="U11" s="369">
        <f>+[7]cons!T11</f>
        <v>0</v>
      </c>
      <c r="V11" s="492">
        <f>+[7]cons!U11</f>
        <v>0</v>
      </c>
      <c r="W11" s="369">
        <f>+[7]cons!V11</f>
        <v>0</v>
      </c>
      <c r="X11" s="492">
        <f>+[7]cons!W11</f>
        <v>0</v>
      </c>
      <c r="Y11" s="369">
        <f>+[7]cons!X11</f>
        <v>0</v>
      </c>
      <c r="Z11" s="492">
        <f>+[7]cons!Y11</f>
        <v>0</v>
      </c>
      <c r="AA11" s="369">
        <f>+[7]cons!Z11</f>
        <v>0</v>
      </c>
      <c r="AB11" s="492">
        <f>+[7]cons!AA11</f>
        <v>0</v>
      </c>
      <c r="AC11" s="369">
        <f>+[7]cons!AB11</f>
        <v>0</v>
      </c>
      <c r="AD11" s="492">
        <f>+[7]cons!AC11</f>
        <v>0</v>
      </c>
    </row>
    <row r="12" spans="1:30" s="354" customFormat="1">
      <c r="A12" s="578" t="s">
        <v>1059</v>
      </c>
      <c r="B12" s="579">
        <f t="shared" si="0"/>
        <v>0</v>
      </c>
      <c r="C12" s="577">
        <f t="shared" si="2"/>
        <v>0</v>
      </c>
      <c r="D12" s="577">
        <f t="shared" si="2"/>
        <v>0</v>
      </c>
      <c r="E12" s="369">
        <f>+[7]cons!D12</f>
        <v>0</v>
      </c>
      <c r="F12" s="492">
        <f>+[7]cons!E12</f>
        <v>0</v>
      </c>
      <c r="G12" s="369">
        <f>+[7]cons!F12</f>
        <v>0</v>
      </c>
      <c r="H12" s="492">
        <f>+[7]cons!G12</f>
        <v>0</v>
      </c>
      <c r="I12" s="369">
        <f>+[7]cons!H12</f>
        <v>0</v>
      </c>
      <c r="J12" s="492">
        <f>+[7]cons!I12</f>
        <v>0</v>
      </c>
      <c r="K12" s="369">
        <f>+[7]cons!J12</f>
        <v>0</v>
      </c>
      <c r="L12" s="492">
        <f>+[7]cons!K12</f>
        <v>0</v>
      </c>
      <c r="M12" s="369">
        <f>+[7]cons!L12</f>
        <v>0</v>
      </c>
      <c r="N12" s="492">
        <f>+[7]cons!M12</f>
        <v>0</v>
      </c>
      <c r="O12" s="369">
        <f>+[7]cons!N12</f>
        <v>0</v>
      </c>
      <c r="P12" s="492">
        <f>+[7]cons!O12</f>
        <v>0</v>
      </c>
      <c r="Q12" s="369">
        <f>+[7]cons!P12</f>
        <v>0</v>
      </c>
      <c r="R12" s="492">
        <f>+[7]cons!Q12</f>
        <v>0</v>
      </c>
      <c r="S12" s="369">
        <f>+[7]cons!R12</f>
        <v>0</v>
      </c>
      <c r="T12" s="492">
        <f>+[7]cons!S12</f>
        <v>0</v>
      </c>
      <c r="U12" s="369">
        <f>+[7]cons!T12</f>
        <v>0</v>
      </c>
      <c r="V12" s="492">
        <f>+[7]cons!U12</f>
        <v>0</v>
      </c>
      <c r="W12" s="369">
        <f>+[7]cons!V12</f>
        <v>0</v>
      </c>
      <c r="X12" s="492">
        <f>+[7]cons!W12</f>
        <v>0</v>
      </c>
      <c r="Y12" s="369">
        <f>+[7]cons!X12</f>
        <v>0</v>
      </c>
      <c r="Z12" s="492">
        <f>+[7]cons!Y12</f>
        <v>0</v>
      </c>
      <c r="AA12" s="369">
        <f>+[7]cons!Z12</f>
        <v>0</v>
      </c>
      <c r="AB12" s="492">
        <f>+[7]cons!AA12</f>
        <v>0</v>
      </c>
      <c r="AC12" s="369">
        <f>+[7]cons!AB12</f>
        <v>0</v>
      </c>
      <c r="AD12" s="492">
        <f>+[7]cons!AC12</f>
        <v>0</v>
      </c>
    </row>
    <row r="13" spans="1:30" s="354" customFormat="1">
      <c r="A13" s="578" t="s">
        <v>1060</v>
      </c>
      <c r="B13" s="579">
        <f t="shared" si="0"/>
        <v>0</v>
      </c>
      <c r="C13" s="577">
        <f t="shared" si="2"/>
        <v>0</v>
      </c>
      <c r="D13" s="577">
        <f t="shared" si="2"/>
        <v>0</v>
      </c>
      <c r="E13" s="369">
        <f>+[7]cons!D13</f>
        <v>0</v>
      </c>
      <c r="F13" s="492">
        <f>+[7]cons!E13</f>
        <v>0</v>
      </c>
      <c r="G13" s="369">
        <f>+[7]cons!F13</f>
        <v>0</v>
      </c>
      <c r="H13" s="492">
        <f>+[7]cons!G13</f>
        <v>0</v>
      </c>
      <c r="I13" s="369">
        <f>+[7]cons!H13</f>
        <v>0</v>
      </c>
      <c r="J13" s="492">
        <f>+[7]cons!I13</f>
        <v>0</v>
      </c>
      <c r="K13" s="369">
        <f>+[7]cons!J13</f>
        <v>0</v>
      </c>
      <c r="L13" s="492">
        <f>+[7]cons!K13</f>
        <v>0</v>
      </c>
      <c r="M13" s="369">
        <f>+[7]cons!L13</f>
        <v>0</v>
      </c>
      <c r="N13" s="492">
        <f>+[7]cons!M13</f>
        <v>0</v>
      </c>
      <c r="O13" s="369">
        <f>+[7]cons!N13</f>
        <v>0</v>
      </c>
      <c r="P13" s="492">
        <f>+[7]cons!O13</f>
        <v>0</v>
      </c>
      <c r="Q13" s="369">
        <f>+[7]cons!P13</f>
        <v>0</v>
      </c>
      <c r="R13" s="492">
        <f>+[7]cons!Q13</f>
        <v>0</v>
      </c>
      <c r="S13" s="369">
        <f>+[7]cons!R13</f>
        <v>0</v>
      </c>
      <c r="T13" s="492">
        <f>+[7]cons!S13</f>
        <v>0</v>
      </c>
      <c r="U13" s="369">
        <f>+[7]cons!T13</f>
        <v>0</v>
      </c>
      <c r="V13" s="492">
        <f>+[7]cons!U13</f>
        <v>0</v>
      </c>
      <c r="W13" s="369">
        <f>+[7]cons!V13</f>
        <v>0</v>
      </c>
      <c r="X13" s="492">
        <f>+[7]cons!W13</f>
        <v>0</v>
      </c>
      <c r="Y13" s="369">
        <f>+[7]cons!X13</f>
        <v>0</v>
      </c>
      <c r="Z13" s="492">
        <f>+[7]cons!Y13</f>
        <v>0</v>
      </c>
      <c r="AA13" s="369">
        <f>+[7]cons!Z13</f>
        <v>0</v>
      </c>
      <c r="AB13" s="492">
        <f>+[7]cons!AA13</f>
        <v>0</v>
      </c>
      <c r="AC13" s="369">
        <f>+[7]cons!AB13</f>
        <v>0</v>
      </c>
      <c r="AD13" s="492">
        <f>+[7]cons!AC13</f>
        <v>0</v>
      </c>
    </row>
    <row r="14" spans="1:30" s="354" customFormat="1">
      <c r="A14" s="578" t="s">
        <v>130</v>
      </c>
      <c r="B14" s="579">
        <f t="shared" ref="B14:B42" si="3">SUM(C14:D14)</f>
        <v>0</v>
      </c>
      <c r="C14" s="577">
        <f t="shared" ref="C14:C42" si="4">+E14+G14+I14+K14+M14+O14+Q14+S14+U14+W14+Y14+AA14+AC14</f>
        <v>0</v>
      </c>
      <c r="D14" s="577">
        <f t="shared" ref="D14:D42" si="5">+F14+H14+J14+L14+N14+P14+R14+T14+V14+X14+Z14+AB14+AD14</f>
        <v>0</v>
      </c>
      <c r="E14" s="369">
        <f>+[7]cons!D14</f>
        <v>0</v>
      </c>
      <c r="F14" s="492">
        <f>+[7]cons!E14</f>
        <v>0</v>
      </c>
      <c r="G14" s="369">
        <f>+[7]cons!F14</f>
        <v>0</v>
      </c>
      <c r="H14" s="492">
        <f>+[7]cons!G14</f>
        <v>0</v>
      </c>
      <c r="I14" s="369">
        <f>+[7]cons!H14</f>
        <v>0</v>
      </c>
      <c r="J14" s="492">
        <f>+[7]cons!I14</f>
        <v>0</v>
      </c>
      <c r="K14" s="369">
        <f>+[7]cons!J14</f>
        <v>0</v>
      </c>
      <c r="L14" s="492">
        <f>+[7]cons!K14</f>
        <v>0</v>
      </c>
      <c r="M14" s="369">
        <f>+[7]cons!L14</f>
        <v>0</v>
      </c>
      <c r="N14" s="492">
        <f>+[7]cons!M14</f>
        <v>0</v>
      </c>
      <c r="O14" s="369">
        <f>+[7]cons!N14</f>
        <v>0</v>
      </c>
      <c r="P14" s="492">
        <f>+[7]cons!O14</f>
        <v>0</v>
      </c>
      <c r="Q14" s="369">
        <f>+[7]cons!P14</f>
        <v>0</v>
      </c>
      <c r="R14" s="492">
        <f>+[7]cons!Q14</f>
        <v>0</v>
      </c>
      <c r="S14" s="369">
        <f>+[7]cons!R14</f>
        <v>0</v>
      </c>
      <c r="T14" s="492">
        <f>+[7]cons!S14</f>
        <v>0</v>
      </c>
      <c r="U14" s="369">
        <f>+[7]cons!T14</f>
        <v>0</v>
      </c>
      <c r="V14" s="492">
        <f>+[7]cons!U14</f>
        <v>0</v>
      </c>
      <c r="W14" s="369">
        <f>+[7]cons!V14</f>
        <v>0</v>
      </c>
      <c r="X14" s="492">
        <f>+[7]cons!W14</f>
        <v>0</v>
      </c>
      <c r="Y14" s="369">
        <f>+[7]cons!X14</f>
        <v>0</v>
      </c>
      <c r="Z14" s="492">
        <f>+[7]cons!Y14</f>
        <v>0</v>
      </c>
      <c r="AA14" s="369">
        <f>+[7]cons!Z14</f>
        <v>0</v>
      </c>
      <c r="AB14" s="492">
        <f>+[7]cons!AA14</f>
        <v>0</v>
      </c>
      <c r="AC14" s="369">
        <f>+[7]cons!AB14</f>
        <v>0</v>
      </c>
      <c r="AD14" s="492">
        <f>+[7]cons!AC14</f>
        <v>0</v>
      </c>
    </row>
    <row r="15" spans="1:30" s="354" customFormat="1">
      <c r="A15" s="578" t="s">
        <v>1061</v>
      </c>
      <c r="B15" s="579">
        <f t="shared" si="3"/>
        <v>1</v>
      </c>
      <c r="C15" s="577">
        <f t="shared" si="4"/>
        <v>0</v>
      </c>
      <c r="D15" s="577">
        <f t="shared" si="5"/>
        <v>1</v>
      </c>
      <c r="E15" s="369">
        <f>+[7]cons!D15</f>
        <v>0</v>
      </c>
      <c r="F15" s="492">
        <f>+[7]cons!E15</f>
        <v>0</v>
      </c>
      <c r="G15" s="369">
        <f>+[7]cons!F15</f>
        <v>0</v>
      </c>
      <c r="H15" s="492">
        <f>+[7]cons!G15</f>
        <v>0</v>
      </c>
      <c r="I15" s="369">
        <f>+[7]cons!H15</f>
        <v>0</v>
      </c>
      <c r="J15" s="492">
        <f>+[7]cons!I15</f>
        <v>0</v>
      </c>
      <c r="K15" s="369">
        <f>+[7]cons!J15</f>
        <v>0</v>
      </c>
      <c r="L15" s="492">
        <f>+[7]cons!K15</f>
        <v>0</v>
      </c>
      <c r="M15" s="369">
        <f>+[7]cons!L15</f>
        <v>0</v>
      </c>
      <c r="N15" s="492">
        <f>+[7]cons!M15</f>
        <v>0</v>
      </c>
      <c r="O15" s="369">
        <f>+[7]cons!N15</f>
        <v>0</v>
      </c>
      <c r="P15" s="492">
        <f>+[7]cons!O15</f>
        <v>0</v>
      </c>
      <c r="Q15" s="369">
        <f>+[7]cons!P15</f>
        <v>0</v>
      </c>
      <c r="R15" s="492">
        <f>+[7]cons!Q15</f>
        <v>0</v>
      </c>
      <c r="S15" s="369">
        <f>+[7]cons!R15</f>
        <v>0</v>
      </c>
      <c r="T15" s="492">
        <f>+[7]cons!S15</f>
        <v>0</v>
      </c>
      <c r="U15" s="369">
        <f>+[7]cons!T15</f>
        <v>0</v>
      </c>
      <c r="V15" s="492">
        <f>+[7]cons!U15</f>
        <v>0</v>
      </c>
      <c r="W15" s="369">
        <f>+[7]cons!V15</f>
        <v>0</v>
      </c>
      <c r="X15" s="492">
        <f>+[7]cons!W15</f>
        <v>0</v>
      </c>
      <c r="Y15" s="369">
        <f>+[7]cons!X15</f>
        <v>0</v>
      </c>
      <c r="Z15" s="492">
        <f>+[7]cons!Y15</f>
        <v>0</v>
      </c>
      <c r="AA15" s="369">
        <f>+[7]cons!Z15</f>
        <v>0</v>
      </c>
      <c r="AB15" s="492">
        <f>+[7]cons!AA15</f>
        <v>0</v>
      </c>
      <c r="AC15" s="369">
        <f>+[7]cons!AB15</f>
        <v>0</v>
      </c>
      <c r="AD15" s="492">
        <f>+[7]cons!AC15</f>
        <v>1</v>
      </c>
    </row>
    <row r="16" spans="1:30" s="354" customFormat="1">
      <c r="A16" s="578" t="s">
        <v>1062</v>
      </c>
      <c r="B16" s="579">
        <f t="shared" si="3"/>
        <v>0</v>
      </c>
      <c r="C16" s="577">
        <f t="shared" si="4"/>
        <v>0</v>
      </c>
      <c r="D16" s="577">
        <f t="shared" si="5"/>
        <v>0</v>
      </c>
      <c r="E16" s="369">
        <f>+[7]cons!D16</f>
        <v>0</v>
      </c>
      <c r="F16" s="492">
        <f>+[7]cons!E16</f>
        <v>0</v>
      </c>
      <c r="G16" s="369">
        <f>+[7]cons!F16</f>
        <v>0</v>
      </c>
      <c r="H16" s="492">
        <f>+[7]cons!G16</f>
        <v>0</v>
      </c>
      <c r="I16" s="369">
        <f>+[7]cons!H16</f>
        <v>0</v>
      </c>
      <c r="J16" s="492">
        <f>+[7]cons!I16</f>
        <v>0</v>
      </c>
      <c r="K16" s="369">
        <f>+[7]cons!J16</f>
        <v>0</v>
      </c>
      <c r="L16" s="492">
        <f>+[7]cons!K16</f>
        <v>0</v>
      </c>
      <c r="M16" s="369">
        <f>+[7]cons!L16</f>
        <v>0</v>
      </c>
      <c r="N16" s="492">
        <f>+[7]cons!M16</f>
        <v>0</v>
      </c>
      <c r="O16" s="369">
        <f>+[7]cons!N16</f>
        <v>0</v>
      </c>
      <c r="P16" s="492">
        <f>+[7]cons!O16</f>
        <v>0</v>
      </c>
      <c r="Q16" s="369">
        <f>+[7]cons!P16</f>
        <v>0</v>
      </c>
      <c r="R16" s="492">
        <f>+[7]cons!Q16</f>
        <v>0</v>
      </c>
      <c r="S16" s="369">
        <f>+[7]cons!R16</f>
        <v>0</v>
      </c>
      <c r="T16" s="492">
        <f>+[7]cons!S16</f>
        <v>0</v>
      </c>
      <c r="U16" s="369">
        <f>+[7]cons!T16</f>
        <v>0</v>
      </c>
      <c r="V16" s="492">
        <f>+[7]cons!U16</f>
        <v>0</v>
      </c>
      <c r="W16" s="369">
        <f>+[7]cons!V16</f>
        <v>0</v>
      </c>
      <c r="X16" s="492">
        <f>+[7]cons!W16</f>
        <v>0</v>
      </c>
      <c r="Y16" s="369">
        <f>+[7]cons!X16</f>
        <v>0</v>
      </c>
      <c r="Z16" s="492">
        <f>+[7]cons!Y16</f>
        <v>0</v>
      </c>
      <c r="AA16" s="369">
        <f>+[7]cons!Z16</f>
        <v>0</v>
      </c>
      <c r="AB16" s="492">
        <f>+[7]cons!AA16</f>
        <v>0</v>
      </c>
      <c r="AC16" s="369">
        <f>+[7]cons!AB16</f>
        <v>0</v>
      </c>
      <c r="AD16" s="492">
        <f>+[7]cons!AC16</f>
        <v>0</v>
      </c>
    </row>
    <row r="17" spans="1:30" s="354" customFormat="1">
      <c r="A17" s="578" t="s">
        <v>1063</v>
      </c>
      <c r="B17" s="579">
        <f t="shared" si="3"/>
        <v>35</v>
      </c>
      <c r="C17" s="577">
        <f t="shared" si="4"/>
        <v>1</v>
      </c>
      <c r="D17" s="577">
        <f t="shared" si="5"/>
        <v>34</v>
      </c>
      <c r="E17" s="369">
        <f>+[7]cons!D17</f>
        <v>0</v>
      </c>
      <c r="F17" s="492">
        <f>+[7]cons!E17</f>
        <v>0</v>
      </c>
      <c r="G17" s="369">
        <f>+[7]cons!F17</f>
        <v>0</v>
      </c>
      <c r="H17" s="492">
        <f>+[7]cons!G17</f>
        <v>0</v>
      </c>
      <c r="I17" s="369">
        <f>+[7]cons!H17</f>
        <v>0</v>
      </c>
      <c r="J17" s="492">
        <f>+[7]cons!I17</f>
        <v>0</v>
      </c>
      <c r="K17" s="369">
        <f>+[7]cons!J17</f>
        <v>0</v>
      </c>
      <c r="L17" s="492">
        <f>+[7]cons!K17</f>
        <v>0</v>
      </c>
      <c r="M17" s="369">
        <f>+[7]cons!L17</f>
        <v>0</v>
      </c>
      <c r="N17" s="492">
        <f>+[7]cons!M17</f>
        <v>6</v>
      </c>
      <c r="O17" s="369">
        <f>+[7]cons!N17</f>
        <v>0</v>
      </c>
      <c r="P17" s="492">
        <f>+[7]cons!O17</f>
        <v>1</v>
      </c>
      <c r="Q17" s="369">
        <f>+[7]cons!P17</f>
        <v>1</v>
      </c>
      <c r="R17" s="492">
        <f>+[7]cons!Q17</f>
        <v>0</v>
      </c>
      <c r="S17" s="369">
        <f>+[7]cons!R17</f>
        <v>0</v>
      </c>
      <c r="T17" s="492">
        <f>+[7]cons!S17</f>
        <v>0</v>
      </c>
      <c r="U17" s="369">
        <f>+[7]cons!T17</f>
        <v>0</v>
      </c>
      <c r="V17" s="492">
        <f>+[7]cons!U17</f>
        <v>0</v>
      </c>
      <c r="W17" s="369">
        <f>+[7]cons!V17</f>
        <v>0</v>
      </c>
      <c r="X17" s="492">
        <f>+[7]cons!W17</f>
        <v>0</v>
      </c>
      <c r="Y17" s="369">
        <f>+[7]cons!X17</f>
        <v>0</v>
      </c>
      <c r="Z17" s="492">
        <f>+[7]cons!Y17</f>
        <v>0</v>
      </c>
      <c r="AA17" s="369">
        <f>+[7]cons!Z17</f>
        <v>0</v>
      </c>
      <c r="AB17" s="492">
        <f>+[7]cons!AA17</f>
        <v>21</v>
      </c>
      <c r="AC17" s="369">
        <f>+[7]cons!AB17</f>
        <v>0</v>
      </c>
      <c r="AD17" s="492">
        <f>+[7]cons!AC17</f>
        <v>6</v>
      </c>
    </row>
    <row r="18" spans="1:30" s="354" customFormat="1">
      <c r="A18" s="578" t="s">
        <v>1064</v>
      </c>
      <c r="B18" s="579">
        <f t="shared" si="3"/>
        <v>1745</v>
      </c>
      <c r="C18" s="577">
        <f t="shared" si="4"/>
        <v>475</v>
      </c>
      <c r="D18" s="577">
        <f t="shared" si="5"/>
        <v>1270</v>
      </c>
      <c r="E18" s="369">
        <f>+[7]cons!D18</f>
        <v>34</v>
      </c>
      <c r="F18" s="492">
        <f>+[7]cons!E18</f>
        <v>138</v>
      </c>
      <c r="G18" s="369">
        <f>+[7]cons!F18</f>
        <v>28</v>
      </c>
      <c r="H18" s="492">
        <f>+[7]cons!G18</f>
        <v>81</v>
      </c>
      <c r="I18" s="369">
        <f>+[7]cons!H18</f>
        <v>30</v>
      </c>
      <c r="J18" s="492">
        <f>+[7]cons!I18</f>
        <v>73</v>
      </c>
      <c r="K18" s="369">
        <f>+[7]cons!J18</f>
        <v>31</v>
      </c>
      <c r="L18" s="492">
        <f>+[7]cons!K18</f>
        <v>61</v>
      </c>
      <c r="M18" s="369">
        <f>+[7]cons!L18</f>
        <v>0</v>
      </c>
      <c r="N18" s="492">
        <f>+[7]cons!M18</f>
        <v>50</v>
      </c>
      <c r="O18" s="369">
        <f>+[7]cons!N18</f>
        <v>5</v>
      </c>
      <c r="P18" s="492">
        <f>+[7]cons!O18</f>
        <v>41</v>
      </c>
      <c r="Q18" s="369">
        <f>+[7]cons!P18</f>
        <v>76</v>
      </c>
      <c r="R18" s="492">
        <f>+[7]cons!Q18</f>
        <v>146</v>
      </c>
      <c r="S18" s="369">
        <f>+[7]cons!R18</f>
        <v>110</v>
      </c>
      <c r="T18" s="492">
        <f>+[7]cons!S18</f>
        <v>211</v>
      </c>
      <c r="U18" s="369">
        <f>+[7]cons!T18</f>
        <v>23</v>
      </c>
      <c r="V18" s="492">
        <f>+[7]cons!U18</f>
        <v>82</v>
      </c>
      <c r="W18" s="369">
        <f>+[7]cons!V18</f>
        <v>60</v>
      </c>
      <c r="X18" s="492">
        <f>+[7]cons!W18</f>
        <v>160</v>
      </c>
      <c r="Y18" s="369">
        <f>+[7]cons!X18</f>
        <v>8</v>
      </c>
      <c r="Z18" s="492">
        <f>+[7]cons!Y18</f>
        <v>25</v>
      </c>
      <c r="AA18" s="369">
        <f>+[7]cons!Z18</f>
        <v>39</v>
      </c>
      <c r="AB18" s="492">
        <f>+[7]cons!AA18</f>
        <v>86</v>
      </c>
      <c r="AC18" s="369">
        <f>+[7]cons!AB18</f>
        <v>31</v>
      </c>
      <c r="AD18" s="492">
        <f>+[7]cons!AC18</f>
        <v>116</v>
      </c>
    </row>
    <row r="19" spans="1:30" s="354" customFormat="1">
      <c r="A19" s="578" t="s">
        <v>1065</v>
      </c>
      <c r="B19" s="579">
        <f t="shared" si="3"/>
        <v>18</v>
      </c>
      <c r="C19" s="577">
        <f t="shared" si="4"/>
        <v>0</v>
      </c>
      <c r="D19" s="577">
        <f t="shared" si="5"/>
        <v>18</v>
      </c>
      <c r="E19" s="369">
        <f>+[7]cons!D19</f>
        <v>0</v>
      </c>
      <c r="F19" s="492">
        <f>+[7]cons!E19</f>
        <v>5</v>
      </c>
      <c r="G19" s="369">
        <f>+[7]cons!F19</f>
        <v>0</v>
      </c>
      <c r="H19" s="492">
        <f>+[7]cons!G19</f>
        <v>0</v>
      </c>
      <c r="I19" s="369">
        <f>+[7]cons!H19</f>
        <v>0</v>
      </c>
      <c r="J19" s="492">
        <f>+[7]cons!I19</f>
        <v>0</v>
      </c>
      <c r="K19" s="369">
        <f>+[7]cons!J19</f>
        <v>0</v>
      </c>
      <c r="L19" s="492">
        <f>+[7]cons!K19</f>
        <v>0</v>
      </c>
      <c r="M19" s="369">
        <f>+[7]cons!L19</f>
        <v>0</v>
      </c>
      <c r="N19" s="492">
        <f>+[7]cons!M19</f>
        <v>9</v>
      </c>
      <c r="O19" s="369">
        <f>+[7]cons!N19</f>
        <v>0</v>
      </c>
      <c r="P19" s="492">
        <f>+[7]cons!O19</f>
        <v>3</v>
      </c>
      <c r="Q19" s="369">
        <f>+[7]cons!P19</f>
        <v>0</v>
      </c>
      <c r="R19" s="492">
        <f>+[7]cons!Q19</f>
        <v>0</v>
      </c>
      <c r="S19" s="369">
        <f>+[7]cons!R19</f>
        <v>0</v>
      </c>
      <c r="T19" s="492">
        <f>+[7]cons!S19</f>
        <v>1</v>
      </c>
      <c r="U19" s="369">
        <f>+[7]cons!T19</f>
        <v>0</v>
      </c>
      <c r="V19" s="492">
        <f>+[7]cons!U19</f>
        <v>0</v>
      </c>
      <c r="W19" s="369">
        <f>+[7]cons!V19</f>
        <v>0</v>
      </c>
      <c r="X19" s="492">
        <f>+[7]cons!W19</f>
        <v>0</v>
      </c>
      <c r="Y19" s="369">
        <f>+[7]cons!X19</f>
        <v>0</v>
      </c>
      <c r="Z19" s="492">
        <f>+[7]cons!Y19</f>
        <v>0</v>
      </c>
      <c r="AA19" s="369">
        <f>+[7]cons!Z19</f>
        <v>0</v>
      </c>
      <c r="AB19" s="492">
        <f>+[7]cons!AA19</f>
        <v>0</v>
      </c>
      <c r="AC19" s="369">
        <f>+[7]cons!AB19</f>
        <v>0</v>
      </c>
      <c r="AD19" s="492">
        <f>+[7]cons!AC19</f>
        <v>0</v>
      </c>
    </row>
    <row r="20" spans="1:30" s="354" customFormat="1">
      <c r="A20" s="578" t="s">
        <v>131</v>
      </c>
      <c r="B20" s="579">
        <f t="shared" si="3"/>
        <v>1</v>
      </c>
      <c r="C20" s="577">
        <f t="shared" si="4"/>
        <v>0</v>
      </c>
      <c r="D20" s="577">
        <f t="shared" si="5"/>
        <v>1</v>
      </c>
      <c r="E20" s="369">
        <f>+[7]cons!D20</f>
        <v>0</v>
      </c>
      <c r="F20" s="492">
        <f>+[7]cons!E20</f>
        <v>0</v>
      </c>
      <c r="G20" s="369">
        <f>+[7]cons!F20</f>
        <v>0</v>
      </c>
      <c r="H20" s="492">
        <f>+[7]cons!G20</f>
        <v>1</v>
      </c>
      <c r="I20" s="369">
        <f>+[7]cons!H20</f>
        <v>0</v>
      </c>
      <c r="J20" s="492">
        <f>+[7]cons!I20</f>
        <v>0</v>
      </c>
      <c r="K20" s="369">
        <f>+[7]cons!J20</f>
        <v>0</v>
      </c>
      <c r="L20" s="492">
        <f>+[7]cons!K20</f>
        <v>0</v>
      </c>
      <c r="M20" s="369">
        <f>+[7]cons!L20</f>
        <v>0</v>
      </c>
      <c r="N20" s="492">
        <f>+[7]cons!M20</f>
        <v>0</v>
      </c>
      <c r="O20" s="369">
        <f>+[7]cons!N20</f>
        <v>0</v>
      </c>
      <c r="P20" s="492">
        <f>+[7]cons!O20</f>
        <v>0</v>
      </c>
      <c r="Q20" s="369">
        <f>+[7]cons!P20</f>
        <v>0</v>
      </c>
      <c r="R20" s="492">
        <f>+[7]cons!Q20</f>
        <v>0</v>
      </c>
      <c r="S20" s="369">
        <f>+[7]cons!R20</f>
        <v>0</v>
      </c>
      <c r="T20" s="492">
        <f>+[7]cons!S20</f>
        <v>0</v>
      </c>
      <c r="U20" s="369">
        <f>+[7]cons!T20</f>
        <v>0</v>
      </c>
      <c r="V20" s="492">
        <f>+[7]cons!U20</f>
        <v>0</v>
      </c>
      <c r="W20" s="369">
        <f>+[7]cons!V20</f>
        <v>0</v>
      </c>
      <c r="X20" s="492">
        <f>+[7]cons!W20</f>
        <v>0</v>
      </c>
      <c r="Y20" s="369">
        <f>+[7]cons!X20</f>
        <v>0</v>
      </c>
      <c r="Z20" s="492">
        <f>+[7]cons!Y20</f>
        <v>0</v>
      </c>
      <c r="AA20" s="369">
        <f>+[7]cons!Z20</f>
        <v>0</v>
      </c>
      <c r="AB20" s="492">
        <f>+[7]cons!AA20</f>
        <v>0</v>
      </c>
      <c r="AC20" s="369">
        <f>+[7]cons!AB20</f>
        <v>0</v>
      </c>
      <c r="AD20" s="492">
        <f>+[7]cons!AC20</f>
        <v>0</v>
      </c>
    </row>
    <row r="21" spans="1:30" s="354" customFormat="1">
      <c r="A21" s="578" t="s">
        <v>1066</v>
      </c>
      <c r="B21" s="579">
        <f t="shared" si="3"/>
        <v>0</v>
      </c>
      <c r="C21" s="577">
        <f t="shared" si="4"/>
        <v>0</v>
      </c>
      <c r="D21" s="577">
        <f t="shared" si="5"/>
        <v>0</v>
      </c>
      <c r="E21" s="369">
        <f>+[7]cons!D21</f>
        <v>0</v>
      </c>
      <c r="F21" s="492">
        <f>+[7]cons!E21</f>
        <v>0</v>
      </c>
      <c r="G21" s="369">
        <f>+[7]cons!F21</f>
        <v>0</v>
      </c>
      <c r="H21" s="492">
        <f>+[7]cons!G21</f>
        <v>0</v>
      </c>
      <c r="I21" s="369">
        <f>+[7]cons!H21</f>
        <v>0</v>
      </c>
      <c r="J21" s="492">
        <f>+[7]cons!I21</f>
        <v>0</v>
      </c>
      <c r="K21" s="369">
        <f>+[7]cons!J21</f>
        <v>0</v>
      </c>
      <c r="L21" s="492">
        <f>+[7]cons!K21</f>
        <v>0</v>
      </c>
      <c r="M21" s="369">
        <f>+[7]cons!L21</f>
        <v>0</v>
      </c>
      <c r="N21" s="492">
        <f>+[7]cons!M21</f>
        <v>0</v>
      </c>
      <c r="O21" s="369">
        <f>+[7]cons!N21</f>
        <v>0</v>
      </c>
      <c r="P21" s="492">
        <f>+[7]cons!O21</f>
        <v>0</v>
      </c>
      <c r="Q21" s="369">
        <f>+[7]cons!P21</f>
        <v>0</v>
      </c>
      <c r="R21" s="492">
        <f>+[7]cons!Q21</f>
        <v>0</v>
      </c>
      <c r="S21" s="369">
        <f>+[7]cons!R21</f>
        <v>0</v>
      </c>
      <c r="T21" s="492">
        <f>+[7]cons!S21</f>
        <v>0</v>
      </c>
      <c r="U21" s="369">
        <f>+[7]cons!T21</f>
        <v>0</v>
      </c>
      <c r="V21" s="492">
        <f>+[7]cons!U21</f>
        <v>0</v>
      </c>
      <c r="W21" s="369">
        <f>+[7]cons!V21</f>
        <v>0</v>
      </c>
      <c r="X21" s="492">
        <f>+[7]cons!W21</f>
        <v>0</v>
      </c>
      <c r="Y21" s="369">
        <f>+[7]cons!X21</f>
        <v>0</v>
      </c>
      <c r="Z21" s="492">
        <f>+[7]cons!Y21</f>
        <v>0</v>
      </c>
      <c r="AA21" s="369">
        <f>+[7]cons!Z21</f>
        <v>0</v>
      </c>
      <c r="AB21" s="492">
        <f>+[7]cons!AA21</f>
        <v>0</v>
      </c>
      <c r="AC21" s="369">
        <f>+[7]cons!AB21</f>
        <v>0</v>
      </c>
      <c r="AD21" s="492">
        <f>+[7]cons!AC21</f>
        <v>0</v>
      </c>
    </row>
    <row r="22" spans="1:30" s="354" customFormat="1">
      <c r="A22" s="578" t="s">
        <v>1067</v>
      </c>
      <c r="B22" s="579">
        <f t="shared" si="3"/>
        <v>116</v>
      </c>
      <c r="C22" s="577">
        <f t="shared" si="4"/>
        <v>4</v>
      </c>
      <c r="D22" s="577">
        <f t="shared" si="5"/>
        <v>112</v>
      </c>
      <c r="E22" s="369">
        <f>+[7]cons!D22</f>
        <v>0</v>
      </c>
      <c r="F22" s="492">
        <f>+[7]cons!E22</f>
        <v>0</v>
      </c>
      <c r="G22" s="369">
        <f>+[7]cons!F22</f>
        <v>0</v>
      </c>
      <c r="H22" s="492">
        <f>+[7]cons!G22</f>
        <v>2</v>
      </c>
      <c r="I22" s="369">
        <f>+[7]cons!H22</f>
        <v>0</v>
      </c>
      <c r="J22" s="492">
        <f>+[7]cons!I22</f>
        <v>2</v>
      </c>
      <c r="K22" s="369">
        <f>+[7]cons!J22</f>
        <v>1</v>
      </c>
      <c r="L22" s="492">
        <f>+[7]cons!K22</f>
        <v>1</v>
      </c>
      <c r="M22" s="369">
        <f>+[7]cons!L22</f>
        <v>0</v>
      </c>
      <c r="N22" s="492">
        <f>+[7]cons!M22</f>
        <v>4</v>
      </c>
      <c r="O22" s="369">
        <f>+[7]cons!N22</f>
        <v>0</v>
      </c>
      <c r="P22" s="492">
        <f>+[7]cons!O22</f>
        <v>4</v>
      </c>
      <c r="Q22" s="369">
        <f>+[7]cons!P22</f>
        <v>0</v>
      </c>
      <c r="R22" s="492">
        <f>+[7]cons!Q22</f>
        <v>2</v>
      </c>
      <c r="S22" s="369">
        <f>+[7]cons!R22</f>
        <v>2</v>
      </c>
      <c r="T22" s="492">
        <f>+[7]cons!S22</f>
        <v>25</v>
      </c>
      <c r="U22" s="369">
        <f>+[7]cons!T22</f>
        <v>1</v>
      </c>
      <c r="V22" s="492">
        <f>+[7]cons!U22</f>
        <v>5</v>
      </c>
      <c r="W22" s="369">
        <f>+[7]cons!V22</f>
        <v>0</v>
      </c>
      <c r="X22" s="492">
        <f>+[7]cons!W22</f>
        <v>58</v>
      </c>
      <c r="Y22" s="369">
        <f>+[7]cons!X22</f>
        <v>0</v>
      </c>
      <c r="Z22" s="492">
        <f>+[7]cons!Y22</f>
        <v>2</v>
      </c>
      <c r="AA22" s="369">
        <f>+[7]cons!Z22</f>
        <v>0</v>
      </c>
      <c r="AB22" s="492">
        <f>+[7]cons!AA22</f>
        <v>2</v>
      </c>
      <c r="AC22" s="369">
        <f>+[7]cons!AB22</f>
        <v>0</v>
      </c>
      <c r="AD22" s="492">
        <f>+[7]cons!AC22</f>
        <v>5</v>
      </c>
    </row>
    <row r="23" spans="1:30" s="354" customFormat="1">
      <c r="A23" s="578" t="s">
        <v>1068</v>
      </c>
      <c r="B23" s="579">
        <f t="shared" si="3"/>
        <v>1698</v>
      </c>
      <c r="C23" s="577">
        <f t="shared" si="4"/>
        <v>401</v>
      </c>
      <c r="D23" s="577">
        <f t="shared" si="5"/>
        <v>1297</v>
      </c>
      <c r="E23" s="369">
        <f>+[7]cons!D23</f>
        <v>34</v>
      </c>
      <c r="F23" s="492">
        <f>+[7]cons!E23</f>
        <v>141</v>
      </c>
      <c r="G23" s="369">
        <f>+[7]cons!F23</f>
        <v>36</v>
      </c>
      <c r="H23" s="492">
        <f>+[7]cons!G23</f>
        <v>142</v>
      </c>
      <c r="I23" s="369">
        <f>+[7]cons!H23</f>
        <v>27</v>
      </c>
      <c r="J23" s="492">
        <f>+[7]cons!I23</f>
        <v>97</v>
      </c>
      <c r="K23" s="369">
        <f>+[7]cons!J23</f>
        <v>24</v>
      </c>
      <c r="L23" s="492">
        <f>+[7]cons!K23</f>
        <v>57</v>
      </c>
      <c r="M23" s="369">
        <f>+[7]cons!L23</f>
        <v>4</v>
      </c>
      <c r="N23" s="492">
        <f>+[7]cons!M23</f>
        <v>34</v>
      </c>
      <c r="O23" s="369">
        <f>+[7]cons!N23</f>
        <v>5</v>
      </c>
      <c r="P23" s="492">
        <f>+[7]cons!O23</f>
        <v>35</v>
      </c>
      <c r="Q23" s="369">
        <f>+[7]cons!P23</f>
        <v>46</v>
      </c>
      <c r="R23" s="492">
        <f>+[7]cons!Q23</f>
        <v>116</v>
      </c>
      <c r="S23" s="369">
        <f>+[7]cons!R23</f>
        <v>100</v>
      </c>
      <c r="T23" s="492">
        <f>+[7]cons!S23</f>
        <v>222</v>
      </c>
      <c r="U23" s="369">
        <f>+[7]cons!T23</f>
        <v>17</v>
      </c>
      <c r="V23" s="492">
        <f>+[7]cons!U23</f>
        <v>37</v>
      </c>
      <c r="W23" s="369">
        <f>+[7]cons!V23</f>
        <v>36</v>
      </c>
      <c r="X23" s="492">
        <f>+[7]cons!W23</f>
        <v>148</v>
      </c>
      <c r="Y23" s="369">
        <f>+[7]cons!X23</f>
        <v>13</v>
      </c>
      <c r="Z23" s="492">
        <f>+[7]cons!Y23</f>
        <v>24</v>
      </c>
      <c r="AA23" s="369">
        <f>+[7]cons!Z23</f>
        <v>26</v>
      </c>
      <c r="AB23" s="492">
        <f>+[7]cons!AA23</f>
        <v>116</v>
      </c>
      <c r="AC23" s="369">
        <f>+[7]cons!AB23</f>
        <v>33</v>
      </c>
      <c r="AD23" s="492">
        <f>+[7]cons!AC23</f>
        <v>128</v>
      </c>
    </row>
    <row r="24" spans="1:30" s="354" customFormat="1">
      <c r="A24" s="578" t="s">
        <v>1069</v>
      </c>
      <c r="B24" s="579">
        <f t="shared" si="3"/>
        <v>4</v>
      </c>
      <c r="C24" s="577">
        <f t="shared" si="4"/>
        <v>0</v>
      </c>
      <c r="D24" s="577">
        <f t="shared" si="5"/>
        <v>4</v>
      </c>
      <c r="E24" s="369">
        <f>+[7]cons!D24</f>
        <v>0</v>
      </c>
      <c r="F24" s="492">
        <f>+[7]cons!E24</f>
        <v>0</v>
      </c>
      <c r="G24" s="369">
        <f>+[7]cons!F24</f>
        <v>0</v>
      </c>
      <c r="H24" s="492">
        <f>+[7]cons!G24</f>
        <v>0</v>
      </c>
      <c r="I24" s="369">
        <f>+[7]cons!H24</f>
        <v>0</v>
      </c>
      <c r="J24" s="492">
        <f>+[7]cons!I24</f>
        <v>0</v>
      </c>
      <c r="K24" s="369">
        <f>+[7]cons!J24</f>
        <v>0</v>
      </c>
      <c r="L24" s="492">
        <f>+[7]cons!K24</f>
        <v>0</v>
      </c>
      <c r="M24" s="369">
        <f>+[7]cons!L24</f>
        <v>0</v>
      </c>
      <c r="N24" s="492">
        <f>+[7]cons!M24</f>
        <v>4</v>
      </c>
      <c r="O24" s="369">
        <f>+[7]cons!N24</f>
        <v>0</v>
      </c>
      <c r="P24" s="492">
        <f>+[7]cons!O24</f>
        <v>0</v>
      </c>
      <c r="Q24" s="369">
        <f>+[7]cons!P24</f>
        <v>0</v>
      </c>
      <c r="R24" s="492">
        <f>+[7]cons!Q24</f>
        <v>0</v>
      </c>
      <c r="S24" s="369">
        <f>+[7]cons!R24</f>
        <v>0</v>
      </c>
      <c r="T24" s="492">
        <f>+[7]cons!S24</f>
        <v>0</v>
      </c>
      <c r="U24" s="369">
        <f>+[7]cons!T24</f>
        <v>0</v>
      </c>
      <c r="V24" s="492">
        <f>+[7]cons!U24</f>
        <v>0</v>
      </c>
      <c r="W24" s="369">
        <f>+[7]cons!V24</f>
        <v>0</v>
      </c>
      <c r="X24" s="492">
        <f>+[7]cons!W24</f>
        <v>0</v>
      </c>
      <c r="Y24" s="369">
        <f>+[7]cons!X24</f>
        <v>0</v>
      </c>
      <c r="Z24" s="492">
        <f>+[7]cons!Y24</f>
        <v>0</v>
      </c>
      <c r="AA24" s="369">
        <f>+[7]cons!Z24</f>
        <v>0</v>
      </c>
      <c r="AB24" s="492">
        <f>+[7]cons!AA24</f>
        <v>0</v>
      </c>
      <c r="AC24" s="369">
        <f>+[7]cons!AB24</f>
        <v>0</v>
      </c>
      <c r="AD24" s="492">
        <f>+[7]cons!AC24</f>
        <v>0</v>
      </c>
    </row>
    <row r="25" spans="1:30" s="354" customFormat="1">
      <c r="A25" s="578" t="s">
        <v>1070</v>
      </c>
      <c r="B25" s="579">
        <f t="shared" si="3"/>
        <v>775</v>
      </c>
      <c r="C25" s="577">
        <f t="shared" si="4"/>
        <v>156</v>
      </c>
      <c r="D25" s="577">
        <f t="shared" si="5"/>
        <v>619</v>
      </c>
      <c r="E25" s="369">
        <f>+[7]cons!D25</f>
        <v>19</v>
      </c>
      <c r="F25" s="492">
        <f>+[7]cons!E25</f>
        <v>95</v>
      </c>
      <c r="G25" s="369">
        <f>+[7]cons!F25</f>
        <v>19</v>
      </c>
      <c r="H25" s="492">
        <f>+[7]cons!G25</f>
        <v>43</v>
      </c>
      <c r="I25" s="369">
        <f>+[7]cons!H25</f>
        <v>2</v>
      </c>
      <c r="J25" s="492">
        <f>+[7]cons!I25</f>
        <v>38</v>
      </c>
      <c r="K25" s="369">
        <f>+[7]cons!J25</f>
        <v>4</v>
      </c>
      <c r="L25" s="492">
        <f>+[7]cons!K25</f>
        <v>13</v>
      </c>
      <c r="M25" s="369">
        <f>+[7]cons!L25</f>
        <v>0</v>
      </c>
      <c r="N25" s="492">
        <f>+[7]cons!M25</f>
        <v>0</v>
      </c>
      <c r="O25" s="369">
        <f>+[7]cons!N25</f>
        <v>6</v>
      </c>
      <c r="P25" s="492">
        <f>+[7]cons!O25</f>
        <v>11</v>
      </c>
      <c r="Q25" s="369">
        <f>+[7]cons!P25</f>
        <v>22</v>
      </c>
      <c r="R25" s="492">
        <f>+[7]cons!Q25</f>
        <v>126</v>
      </c>
      <c r="S25" s="369">
        <f>+[7]cons!R25</f>
        <v>31</v>
      </c>
      <c r="T25" s="492">
        <f>+[7]cons!S25</f>
        <v>67</v>
      </c>
      <c r="U25" s="369">
        <f>+[7]cons!T25</f>
        <v>8</v>
      </c>
      <c r="V25" s="492">
        <f>+[7]cons!U25</f>
        <v>35</v>
      </c>
      <c r="W25" s="369">
        <f>+[7]cons!V25</f>
        <v>18</v>
      </c>
      <c r="X25" s="492">
        <f>+[7]cons!W25</f>
        <v>75</v>
      </c>
      <c r="Y25" s="369">
        <f>+[7]cons!X25</f>
        <v>5</v>
      </c>
      <c r="Z25" s="492">
        <f>+[7]cons!Y25</f>
        <v>18</v>
      </c>
      <c r="AA25" s="369">
        <f>+[7]cons!Z25</f>
        <v>11</v>
      </c>
      <c r="AB25" s="492">
        <f>+[7]cons!AA25</f>
        <v>44</v>
      </c>
      <c r="AC25" s="369">
        <f>+[7]cons!AB25</f>
        <v>11</v>
      </c>
      <c r="AD25" s="492">
        <f>+[7]cons!AC25</f>
        <v>54</v>
      </c>
    </row>
    <row r="26" spans="1:30" s="354" customFormat="1">
      <c r="A26" s="578" t="s">
        <v>1071</v>
      </c>
      <c r="B26" s="579">
        <f t="shared" si="3"/>
        <v>3</v>
      </c>
      <c r="C26" s="577">
        <f t="shared" si="4"/>
        <v>0</v>
      </c>
      <c r="D26" s="577">
        <f t="shared" si="5"/>
        <v>3</v>
      </c>
      <c r="E26" s="369">
        <f>+[7]cons!D26</f>
        <v>0</v>
      </c>
      <c r="F26" s="492">
        <f>+[7]cons!E26</f>
        <v>0</v>
      </c>
      <c r="G26" s="369">
        <f>+[7]cons!F26</f>
        <v>0</v>
      </c>
      <c r="H26" s="492">
        <f>+[7]cons!G26</f>
        <v>2</v>
      </c>
      <c r="I26" s="369">
        <f>+[7]cons!H26</f>
        <v>0</v>
      </c>
      <c r="J26" s="492">
        <f>+[7]cons!I26</f>
        <v>0</v>
      </c>
      <c r="K26" s="369">
        <f>+[7]cons!J26</f>
        <v>0</v>
      </c>
      <c r="L26" s="492">
        <f>+[7]cons!K26</f>
        <v>0</v>
      </c>
      <c r="M26" s="369">
        <f>+[7]cons!L26</f>
        <v>0</v>
      </c>
      <c r="N26" s="492">
        <f>+[7]cons!M26</f>
        <v>0</v>
      </c>
      <c r="O26" s="369">
        <f>+[7]cons!N26</f>
        <v>0</v>
      </c>
      <c r="P26" s="492">
        <f>+[7]cons!O26</f>
        <v>0</v>
      </c>
      <c r="Q26" s="369">
        <f>+[7]cons!P26</f>
        <v>0</v>
      </c>
      <c r="R26" s="492">
        <f>+[7]cons!Q26</f>
        <v>0</v>
      </c>
      <c r="S26" s="369">
        <f>+[7]cons!R26</f>
        <v>0</v>
      </c>
      <c r="T26" s="492">
        <f>+[7]cons!S26</f>
        <v>1</v>
      </c>
      <c r="U26" s="369">
        <f>+[7]cons!T26</f>
        <v>0</v>
      </c>
      <c r="V26" s="492">
        <f>+[7]cons!U26</f>
        <v>0</v>
      </c>
      <c r="W26" s="369">
        <f>+[7]cons!V26</f>
        <v>0</v>
      </c>
      <c r="X26" s="492">
        <f>+[7]cons!W26</f>
        <v>0</v>
      </c>
      <c r="Y26" s="369">
        <f>+[7]cons!X26</f>
        <v>0</v>
      </c>
      <c r="Z26" s="492">
        <f>+[7]cons!Y26</f>
        <v>0</v>
      </c>
      <c r="AA26" s="369">
        <f>+[7]cons!Z26</f>
        <v>0</v>
      </c>
      <c r="AB26" s="492">
        <f>+[7]cons!AA26</f>
        <v>0</v>
      </c>
      <c r="AC26" s="369">
        <f>+[7]cons!AB26</f>
        <v>0</v>
      </c>
      <c r="AD26" s="492">
        <f>+[7]cons!AC26</f>
        <v>0</v>
      </c>
    </row>
    <row r="27" spans="1:30" s="354" customFormat="1">
      <c r="A27" s="580" t="s">
        <v>1072</v>
      </c>
      <c r="B27" s="579">
        <f t="shared" si="3"/>
        <v>830</v>
      </c>
      <c r="C27" s="577">
        <f t="shared" si="4"/>
        <v>827</v>
      </c>
      <c r="D27" s="577">
        <f t="shared" si="5"/>
        <v>3</v>
      </c>
      <c r="E27" s="369">
        <f>+[7]cons!D27</f>
        <v>64</v>
      </c>
      <c r="F27" s="492">
        <f>+[7]cons!E27</f>
        <v>0</v>
      </c>
      <c r="G27" s="369">
        <f>+[7]cons!F27</f>
        <v>82</v>
      </c>
      <c r="H27" s="492">
        <f>+[7]cons!G27</f>
        <v>0</v>
      </c>
      <c r="I27" s="369">
        <f>+[7]cons!H27</f>
        <v>59</v>
      </c>
      <c r="J27" s="492">
        <f>+[7]cons!I27</f>
        <v>0</v>
      </c>
      <c r="K27" s="369">
        <f>+[7]cons!J27</f>
        <v>51</v>
      </c>
      <c r="L27" s="492">
        <f>+[7]cons!K27</f>
        <v>0</v>
      </c>
      <c r="M27" s="369">
        <f>+[7]cons!L27</f>
        <v>50</v>
      </c>
      <c r="N27" s="492">
        <f>+[7]cons!M27</f>
        <v>0</v>
      </c>
      <c r="O27" s="369">
        <f>+[7]cons!N27</f>
        <v>17</v>
      </c>
      <c r="P27" s="492">
        <f>+[7]cons!O27</f>
        <v>0</v>
      </c>
      <c r="Q27" s="369">
        <f>+[7]cons!P27</f>
        <v>74</v>
      </c>
      <c r="R27" s="492">
        <f>+[7]cons!Q27</f>
        <v>0</v>
      </c>
      <c r="S27" s="369">
        <f>+[7]cons!R27</f>
        <v>136</v>
      </c>
      <c r="T27" s="492">
        <f>+[7]cons!S27</f>
        <v>1</v>
      </c>
      <c r="U27" s="369">
        <f>+[7]cons!T27</f>
        <v>44</v>
      </c>
      <c r="V27" s="492">
        <f>+[7]cons!U27</f>
        <v>0</v>
      </c>
      <c r="W27" s="369">
        <f>+[7]cons!V27</f>
        <v>95</v>
      </c>
      <c r="X27" s="492">
        <f>+[7]cons!W27</f>
        <v>2</v>
      </c>
      <c r="Y27" s="369">
        <f>+[7]cons!X27</f>
        <v>31</v>
      </c>
      <c r="Z27" s="492">
        <f>+[7]cons!Y27</f>
        <v>0</v>
      </c>
      <c r="AA27" s="369">
        <f>+[7]cons!Z27</f>
        <v>61</v>
      </c>
      <c r="AB27" s="492">
        <f>+[7]cons!AA27</f>
        <v>0</v>
      </c>
      <c r="AC27" s="369">
        <f>+[7]cons!AB27</f>
        <v>63</v>
      </c>
      <c r="AD27" s="492">
        <f>+[7]cons!AC27</f>
        <v>0</v>
      </c>
    </row>
    <row r="28" spans="1:30" s="354" customFormat="1">
      <c r="A28" s="580" t="s">
        <v>1073</v>
      </c>
      <c r="B28" s="579">
        <f t="shared" si="3"/>
        <v>2833</v>
      </c>
      <c r="C28" s="577">
        <f t="shared" si="4"/>
        <v>0</v>
      </c>
      <c r="D28" s="577">
        <f t="shared" si="5"/>
        <v>2833</v>
      </c>
      <c r="E28" s="369">
        <f>+[7]cons!D28</f>
        <v>0</v>
      </c>
      <c r="F28" s="492">
        <f>+[7]cons!E28</f>
        <v>282</v>
      </c>
      <c r="G28" s="369">
        <f>+[7]cons!F28</f>
        <v>0</v>
      </c>
      <c r="H28" s="492">
        <f>+[7]cons!G28</f>
        <v>187</v>
      </c>
      <c r="I28" s="369">
        <f>+[7]cons!H28</f>
        <v>0</v>
      </c>
      <c r="J28" s="492">
        <f>+[7]cons!I28</f>
        <v>117</v>
      </c>
      <c r="K28" s="369">
        <f>+[7]cons!J28</f>
        <v>0</v>
      </c>
      <c r="L28" s="492">
        <f>+[7]cons!K28</f>
        <v>167</v>
      </c>
      <c r="M28" s="369">
        <f>+[7]cons!L28</f>
        <v>0</v>
      </c>
      <c r="N28" s="492">
        <f>+[7]cons!M28</f>
        <v>148</v>
      </c>
      <c r="O28" s="369">
        <f>+[7]cons!N28</f>
        <v>0</v>
      </c>
      <c r="P28" s="492">
        <f>+[7]cons!O28</f>
        <v>59</v>
      </c>
      <c r="Q28" s="369">
        <f>+[7]cons!P28</f>
        <v>0</v>
      </c>
      <c r="R28" s="492">
        <f>+[7]cons!Q28</f>
        <v>245</v>
      </c>
      <c r="S28" s="369">
        <f>+[7]cons!R28</f>
        <v>0</v>
      </c>
      <c r="T28" s="492">
        <f>+[7]cons!S28</f>
        <v>561</v>
      </c>
      <c r="U28" s="369">
        <f>+[7]cons!T28</f>
        <v>0</v>
      </c>
      <c r="V28" s="492">
        <f>+[7]cons!U28</f>
        <v>165</v>
      </c>
      <c r="W28" s="369">
        <f>+[7]cons!V28</f>
        <v>0</v>
      </c>
      <c r="X28" s="492">
        <f>+[7]cons!W28</f>
        <v>310</v>
      </c>
      <c r="Y28" s="369">
        <f>+[7]cons!X28</f>
        <v>0</v>
      </c>
      <c r="Z28" s="492">
        <f>+[7]cons!Y28</f>
        <v>91</v>
      </c>
      <c r="AA28" s="369">
        <f>+[7]cons!Z28</f>
        <v>0</v>
      </c>
      <c r="AB28" s="492">
        <f>+[7]cons!AA28</f>
        <v>199</v>
      </c>
      <c r="AC28" s="369">
        <f>+[7]cons!AB28</f>
        <v>0</v>
      </c>
      <c r="AD28" s="492">
        <f>+[7]cons!AC28</f>
        <v>302</v>
      </c>
    </row>
    <row r="29" spans="1:30" s="354" customFormat="1">
      <c r="A29" s="578" t="s">
        <v>1074</v>
      </c>
      <c r="B29" s="579">
        <f t="shared" si="3"/>
        <v>9</v>
      </c>
      <c r="C29" s="577">
        <f t="shared" si="4"/>
        <v>0</v>
      </c>
      <c r="D29" s="577">
        <f t="shared" si="5"/>
        <v>9</v>
      </c>
      <c r="E29" s="369">
        <f>+[7]cons!D29</f>
        <v>0</v>
      </c>
      <c r="F29" s="492">
        <f>+[7]cons!E29</f>
        <v>0</v>
      </c>
      <c r="G29" s="369">
        <f>+[7]cons!F29</f>
        <v>0</v>
      </c>
      <c r="H29" s="492">
        <f>+[7]cons!G29</f>
        <v>0</v>
      </c>
      <c r="I29" s="369">
        <f>+[7]cons!H29</f>
        <v>0</v>
      </c>
      <c r="J29" s="492">
        <f>+[7]cons!I29</f>
        <v>0</v>
      </c>
      <c r="K29" s="369">
        <f>+[7]cons!J29</f>
        <v>0</v>
      </c>
      <c r="L29" s="492">
        <f>+[7]cons!K29</f>
        <v>0</v>
      </c>
      <c r="M29" s="369">
        <f>+[7]cons!L29</f>
        <v>0</v>
      </c>
      <c r="N29" s="492">
        <f>+[7]cons!M29</f>
        <v>9</v>
      </c>
      <c r="O29" s="369">
        <f>+[7]cons!N29</f>
        <v>0</v>
      </c>
      <c r="P29" s="492">
        <f>+[7]cons!O29</f>
        <v>0</v>
      </c>
      <c r="Q29" s="369">
        <f>+[7]cons!P29</f>
        <v>0</v>
      </c>
      <c r="R29" s="492">
        <f>+[7]cons!Q29</f>
        <v>0</v>
      </c>
      <c r="S29" s="369">
        <f>+[7]cons!R29</f>
        <v>0</v>
      </c>
      <c r="T29" s="492">
        <f>+[7]cons!S29</f>
        <v>0</v>
      </c>
      <c r="U29" s="369">
        <f>+[7]cons!T29</f>
        <v>0</v>
      </c>
      <c r="V29" s="492">
        <f>+[7]cons!U29</f>
        <v>0</v>
      </c>
      <c r="W29" s="369">
        <f>+[7]cons!V29</f>
        <v>0</v>
      </c>
      <c r="X29" s="492">
        <f>+[7]cons!W29</f>
        <v>0</v>
      </c>
      <c r="Y29" s="369">
        <f>+[7]cons!X29</f>
        <v>0</v>
      </c>
      <c r="Z29" s="492">
        <f>+[7]cons!Y29</f>
        <v>0</v>
      </c>
      <c r="AA29" s="369">
        <f>+[7]cons!Z29</f>
        <v>0</v>
      </c>
      <c r="AB29" s="492">
        <f>+[7]cons!AA29</f>
        <v>0</v>
      </c>
      <c r="AC29" s="369">
        <f>+[7]cons!AB29</f>
        <v>0</v>
      </c>
      <c r="AD29" s="492">
        <f>+[7]cons!AC29</f>
        <v>0</v>
      </c>
    </row>
    <row r="30" spans="1:30" s="354" customFormat="1">
      <c r="A30" s="578" t="s">
        <v>1075</v>
      </c>
      <c r="B30" s="579">
        <f t="shared" si="3"/>
        <v>44</v>
      </c>
      <c r="C30" s="577">
        <f t="shared" si="4"/>
        <v>0</v>
      </c>
      <c r="D30" s="577">
        <f t="shared" si="5"/>
        <v>44</v>
      </c>
      <c r="E30" s="369">
        <f>+[7]cons!D30</f>
        <v>0</v>
      </c>
      <c r="F30" s="492">
        <f>+[7]cons!E30</f>
        <v>0</v>
      </c>
      <c r="G30" s="369">
        <f>+[7]cons!F30</f>
        <v>0</v>
      </c>
      <c r="H30" s="492">
        <f>+[7]cons!G30</f>
        <v>1</v>
      </c>
      <c r="I30" s="369">
        <f>+[7]cons!H30</f>
        <v>0</v>
      </c>
      <c r="J30" s="492">
        <f>+[7]cons!I30</f>
        <v>0</v>
      </c>
      <c r="K30" s="369">
        <f>+[7]cons!J30</f>
        <v>0</v>
      </c>
      <c r="L30" s="492">
        <f>+[7]cons!K30</f>
        <v>22</v>
      </c>
      <c r="M30" s="369">
        <f>+[7]cons!L30</f>
        <v>0</v>
      </c>
      <c r="N30" s="492">
        <f>+[7]cons!M30</f>
        <v>19</v>
      </c>
      <c r="O30" s="369">
        <f>+[7]cons!N30</f>
        <v>0</v>
      </c>
      <c r="P30" s="492">
        <f>+[7]cons!O30</f>
        <v>0</v>
      </c>
      <c r="Q30" s="369">
        <f>+[7]cons!P30</f>
        <v>0</v>
      </c>
      <c r="R30" s="492">
        <f>+[7]cons!Q30</f>
        <v>2</v>
      </c>
      <c r="S30" s="369">
        <f>+[7]cons!R30</f>
        <v>0</v>
      </c>
      <c r="T30" s="492">
        <f>+[7]cons!S30</f>
        <v>0</v>
      </c>
      <c r="U30" s="369">
        <f>+[7]cons!T30</f>
        <v>0</v>
      </c>
      <c r="V30" s="492">
        <f>+[7]cons!U30</f>
        <v>0</v>
      </c>
      <c r="W30" s="369">
        <f>+[7]cons!V30</f>
        <v>0</v>
      </c>
      <c r="X30" s="492">
        <f>+[7]cons!W30</f>
        <v>0</v>
      </c>
      <c r="Y30" s="369">
        <f>+[7]cons!X30</f>
        <v>0</v>
      </c>
      <c r="Z30" s="492">
        <f>+[7]cons!Y30</f>
        <v>0</v>
      </c>
      <c r="AA30" s="369">
        <f>+[7]cons!Z30</f>
        <v>0</v>
      </c>
      <c r="AB30" s="492">
        <f>+[7]cons!AA30</f>
        <v>0</v>
      </c>
      <c r="AC30" s="369">
        <f>+[7]cons!AB30</f>
        <v>0</v>
      </c>
      <c r="AD30" s="492">
        <f>+[7]cons!AC30</f>
        <v>0</v>
      </c>
    </row>
    <row r="31" spans="1:30" s="354" customFormat="1">
      <c r="A31" s="578" t="s">
        <v>1325</v>
      </c>
      <c r="B31" s="579">
        <f t="shared" si="3"/>
        <v>137</v>
      </c>
      <c r="C31" s="577">
        <f t="shared" si="4"/>
        <v>0</v>
      </c>
      <c r="D31" s="577">
        <f t="shared" si="5"/>
        <v>137</v>
      </c>
      <c r="E31" s="369">
        <f>+[7]cons!D31</f>
        <v>0</v>
      </c>
      <c r="F31" s="492">
        <f>+[7]cons!E31</f>
        <v>0</v>
      </c>
      <c r="G31" s="369">
        <f>+[7]cons!F31</f>
        <v>0</v>
      </c>
      <c r="H31" s="492">
        <f>+[7]cons!G31</f>
        <v>7</v>
      </c>
      <c r="I31" s="369">
        <f>+[7]cons!H31</f>
        <v>0</v>
      </c>
      <c r="J31" s="492">
        <f>+[7]cons!I31</f>
        <v>43</v>
      </c>
      <c r="K31" s="369">
        <f>+[7]cons!J31</f>
        <v>0</v>
      </c>
      <c r="L31" s="492">
        <f>+[7]cons!K31</f>
        <v>11</v>
      </c>
      <c r="M31" s="369">
        <f>+[7]cons!L31</f>
        <v>0</v>
      </c>
      <c r="N31" s="492">
        <f>+[7]cons!M31</f>
        <v>4</v>
      </c>
      <c r="O31" s="369">
        <f>+[7]cons!N31</f>
        <v>0</v>
      </c>
      <c r="P31" s="492">
        <f>+[7]cons!O31</f>
        <v>20</v>
      </c>
      <c r="Q31" s="369">
        <f>+[7]cons!P31</f>
        <v>0</v>
      </c>
      <c r="R31" s="492">
        <f>+[7]cons!Q31</f>
        <v>13</v>
      </c>
      <c r="S31" s="369">
        <f>+[7]cons!R31</f>
        <v>0</v>
      </c>
      <c r="T31" s="492">
        <f>+[7]cons!S31</f>
        <v>0</v>
      </c>
      <c r="U31" s="369">
        <f>+[7]cons!T31</f>
        <v>0</v>
      </c>
      <c r="V31" s="492">
        <f>+[7]cons!U31</f>
        <v>33</v>
      </c>
      <c r="W31" s="369">
        <f>+[7]cons!V31</f>
        <v>0</v>
      </c>
      <c r="X31" s="492">
        <f>+[7]cons!W31</f>
        <v>0</v>
      </c>
      <c r="Y31" s="369">
        <f>+[7]cons!X31</f>
        <v>0</v>
      </c>
      <c r="Z31" s="492">
        <f>+[7]cons!Y31</f>
        <v>6</v>
      </c>
      <c r="AA31" s="369">
        <f>+[7]cons!Z31</f>
        <v>0</v>
      </c>
      <c r="AB31" s="492">
        <f>+[7]cons!AA31</f>
        <v>0</v>
      </c>
      <c r="AC31" s="369">
        <f>+[7]cons!AB31</f>
        <v>0</v>
      </c>
      <c r="AD31" s="492">
        <f>+[7]cons!AC31</f>
        <v>0</v>
      </c>
    </row>
    <row r="32" spans="1:30" s="354" customFormat="1">
      <c r="A32" s="578" t="s">
        <v>1076</v>
      </c>
      <c r="B32" s="579">
        <f t="shared" si="3"/>
        <v>354</v>
      </c>
      <c r="C32" s="577">
        <f t="shared" si="4"/>
        <v>28</v>
      </c>
      <c r="D32" s="577">
        <f t="shared" si="5"/>
        <v>326</v>
      </c>
      <c r="E32" s="369">
        <f>+[7]cons!D32</f>
        <v>0</v>
      </c>
      <c r="F32" s="492">
        <f>+[7]cons!E32</f>
        <v>0</v>
      </c>
      <c r="G32" s="369">
        <f>+[7]cons!F32</f>
        <v>0</v>
      </c>
      <c r="H32" s="492">
        <f>+[7]cons!G32</f>
        <v>0</v>
      </c>
      <c r="I32" s="369">
        <f>+[7]cons!H32</f>
        <v>0</v>
      </c>
      <c r="J32" s="492">
        <f>+[7]cons!I32</f>
        <v>0</v>
      </c>
      <c r="K32" s="369">
        <f>+[7]cons!J32</f>
        <v>14</v>
      </c>
      <c r="L32" s="492">
        <f>+[7]cons!K32</f>
        <v>79</v>
      </c>
      <c r="M32" s="369">
        <f>+[7]cons!L32</f>
        <v>0</v>
      </c>
      <c r="N32" s="492">
        <f>+[7]cons!M32</f>
        <v>85</v>
      </c>
      <c r="O32" s="369">
        <f>+[7]cons!N32</f>
        <v>0</v>
      </c>
      <c r="P32" s="492">
        <f>+[7]cons!O32</f>
        <v>0</v>
      </c>
      <c r="Q32" s="369">
        <f>+[7]cons!P32</f>
        <v>14</v>
      </c>
      <c r="R32" s="492">
        <f>+[7]cons!Q32</f>
        <v>158</v>
      </c>
      <c r="S32" s="369">
        <f>+[7]cons!R32</f>
        <v>0</v>
      </c>
      <c r="T32" s="492">
        <f>+[7]cons!S32</f>
        <v>0</v>
      </c>
      <c r="U32" s="369">
        <f>+[7]cons!T32</f>
        <v>0</v>
      </c>
      <c r="V32" s="492">
        <f>+[7]cons!U32</f>
        <v>4</v>
      </c>
      <c r="W32" s="369">
        <f>+[7]cons!V32</f>
        <v>0</v>
      </c>
      <c r="X32" s="492">
        <f>+[7]cons!W32</f>
        <v>0</v>
      </c>
      <c r="Y32" s="369">
        <f>+[7]cons!X32</f>
        <v>0</v>
      </c>
      <c r="Z32" s="492">
        <f>+[7]cons!Y32</f>
        <v>0</v>
      </c>
      <c r="AA32" s="369">
        <f>+[7]cons!Z32</f>
        <v>0</v>
      </c>
      <c r="AB32" s="492">
        <f>+[7]cons!AA32</f>
        <v>0</v>
      </c>
      <c r="AC32" s="369">
        <f>+[7]cons!AB32</f>
        <v>0</v>
      </c>
      <c r="AD32" s="492">
        <f>+[7]cons!AC32</f>
        <v>0</v>
      </c>
    </row>
    <row r="33" spans="1:30" s="354" customFormat="1">
      <c r="A33" s="578" t="s">
        <v>1077</v>
      </c>
      <c r="B33" s="579">
        <f t="shared" si="3"/>
        <v>2</v>
      </c>
      <c r="C33" s="577">
        <f t="shared" si="4"/>
        <v>0</v>
      </c>
      <c r="D33" s="577">
        <f t="shared" si="5"/>
        <v>2</v>
      </c>
      <c r="E33" s="369">
        <f>+[7]cons!D33</f>
        <v>0</v>
      </c>
      <c r="F33" s="492">
        <f>+[7]cons!E33</f>
        <v>0</v>
      </c>
      <c r="G33" s="369">
        <f>+[7]cons!F33</f>
        <v>0</v>
      </c>
      <c r="H33" s="492">
        <f>+[7]cons!G33</f>
        <v>0</v>
      </c>
      <c r="I33" s="369">
        <f>+[7]cons!H33</f>
        <v>0</v>
      </c>
      <c r="J33" s="492">
        <f>+[7]cons!I33</f>
        <v>0</v>
      </c>
      <c r="K33" s="369">
        <f>+[7]cons!J33</f>
        <v>0</v>
      </c>
      <c r="L33" s="492">
        <f>+[7]cons!K33</f>
        <v>0</v>
      </c>
      <c r="M33" s="369">
        <f>+[7]cons!L33</f>
        <v>0</v>
      </c>
      <c r="N33" s="492">
        <f>+[7]cons!M33</f>
        <v>2</v>
      </c>
      <c r="O33" s="369">
        <f>+[7]cons!N33</f>
        <v>0</v>
      </c>
      <c r="P33" s="492">
        <f>+[7]cons!O33</f>
        <v>0</v>
      </c>
      <c r="Q33" s="369">
        <f>+[7]cons!P33</f>
        <v>0</v>
      </c>
      <c r="R33" s="492">
        <f>+[7]cons!Q33</f>
        <v>0</v>
      </c>
      <c r="S33" s="369">
        <f>+[7]cons!R33</f>
        <v>0</v>
      </c>
      <c r="T33" s="492">
        <f>+[7]cons!S33</f>
        <v>0</v>
      </c>
      <c r="U33" s="369">
        <f>+[7]cons!T33</f>
        <v>0</v>
      </c>
      <c r="V33" s="492">
        <f>+[7]cons!U33</f>
        <v>0</v>
      </c>
      <c r="W33" s="369">
        <f>+[7]cons!V33</f>
        <v>0</v>
      </c>
      <c r="X33" s="492">
        <f>+[7]cons!W33</f>
        <v>0</v>
      </c>
      <c r="Y33" s="369">
        <f>+[7]cons!X33</f>
        <v>0</v>
      </c>
      <c r="Z33" s="492">
        <f>+[7]cons!Y33</f>
        <v>0</v>
      </c>
      <c r="AA33" s="369">
        <f>+[7]cons!Z33</f>
        <v>0</v>
      </c>
      <c r="AB33" s="492">
        <f>+[7]cons!AA33</f>
        <v>0</v>
      </c>
      <c r="AC33" s="369">
        <f>+[7]cons!AB33</f>
        <v>0</v>
      </c>
      <c r="AD33" s="492">
        <f>+[7]cons!AC33</f>
        <v>0</v>
      </c>
    </row>
    <row r="34" spans="1:30" s="354" customFormat="1">
      <c r="A34" s="578" t="s">
        <v>1078</v>
      </c>
      <c r="B34" s="579">
        <f t="shared" si="3"/>
        <v>0</v>
      </c>
      <c r="C34" s="577">
        <f t="shared" si="4"/>
        <v>0</v>
      </c>
      <c r="D34" s="577">
        <f t="shared" si="5"/>
        <v>0</v>
      </c>
      <c r="E34" s="369">
        <f>+[7]cons!D34</f>
        <v>0</v>
      </c>
      <c r="F34" s="492">
        <f>+[7]cons!E34</f>
        <v>0</v>
      </c>
      <c r="G34" s="369">
        <f>+[7]cons!F34</f>
        <v>0</v>
      </c>
      <c r="H34" s="492">
        <f>+[7]cons!G34</f>
        <v>0</v>
      </c>
      <c r="I34" s="369">
        <f>+[7]cons!H34</f>
        <v>0</v>
      </c>
      <c r="J34" s="492">
        <f>+[7]cons!I34</f>
        <v>0</v>
      </c>
      <c r="K34" s="369">
        <f>+[7]cons!J34</f>
        <v>0</v>
      </c>
      <c r="L34" s="492">
        <f>+[7]cons!K34</f>
        <v>0</v>
      </c>
      <c r="M34" s="369">
        <f>+[7]cons!L34</f>
        <v>0</v>
      </c>
      <c r="N34" s="492">
        <f>+[7]cons!M34</f>
        <v>0</v>
      </c>
      <c r="O34" s="369">
        <f>+[7]cons!N34</f>
        <v>0</v>
      </c>
      <c r="P34" s="492">
        <f>+[7]cons!O34</f>
        <v>0</v>
      </c>
      <c r="Q34" s="369">
        <f>+[7]cons!P34</f>
        <v>0</v>
      </c>
      <c r="R34" s="492">
        <f>+[7]cons!Q34</f>
        <v>0</v>
      </c>
      <c r="S34" s="369">
        <f>+[7]cons!R34</f>
        <v>0</v>
      </c>
      <c r="T34" s="492">
        <f>+[7]cons!S34</f>
        <v>0</v>
      </c>
      <c r="U34" s="369">
        <f>+[7]cons!T34</f>
        <v>0</v>
      </c>
      <c r="V34" s="492">
        <f>+[7]cons!U34</f>
        <v>0</v>
      </c>
      <c r="W34" s="369">
        <f>+[7]cons!V34</f>
        <v>0</v>
      </c>
      <c r="X34" s="492">
        <f>+[7]cons!W34</f>
        <v>0</v>
      </c>
      <c r="Y34" s="369">
        <f>+[7]cons!X34</f>
        <v>0</v>
      </c>
      <c r="Z34" s="492">
        <f>+[7]cons!Y34</f>
        <v>0</v>
      </c>
      <c r="AA34" s="369">
        <f>+[7]cons!Z34</f>
        <v>0</v>
      </c>
      <c r="AB34" s="492">
        <f>+[7]cons!AA34</f>
        <v>0</v>
      </c>
      <c r="AC34" s="369">
        <f>+[7]cons!AB34</f>
        <v>0</v>
      </c>
      <c r="AD34" s="492">
        <f>+[7]cons!AC34</f>
        <v>0</v>
      </c>
    </row>
    <row r="35" spans="1:30" s="354" customFormat="1">
      <c r="A35" s="578" t="s">
        <v>1079</v>
      </c>
      <c r="B35" s="579">
        <f t="shared" si="3"/>
        <v>0</v>
      </c>
      <c r="C35" s="577">
        <f t="shared" si="4"/>
        <v>0</v>
      </c>
      <c r="D35" s="577">
        <f t="shared" si="5"/>
        <v>0</v>
      </c>
      <c r="E35" s="369">
        <f>+[7]cons!D35</f>
        <v>0</v>
      </c>
      <c r="F35" s="492">
        <f>+[7]cons!E35</f>
        <v>0</v>
      </c>
      <c r="G35" s="369">
        <f>+[7]cons!F35</f>
        <v>0</v>
      </c>
      <c r="H35" s="492">
        <f>+[7]cons!G35</f>
        <v>0</v>
      </c>
      <c r="I35" s="369">
        <f>+[7]cons!H35</f>
        <v>0</v>
      </c>
      <c r="J35" s="492">
        <f>+[7]cons!I35</f>
        <v>0</v>
      </c>
      <c r="K35" s="369">
        <f>+[7]cons!J35</f>
        <v>0</v>
      </c>
      <c r="L35" s="492">
        <f>+[7]cons!K35</f>
        <v>0</v>
      </c>
      <c r="M35" s="369">
        <f>+[7]cons!L35</f>
        <v>0</v>
      </c>
      <c r="N35" s="492">
        <f>+[7]cons!M35</f>
        <v>0</v>
      </c>
      <c r="O35" s="369">
        <f>+[7]cons!N35</f>
        <v>0</v>
      </c>
      <c r="P35" s="492">
        <f>+[7]cons!O35</f>
        <v>0</v>
      </c>
      <c r="Q35" s="369">
        <f>+[7]cons!P35</f>
        <v>0</v>
      </c>
      <c r="R35" s="492">
        <f>+[7]cons!Q35</f>
        <v>0</v>
      </c>
      <c r="S35" s="369">
        <f>+[7]cons!R35</f>
        <v>0</v>
      </c>
      <c r="T35" s="492">
        <f>+[7]cons!S35</f>
        <v>0</v>
      </c>
      <c r="U35" s="369">
        <f>+[7]cons!T35</f>
        <v>0</v>
      </c>
      <c r="V35" s="492">
        <f>+[7]cons!U35</f>
        <v>0</v>
      </c>
      <c r="W35" s="369">
        <f>+[7]cons!V35</f>
        <v>0</v>
      </c>
      <c r="X35" s="492">
        <f>+[7]cons!W35</f>
        <v>0</v>
      </c>
      <c r="Y35" s="369">
        <f>+[7]cons!X35</f>
        <v>0</v>
      </c>
      <c r="Z35" s="492">
        <f>+[7]cons!Y35</f>
        <v>0</v>
      </c>
      <c r="AA35" s="369">
        <f>+[7]cons!Z35</f>
        <v>0</v>
      </c>
      <c r="AB35" s="492">
        <f>+[7]cons!AA35</f>
        <v>0</v>
      </c>
      <c r="AC35" s="369">
        <f>+[7]cons!AB35</f>
        <v>0</v>
      </c>
      <c r="AD35" s="492">
        <f>+[7]cons!AC35</f>
        <v>0</v>
      </c>
    </row>
    <row r="36" spans="1:30" s="354" customFormat="1">
      <c r="A36" s="578" t="s">
        <v>1080</v>
      </c>
      <c r="B36" s="579">
        <f t="shared" si="3"/>
        <v>1</v>
      </c>
      <c r="C36" s="577">
        <f t="shared" si="4"/>
        <v>0</v>
      </c>
      <c r="D36" s="577">
        <f t="shared" si="5"/>
        <v>1</v>
      </c>
      <c r="E36" s="369">
        <f>+[7]cons!D36</f>
        <v>0</v>
      </c>
      <c r="F36" s="492">
        <f>+[7]cons!E36</f>
        <v>0</v>
      </c>
      <c r="G36" s="369">
        <f>+[7]cons!F36</f>
        <v>0</v>
      </c>
      <c r="H36" s="492">
        <f>+[7]cons!G36</f>
        <v>0</v>
      </c>
      <c r="I36" s="369">
        <f>+[7]cons!H36</f>
        <v>0</v>
      </c>
      <c r="J36" s="492">
        <f>+[7]cons!I36</f>
        <v>0</v>
      </c>
      <c r="K36" s="369">
        <f>+[7]cons!J36</f>
        <v>0</v>
      </c>
      <c r="L36" s="492">
        <f>+[7]cons!K36</f>
        <v>0</v>
      </c>
      <c r="M36" s="369">
        <f>+[7]cons!L36</f>
        <v>0</v>
      </c>
      <c r="N36" s="492">
        <f>+[7]cons!M36</f>
        <v>0</v>
      </c>
      <c r="O36" s="369">
        <f>+[7]cons!N36</f>
        <v>0</v>
      </c>
      <c r="P36" s="492">
        <f>+[7]cons!O36</f>
        <v>0</v>
      </c>
      <c r="Q36" s="369">
        <f>+[7]cons!P36</f>
        <v>0</v>
      </c>
      <c r="R36" s="492">
        <f>+[7]cons!Q36</f>
        <v>0</v>
      </c>
      <c r="S36" s="369">
        <f>+[7]cons!R36</f>
        <v>0</v>
      </c>
      <c r="T36" s="492">
        <f>+[7]cons!S36</f>
        <v>0</v>
      </c>
      <c r="U36" s="369">
        <f>+[7]cons!T36</f>
        <v>0</v>
      </c>
      <c r="V36" s="492">
        <f>+[7]cons!U36</f>
        <v>0</v>
      </c>
      <c r="W36" s="369">
        <f>+[7]cons!V36</f>
        <v>0</v>
      </c>
      <c r="X36" s="492">
        <f>+[7]cons!W36</f>
        <v>0</v>
      </c>
      <c r="Y36" s="369">
        <f>+[7]cons!X36</f>
        <v>0</v>
      </c>
      <c r="Z36" s="492">
        <f>+[7]cons!Y36</f>
        <v>0</v>
      </c>
      <c r="AA36" s="369">
        <f>+[7]cons!Z36</f>
        <v>0</v>
      </c>
      <c r="AB36" s="492">
        <f>+[7]cons!AA36</f>
        <v>0</v>
      </c>
      <c r="AC36" s="369">
        <f>+[7]cons!AB36</f>
        <v>0</v>
      </c>
      <c r="AD36" s="492">
        <f>+[7]cons!AC36</f>
        <v>1</v>
      </c>
    </row>
    <row r="37" spans="1:30" s="354" customFormat="1">
      <c r="A37" s="578" t="s">
        <v>1081</v>
      </c>
      <c r="B37" s="579">
        <f t="shared" si="3"/>
        <v>719</v>
      </c>
      <c r="C37" s="577">
        <f t="shared" si="4"/>
        <v>22</v>
      </c>
      <c r="D37" s="577">
        <f t="shared" si="5"/>
        <v>697</v>
      </c>
      <c r="E37" s="369">
        <f>+[7]cons!D37</f>
        <v>0</v>
      </c>
      <c r="F37" s="492">
        <f>+[7]cons!E37</f>
        <v>65</v>
      </c>
      <c r="G37" s="369">
        <f>+[7]cons!F37</f>
        <v>0</v>
      </c>
      <c r="H37" s="492">
        <f>+[7]cons!G37</f>
        <v>55</v>
      </c>
      <c r="I37" s="369">
        <f>+[7]cons!H37</f>
        <v>0</v>
      </c>
      <c r="J37" s="492">
        <f>+[7]cons!I37</f>
        <v>21</v>
      </c>
      <c r="K37" s="369">
        <f>+[7]cons!J37</f>
        <v>10</v>
      </c>
      <c r="L37" s="492">
        <f>+[7]cons!K37</f>
        <v>32</v>
      </c>
      <c r="M37" s="369">
        <f>+[7]cons!L37</f>
        <v>5</v>
      </c>
      <c r="N37" s="492">
        <f>+[7]cons!M37</f>
        <v>40</v>
      </c>
      <c r="O37" s="369">
        <f>+[7]cons!N37</f>
        <v>3</v>
      </c>
      <c r="P37" s="492">
        <f>+[7]cons!O37</f>
        <v>14</v>
      </c>
      <c r="Q37" s="369">
        <f>+[7]cons!P37</f>
        <v>0</v>
      </c>
      <c r="R37" s="492">
        <f>+[7]cons!Q37</f>
        <v>93</v>
      </c>
      <c r="S37" s="369">
        <f>+[7]cons!R37</f>
        <v>0</v>
      </c>
      <c r="T37" s="492">
        <f>+[7]cons!S37</f>
        <v>131</v>
      </c>
      <c r="U37" s="369">
        <f>+[7]cons!T37</f>
        <v>4</v>
      </c>
      <c r="V37" s="492">
        <f>+[7]cons!U37</f>
        <v>46</v>
      </c>
      <c r="W37" s="369">
        <f>+[7]cons!V37</f>
        <v>0</v>
      </c>
      <c r="X37" s="492">
        <f>+[7]cons!W37</f>
        <v>76</v>
      </c>
      <c r="Y37" s="369">
        <f>+[7]cons!X37</f>
        <v>0</v>
      </c>
      <c r="Z37" s="492">
        <f>+[7]cons!Y37</f>
        <v>16</v>
      </c>
      <c r="AA37" s="369">
        <f>+[7]cons!Z37</f>
        <v>0</v>
      </c>
      <c r="AB37" s="492">
        <f>+[7]cons!AA37</f>
        <v>50</v>
      </c>
      <c r="AC37" s="369">
        <f>+[7]cons!AB37</f>
        <v>0</v>
      </c>
      <c r="AD37" s="492">
        <f>+[7]cons!AC37</f>
        <v>58</v>
      </c>
    </row>
    <row r="38" spans="1:30" s="354" customFormat="1">
      <c r="A38" s="578" t="s">
        <v>1082</v>
      </c>
      <c r="B38" s="579">
        <f t="shared" si="3"/>
        <v>2</v>
      </c>
      <c r="C38" s="577">
        <f t="shared" si="4"/>
        <v>2</v>
      </c>
      <c r="D38" s="577">
        <f t="shared" si="5"/>
        <v>0</v>
      </c>
      <c r="E38" s="369">
        <f>+[7]cons!D38</f>
        <v>0</v>
      </c>
      <c r="F38" s="492">
        <f>+[7]cons!E38</f>
        <v>0</v>
      </c>
      <c r="G38" s="369">
        <f>+[7]cons!F38</f>
        <v>0</v>
      </c>
      <c r="H38" s="492">
        <f>+[7]cons!G38</f>
        <v>0</v>
      </c>
      <c r="I38" s="369">
        <f>+[7]cons!H38</f>
        <v>0</v>
      </c>
      <c r="J38" s="492">
        <f>+[7]cons!I38</f>
        <v>0</v>
      </c>
      <c r="K38" s="369">
        <f>+[7]cons!J38</f>
        <v>0</v>
      </c>
      <c r="L38" s="492">
        <f>+[7]cons!K38</f>
        <v>0</v>
      </c>
      <c r="M38" s="369">
        <f>+[7]cons!L38</f>
        <v>0</v>
      </c>
      <c r="N38" s="492">
        <f>+[7]cons!M38</f>
        <v>0</v>
      </c>
      <c r="O38" s="369">
        <f>+[7]cons!N38</f>
        <v>0</v>
      </c>
      <c r="P38" s="492">
        <f>+[7]cons!O38</f>
        <v>0</v>
      </c>
      <c r="Q38" s="369">
        <f>+[7]cons!P38</f>
        <v>0</v>
      </c>
      <c r="R38" s="492">
        <f>+[7]cons!Q38</f>
        <v>0</v>
      </c>
      <c r="S38" s="369">
        <f>+[7]cons!R38</f>
        <v>0</v>
      </c>
      <c r="T38" s="492">
        <f>+[7]cons!S38</f>
        <v>0</v>
      </c>
      <c r="U38" s="369">
        <f>+[7]cons!T38</f>
        <v>0</v>
      </c>
      <c r="V38" s="492">
        <f>+[7]cons!U38</f>
        <v>0</v>
      </c>
      <c r="W38" s="369">
        <f>+[7]cons!V38</f>
        <v>0</v>
      </c>
      <c r="X38" s="492">
        <f>+[7]cons!W38</f>
        <v>0</v>
      </c>
      <c r="Y38" s="369">
        <f>+[7]cons!X38</f>
        <v>0</v>
      </c>
      <c r="Z38" s="492">
        <f>+[7]cons!Y38</f>
        <v>0</v>
      </c>
      <c r="AA38" s="369">
        <f>+[7]cons!Z38</f>
        <v>0</v>
      </c>
      <c r="AB38" s="492">
        <f>+[7]cons!AA38</f>
        <v>0</v>
      </c>
      <c r="AC38" s="369">
        <f>+[7]cons!AB38</f>
        <v>2</v>
      </c>
      <c r="AD38" s="492">
        <f>+[7]cons!AC38</f>
        <v>0</v>
      </c>
    </row>
    <row r="39" spans="1:30" s="354" customFormat="1">
      <c r="A39" s="578" t="s">
        <v>1083</v>
      </c>
      <c r="B39" s="579">
        <f t="shared" si="3"/>
        <v>0</v>
      </c>
      <c r="C39" s="577">
        <f t="shared" si="4"/>
        <v>0</v>
      </c>
      <c r="D39" s="577">
        <f t="shared" si="5"/>
        <v>0</v>
      </c>
      <c r="E39" s="369">
        <f>+[7]cons!D39</f>
        <v>0</v>
      </c>
      <c r="F39" s="492">
        <f>+[7]cons!E39</f>
        <v>0</v>
      </c>
      <c r="G39" s="369">
        <f>+[7]cons!F39</f>
        <v>0</v>
      </c>
      <c r="H39" s="492">
        <f>+[7]cons!G39</f>
        <v>0</v>
      </c>
      <c r="I39" s="369">
        <f>+[7]cons!H39</f>
        <v>0</v>
      </c>
      <c r="J39" s="492">
        <f>+[7]cons!I39</f>
        <v>0</v>
      </c>
      <c r="K39" s="369">
        <f>+[7]cons!J39</f>
        <v>0</v>
      </c>
      <c r="L39" s="492">
        <f>+[7]cons!K39</f>
        <v>0</v>
      </c>
      <c r="M39" s="369">
        <f>+[7]cons!L39</f>
        <v>0</v>
      </c>
      <c r="N39" s="492">
        <f>+[7]cons!M39</f>
        <v>0</v>
      </c>
      <c r="O39" s="369">
        <f>+[7]cons!N39</f>
        <v>0</v>
      </c>
      <c r="P39" s="492">
        <f>+[7]cons!O39</f>
        <v>0</v>
      </c>
      <c r="Q39" s="369">
        <f>+[7]cons!P39</f>
        <v>0</v>
      </c>
      <c r="R39" s="492">
        <f>+[7]cons!Q39</f>
        <v>0</v>
      </c>
      <c r="S39" s="369">
        <f>+[7]cons!R39</f>
        <v>0</v>
      </c>
      <c r="T39" s="492">
        <f>+[7]cons!S39</f>
        <v>0</v>
      </c>
      <c r="U39" s="369">
        <f>+[7]cons!T39</f>
        <v>0</v>
      </c>
      <c r="V39" s="492">
        <f>+[7]cons!U39</f>
        <v>0</v>
      </c>
      <c r="W39" s="369">
        <f>+[7]cons!V39</f>
        <v>0</v>
      </c>
      <c r="X39" s="492">
        <f>+[7]cons!W39</f>
        <v>0</v>
      </c>
      <c r="Y39" s="369">
        <f>+[7]cons!X39</f>
        <v>0</v>
      </c>
      <c r="Z39" s="492">
        <f>+[7]cons!Y39</f>
        <v>0</v>
      </c>
      <c r="AA39" s="369">
        <f>+[7]cons!Z39</f>
        <v>0</v>
      </c>
      <c r="AB39" s="492">
        <f>+[7]cons!AA39</f>
        <v>0</v>
      </c>
      <c r="AC39" s="369">
        <f>+[7]cons!AB39</f>
        <v>0</v>
      </c>
      <c r="AD39" s="492">
        <f>+[7]cons!AC39</f>
        <v>0</v>
      </c>
    </row>
    <row r="40" spans="1:30" s="354" customFormat="1">
      <c r="A40" s="578" t="s">
        <v>1084</v>
      </c>
      <c r="B40" s="579">
        <f t="shared" si="3"/>
        <v>1940</v>
      </c>
      <c r="C40" s="577">
        <f t="shared" si="4"/>
        <v>12</v>
      </c>
      <c r="D40" s="577">
        <f t="shared" si="5"/>
        <v>1928</v>
      </c>
      <c r="E40" s="369">
        <f>+[7]cons!D40</f>
        <v>1</v>
      </c>
      <c r="F40" s="492">
        <f>+[7]cons!E40</f>
        <v>275</v>
      </c>
      <c r="G40" s="369">
        <f>+[7]cons!F40</f>
        <v>0</v>
      </c>
      <c r="H40" s="492">
        <f>+[7]cons!G40</f>
        <v>206</v>
      </c>
      <c r="I40" s="369">
        <f>+[7]cons!H40</f>
        <v>0</v>
      </c>
      <c r="J40" s="492">
        <f>+[7]cons!I40</f>
        <v>132</v>
      </c>
      <c r="K40" s="369">
        <f>+[7]cons!J40</f>
        <v>0</v>
      </c>
      <c r="L40" s="492">
        <f>+[7]cons!K40</f>
        <v>108</v>
      </c>
      <c r="M40" s="369">
        <f>+[7]cons!L40</f>
        <v>0</v>
      </c>
      <c r="N40" s="492">
        <f>+[7]cons!M40</f>
        <v>107</v>
      </c>
      <c r="O40" s="369">
        <f>+[7]cons!N40</f>
        <v>0</v>
      </c>
      <c r="P40" s="492">
        <f>+[7]cons!O40</f>
        <v>28</v>
      </c>
      <c r="Q40" s="369">
        <f>+[7]cons!P40</f>
        <v>3</v>
      </c>
      <c r="R40" s="492">
        <f>+[7]cons!Q40</f>
        <v>223</v>
      </c>
      <c r="S40" s="369">
        <f>+[7]cons!R40</f>
        <v>7</v>
      </c>
      <c r="T40" s="492">
        <f>+[7]cons!S40</f>
        <v>356</v>
      </c>
      <c r="U40" s="369">
        <f>+[7]cons!T40</f>
        <v>0</v>
      </c>
      <c r="V40" s="492">
        <f>+[7]cons!U40</f>
        <v>107</v>
      </c>
      <c r="W40" s="369">
        <f>+[7]cons!V40</f>
        <v>0</v>
      </c>
      <c r="X40" s="492">
        <f>+[7]cons!W40</f>
        <v>20</v>
      </c>
      <c r="Y40" s="369">
        <f>+[7]cons!X40</f>
        <v>1</v>
      </c>
      <c r="Z40" s="492">
        <f>+[7]cons!Y40</f>
        <v>68</v>
      </c>
      <c r="AA40" s="369">
        <f>+[7]cons!Z40</f>
        <v>0</v>
      </c>
      <c r="AB40" s="492">
        <f>+[7]cons!AA40</f>
        <v>144</v>
      </c>
      <c r="AC40" s="369">
        <f>+[7]cons!AB40</f>
        <v>0</v>
      </c>
      <c r="AD40" s="492">
        <f>+[7]cons!AC40</f>
        <v>154</v>
      </c>
    </row>
    <row r="41" spans="1:30" s="354" customFormat="1">
      <c r="A41" s="578" t="s">
        <v>1085</v>
      </c>
      <c r="B41" s="579">
        <f t="shared" si="3"/>
        <v>2562</v>
      </c>
      <c r="C41" s="577">
        <f t="shared" si="4"/>
        <v>25</v>
      </c>
      <c r="D41" s="577">
        <f t="shared" si="5"/>
        <v>2537</v>
      </c>
      <c r="E41" s="369">
        <f>+[7]cons!D41</f>
        <v>7</v>
      </c>
      <c r="F41" s="492">
        <f>+[7]cons!E41</f>
        <v>546</v>
      </c>
      <c r="G41" s="369">
        <f>+[7]cons!F41</f>
        <v>0</v>
      </c>
      <c r="H41" s="492">
        <f>+[7]cons!G41</f>
        <v>244</v>
      </c>
      <c r="I41" s="369">
        <f>+[7]cons!H41</f>
        <v>0</v>
      </c>
      <c r="J41" s="492">
        <f>+[7]cons!I41</f>
        <v>144</v>
      </c>
      <c r="K41" s="369">
        <f>+[7]cons!J41</f>
        <v>0</v>
      </c>
      <c r="L41" s="492">
        <f>+[7]cons!K41</f>
        <v>81</v>
      </c>
      <c r="M41" s="369">
        <f>+[7]cons!L41</f>
        <v>0</v>
      </c>
      <c r="N41" s="492">
        <f>+[7]cons!M41</f>
        <v>113</v>
      </c>
      <c r="O41" s="369">
        <f>+[7]cons!N41</f>
        <v>0</v>
      </c>
      <c r="P41" s="492">
        <f>+[7]cons!O41</f>
        <v>92</v>
      </c>
      <c r="Q41" s="369">
        <f>+[7]cons!P41</f>
        <v>5</v>
      </c>
      <c r="R41" s="492">
        <f>+[7]cons!Q41</f>
        <v>329</v>
      </c>
      <c r="S41" s="369">
        <f>+[7]cons!R41</f>
        <v>5</v>
      </c>
      <c r="T41" s="492">
        <f>+[7]cons!S41</f>
        <v>314</v>
      </c>
      <c r="U41" s="369">
        <f>+[7]cons!T41</f>
        <v>1</v>
      </c>
      <c r="V41" s="492">
        <f>+[7]cons!U41</f>
        <v>65</v>
      </c>
      <c r="W41" s="369">
        <f>+[7]cons!V41</f>
        <v>7</v>
      </c>
      <c r="X41" s="492">
        <f>+[7]cons!W41</f>
        <v>179</v>
      </c>
      <c r="Y41" s="369">
        <f>+[7]cons!X41</f>
        <v>0</v>
      </c>
      <c r="Z41" s="492">
        <f>+[7]cons!Y41</f>
        <v>17</v>
      </c>
      <c r="AA41" s="369">
        <f>+[7]cons!Z41</f>
        <v>0</v>
      </c>
      <c r="AB41" s="492">
        <f>+[7]cons!AA41</f>
        <v>191</v>
      </c>
      <c r="AC41" s="369">
        <f>+[7]cons!AB41</f>
        <v>0</v>
      </c>
      <c r="AD41" s="492">
        <f>+[7]cons!AC41</f>
        <v>222</v>
      </c>
    </row>
    <row r="42" spans="1:30" s="354" customFormat="1">
      <c r="A42" s="578" t="s">
        <v>1326</v>
      </c>
      <c r="B42" s="579">
        <f t="shared" si="3"/>
        <v>290</v>
      </c>
      <c r="C42" s="577">
        <f t="shared" si="4"/>
        <v>1</v>
      </c>
      <c r="D42" s="577">
        <f t="shared" si="5"/>
        <v>289</v>
      </c>
      <c r="E42" s="369">
        <f>+[7]cons!D42</f>
        <v>0</v>
      </c>
      <c r="F42" s="492">
        <f>+[7]cons!E42</f>
        <v>0</v>
      </c>
      <c r="G42" s="369">
        <f>+[7]cons!F42</f>
        <v>1</v>
      </c>
      <c r="H42" s="492">
        <f>+[7]cons!G42</f>
        <v>41</v>
      </c>
      <c r="I42" s="369">
        <f>+[7]cons!H42</f>
        <v>0</v>
      </c>
      <c r="J42" s="492">
        <f>+[7]cons!I42</f>
        <v>10</v>
      </c>
      <c r="K42" s="369">
        <f>+[7]cons!J42</f>
        <v>0</v>
      </c>
      <c r="L42" s="492">
        <f>+[7]cons!K42</f>
        <v>15</v>
      </c>
      <c r="M42" s="369">
        <f>+[7]cons!L42</f>
        <v>0</v>
      </c>
      <c r="N42" s="492">
        <f>+[7]cons!M42</f>
        <v>0</v>
      </c>
      <c r="O42" s="369">
        <f>+[7]cons!N42</f>
        <v>0</v>
      </c>
      <c r="P42" s="492">
        <f>+[7]cons!O42</f>
        <v>5</v>
      </c>
      <c r="Q42" s="369">
        <f>+[7]cons!P42</f>
        <v>0</v>
      </c>
      <c r="R42" s="492">
        <f>+[7]cons!Q42</f>
        <v>14</v>
      </c>
      <c r="S42" s="369">
        <f>+[7]cons!R42</f>
        <v>0</v>
      </c>
      <c r="T42" s="492">
        <f>+[7]cons!S42</f>
        <v>49</v>
      </c>
      <c r="U42" s="369">
        <f>+[7]cons!T42</f>
        <v>0</v>
      </c>
      <c r="V42" s="492">
        <f>+[7]cons!U42</f>
        <v>31</v>
      </c>
      <c r="W42" s="369">
        <f>+[7]cons!V42</f>
        <v>0</v>
      </c>
      <c r="X42" s="492">
        <f>+[7]cons!W42</f>
        <v>0</v>
      </c>
      <c r="Y42" s="369">
        <f>+[7]cons!X42</f>
        <v>0</v>
      </c>
      <c r="Z42" s="492">
        <f>+[7]cons!Y42</f>
        <v>26</v>
      </c>
      <c r="AA42" s="369">
        <f>+[7]cons!Z42</f>
        <v>0</v>
      </c>
      <c r="AB42" s="492">
        <f>+[7]cons!AA42</f>
        <v>32</v>
      </c>
      <c r="AC42" s="369">
        <f>+[7]cons!AB42</f>
        <v>0</v>
      </c>
      <c r="AD42" s="492">
        <f>+[7]cons!AC42</f>
        <v>66</v>
      </c>
    </row>
    <row r="43" spans="1:30" s="354" customFormat="1">
      <c r="A43" s="578" t="s">
        <v>1327</v>
      </c>
      <c r="B43" s="579">
        <f t="shared" ref="B43:B48" si="6">SUM(C43:D43)</f>
        <v>47</v>
      </c>
      <c r="C43" s="1055">
        <f t="shared" ref="C43:D48" si="7">+E43+G43+I43+K43+M43+O43+Q43+S43+U43+W43+Y43+AA43+AC43</f>
        <v>0</v>
      </c>
      <c r="D43" s="577">
        <f t="shared" si="7"/>
        <v>47</v>
      </c>
      <c r="E43" s="369">
        <f>+[7]cons!D43</f>
        <v>0</v>
      </c>
      <c r="F43" s="492">
        <f>+[7]cons!E43</f>
        <v>0</v>
      </c>
      <c r="G43" s="369">
        <f>+[7]cons!F43</f>
        <v>0</v>
      </c>
      <c r="H43" s="492">
        <f>+[7]cons!G43</f>
        <v>0</v>
      </c>
      <c r="I43" s="369">
        <f>+[7]cons!H43</f>
        <v>0</v>
      </c>
      <c r="J43" s="492">
        <f>+[7]cons!I43</f>
        <v>0</v>
      </c>
      <c r="K43" s="369">
        <f>+[7]cons!J43</f>
        <v>0</v>
      </c>
      <c r="L43" s="492">
        <f>+[7]cons!K43</f>
        <v>2</v>
      </c>
      <c r="M43" s="369">
        <f>+[7]cons!L43</f>
        <v>0</v>
      </c>
      <c r="N43" s="492">
        <f>+[7]cons!M43</f>
        <v>0</v>
      </c>
      <c r="O43" s="369">
        <f>+[7]cons!N43</f>
        <v>0</v>
      </c>
      <c r="P43" s="492">
        <f>+[7]cons!O43</f>
        <v>0</v>
      </c>
      <c r="Q43" s="369">
        <f>+[7]cons!P43</f>
        <v>0</v>
      </c>
      <c r="R43" s="492">
        <f>+[7]cons!Q43</f>
        <v>4</v>
      </c>
      <c r="S43" s="369">
        <f>+[7]cons!R43</f>
        <v>0</v>
      </c>
      <c r="T43" s="492">
        <f>+[7]cons!S43</f>
        <v>25</v>
      </c>
      <c r="U43" s="369">
        <f>+[7]cons!T43</f>
        <v>0</v>
      </c>
      <c r="V43" s="492">
        <f>+[7]cons!U43</f>
        <v>2</v>
      </c>
      <c r="W43" s="369">
        <f>+[7]cons!V43</f>
        <v>0</v>
      </c>
      <c r="X43" s="492">
        <f>+[7]cons!W43</f>
        <v>0</v>
      </c>
      <c r="Y43" s="369">
        <f>+[7]cons!X43</f>
        <v>0</v>
      </c>
      <c r="Z43" s="492">
        <f>+[7]cons!Y43</f>
        <v>0</v>
      </c>
      <c r="AA43" s="369">
        <f>+[7]cons!Z43</f>
        <v>0</v>
      </c>
      <c r="AB43" s="492">
        <f>+[7]cons!AA43</f>
        <v>11</v>
      </c>
      <c r="AC43" s="369">
        <f>+[7]cons!AB43</f>
        <v>0</v>
      </c>
      <c r="AD43" s="492">
        <f>+[7]cons!AC43</f>
        <v>3</v>
      </c>
    </row>
    <row r="44" spans="1:30" s="354" customFormat="1">
      <c r="A44" s="578" t="s">
        <v>1086</v>
      </c>
      <c r="B44" s="579">
        <f t="shared" si="6"/>
        <v>9379</v>
      </c>
      <c r="C44" s="1055">
        <f t="shared" si="7"/>
        <v>847</v>
      </c>
      <c r="D44" s="577">
        <f t="shared" si="7"/>
        <v>8532</v>
      </c>
      <c r="E44" s="369">
        <f>+[7]cons!D44</f>
        <v>37</v>
      </c>
      <c r="F44" s="492">
        <f>+[7]cons!E44</f>
        <v>667</v>
      </c>
      <c r="G44" s="369">
        <f>+[7]cons!F44</f>
        <v>13</v>
      </c>
      <c r="H44" s="492">
        <f>+[7]cons!G44</f>
        <v>442</v>
      </c>
      <c r="I44" s="369">
        <f>+[7]cons!H44</f>
        <v>24</v>
      </c>
      <c r="J44" s="492">
        <f>+[7]cons!I44</f>
        <v>310</v>
      </c>
      <c r="K44" s="369">
        <f>+[7]cons!J44</f>
        <v>184</v>
      </c>
      <c r="L44" s="492">
        <f>+[7]cons!K44</f>
        <v>357</v>
      </c>
      <c r="M44" s="369">
        <f>+[7]cons!L44</f>
        <v>53</v>
      </c>
      <c r="N44" s="492">
        <f>+[7]cons!M44</f>
        <v>580</v>
      </c>
      <c r="O44" s="369">
        <f>+[7]cons!N44</f>
        <v>3</v>
      </c>
      <c r="P44" s="492">
        <f>+[7]cons!O44</f>
        <v>228</v>
      </c>
      <c r="Q44" s="369">
        <f>+[7]cons!P44</f>
        <v>90</v>
      </c>
      <c r="R44" s="492">
        <f>+[7]cons!Q44</f>
        <v>891</v>
      </c>
      <c r="S44" s="369">
        <f>+[7]cons!R44</f>
        <v>207</v>
      </c>
      <c r="T44" s="492">
        <f>+[7]cons!S44</f>
        <v>1915</v>
      </c>
      <c r="U44" s="369">
        <f>+[7]cons!T44</f>
        <v>54</v>
      </c>
      <c r="V44" s="492">
        <f>+[7]cons!U44</f>
        <v>695</v>
      </c>
      <c r="W44" s="369">
        <f>+[7]cons!V44</f>
        <v>80</v>
      </c>
      <c r="X44" s="492">
        <f>+[7]cons!W44</f>
        <v>573</v>
      </c>
      <c r="Y44" s="369">
        <f>+[7]cons!X44</f>
        <v>10</v>
      </c>
      <c r="Z44" s="492">
        <f>+[7]cons!Y44</f>
        <v>579</v>
      </c>
      <c r="AA44" s="369">
        <f>+[7]cons!Z44</f>
        <v>44</v>
      </c>
      <c r="AB44" s="492">
        <f>+[7]cons!AA44</f>
        <v>975</v>
      </c>
      <c r="AC44" s="369">
        <f>+[7]cons!AB44</f>
        <v>48</v>
      </c>
      <c r="AD44" s="492">
        <f>+[7]cons!AC44</f>
        <v>320</v>
      </c>
    </row>
    <row r="45" spans="1:30" s="354" customFormat="1">
      <c r="A45" s="578" t="s">
        <v>129</v>
      </c>
      <c r="B45" s="579">
        <f t="shared" si="6"/>
        <v>182</v>
      </c>
      <c r="C45" s="577">
        <f t="shared" si="7"/>
        <v>3</v>
      </c>
      <c r="D45" s="577">
        <f t="shared" si="7"/>
        <v>179</v>
      </c>
      <c r="E45" s="369">
        <f>+[7]cons!D45</f>
        <v>0</v>
      </c>
      <c r="F45" s="492">
        <f>+[7]cons!E45</f>
        <v>0</v>
      </c>
      <c r="G45" s="369">
        <f>+[7]cons!F45</f>
        <v>0</v>
      </c>
      <c r="H45" s="492">
        <f>+[7]cons!G45</f>
        <v>0</v>
      </c>
      <c r="I45" s="369">
        <f>+[7]cons!H45</f>
        <v>0</v>
      </c>
      <c r="J45" s="492">
        <f>+[7]cons!I45</f>
        <v>94</v>
      </c>
      <c r="K45" s="369">
        <f>+[7]cons!J45</f>
        <v>0</v>
      </c>
      <c r="L45" s="492">
        <f>+[7]cons!K45</f>
        <v>0</v>
      </c>
      <c r="M45" s="369">
        <f>+[7]cons!L45</f>
        <v>0</v>
      </c>
      <c r="N45" s="492">
        <f>+[7]cons!M45</f>
        <v>10</v>
      </c>
      <c r="O45" s="369">
        <f>+[7]cons!N45</f>
        <v>0</v>
      </c>
      <c r="P45" s="492">
        <f>+[7]cons!O45</f>
        <v>0</v>
      </c>
      <c r="Q45" s="369">
        <f>+[7]cons!P45</f>
        <v>1</v>
      </c>
      <c r="R45" s="492">
        <f>+[7]cons!Q45</f>
        <v>0</v>
      </c>
      <c r="S45" s="369">
        <f>+[7]cons!R45</f>
        <v>0</v>
      </c>
      <c r="T45" s="492">
        <f>+[7]cons!S45</f>
        <v>0</v>
      </c>
      <c r="U45" s="369">
        <f>+[7]cons!T45</f>
        <v>2</v>
      </c>
      <c r="V45" s="492">
        <f>+[7]cons!U45</f>
        <v>75</v>
      </c>
      <c r="W45" s="369">
        <f>+[7]cons!V45</f>
        <v>0</v>
      </c>
      <c r="X45" s="492">
        <f>+[7]cons!W45</f>
        <v>0</v>
      </c>
      <c r="Y45" s="369">
        <f>+[7]cons!X45</f>
        <v>0</v>
      </c>
      <c r="Z45" s="492">
        <f>+[7]cons!Y45</f>
        <v>0</v>
      </c>
      <c r="AA45" s="369">
        <f>+[7]cons!Z45</f>
        <v>0</v>
      </c>
      <c r="AB45" s="492">
        <f>+[7]cons!AA45</f>
        <v>0</v>
      </c>
      <c r="AC45" s="369">
        <f>+[7]cons!AB45</f>
        <v>0</v>
      </c>
      <c r="AD45" s="492">
        <f>+[7]cons!AC45</f>
        <v>0</v>
      </c>
    </row>
    <row r="46" spans="1:30" s="354" customFormat="1">
      <c r="A46" s="578" t="s">
        <v>1087</v>
      </c>
      <c r="B46" s="579">
        <f t="shared" si="6"/>
        <v>2711</v>
      </c>
      <c r="C46" s="577">
        <f t="shared" si="7"/>
        <v>574</v>
      </c>
      <c r="D46" s="577">
        <f t="shared" si="7"/>
        <v>2137</v>
      </c>
      <c r="E46" s="369">
        <f>+[7]cons!D46</f>
        <v>38</v>
      </c>
      <c r="F46" s="492">
        <f>+[7]cons!E46</f>
        <v>227</v>
      </c>
      <c r="G46" s="369">
        <f>+[7]cons!F46</f>
        <v>19</v>
      </c>
      <c r="H46" s="492">
        <f>+[7]cons!G46</f>
        <v>214</v>
      </c>
      <c r="I46" s="369">
        <f>+[7]cons!H46</f>
        <v>32</v>
      </c>
      <c r="J46" s="492">
        <f>+[7]cons!I46</f>
        <v>123</v>
      </c>
      <c r="K46" s="369">
        <f>+[7]cons!J46</f>
        <v>106</v>
      </c>
      <c r="L46" s="492">
        <f>+[7]cons!K46</f>
        <v>95</v>
      </c>
      <c r="M46" s="369">
        <f>+[7]cons!L46</f>
        <v>11</v>
      </c>
      <c r="N46" s="492">
        <f>+[7]cons!M46</f>
        <v>108</v>
      </c>
      <c r="O46" s="369">
        <f>+[7]cons!N46</f>
        <v>2</v>
      </c>
      <c r="P46" s="492">
        <f>+[7]cons!O46</f>
        <v>58</v>
      </c>
      <c r="Q46" s="369">
        <f>+[7]cons!P46</f>
        <v>60</v>
      </c>
      <c r="R46" s="492">
        <f>+[7]cons!Q46</f>
        <v>270</v>
      </c>
      <c r="S46" s="369">
        <f>+[7]cons!R46</f>
        <v>112</v>
      </c>
      <c r="T46" s="492">
        <f>+[7]cons!S46</f>
        <v>294</v>
      </c>
      <c r="U46" s="369">
        <f>+[7]cons!T46</f>
        <v>39</v>
      </c>
      <c r="V46" s="492">
        <f>+[7]cons!U46</f>
        <v>96</v>
      </c>
      <c r="W46" s="369">
        <f>+[7]cons!V46</f>
        <v>88</v>
      </c>
      <c r="X46" s="492">
        <f>+[7]cons!W46</f>
        <v>248</v>
      </c>
      <c r="Y46" s="369">
        <f>+[7]cons!X46</f>
        <v>14</v>
      </c>
      <c r="Z46" s="492">
        <f>+[7]cons!Y46</f>
        <v>41</v>
      </c>
      <c r="AA46" s="369">
        <f>+[7]cons!Z46</f>
        <v>22</v>
      </c>
      <c r="AB46" s="492">
        <f>+[7]cons!AA46</f>
        <v>180</v>
      </c>
      <c r="AC46" s="369">
        <f>+[7]cons!AB46</f>
        <v>31</v>
      </c>
      <c r="AD46" s="492">
        <f>+[7]cons!AC46</f>
        <v>183</v>
      </c>
    </row>
    <row r="47" spans="1:30" s="354" customFormat="1">
      <c r="A47" s="578" t="s">
        <v>1088</v>
      </c>
      <c r="B47" s="579">
        <f t="shared" si="6"/>
        <v>0</v>
      </c>
      <c r="C47" s="577">
        <f t="shared" si="7"/>
        <v>0</v>
      </c>
      <c r="D47" s="577">
        <f t="shared" si="7"/>
        <v>0</v>
      </c>
      <c r="E47" s="369">
        <f>+[7]cons!D47</f>
        <v>0</v>
      </c>
      <c r="F47" s="492">
        <f>+[7]cons!E47</f>
        <v>0</v>
      </c>
      <c r="G47" s="369">
        <f>+[7]cons!F47</f>
        <v>0</v>
      </c>
      <c r="H47" s="492">
        <f>+[7]cons!G47</f>
        <v>0</v>
      </c>
      <c r="I47" s="369">
        <f>+[7]cons!H47</f>
        <v>0</v>
      </c>
      <c r="J47" s="492">
        <f>+[7]cons!I47</f>
        <v>0</v>
      </c>
      <c r="K47" s="369">
        <f>+[7]cons!J47</f>
        <v>0</v>
      </c>
      <c r="L47" s="492">
        <f>+[7]cons!K47</f>
        <v>0</v>
      </c>
      <c r="M47" s="369">
        <f>+[7]cons!L47</f>
        <v>0</v>
      </c>
      <c r="N47" s="492">
        <f>+[7]cons!M47</f>
        <v>0</v>
      </c>
      <c r="O47" s="369">
        <f>+[7]cons!N47</f>
        <v>0</v>
      </c>
      <c r="P47" s="492">
        <f>+[7]cons!O47</f>
        <v>0</v>
      </c>
      <c r="Q47" s="369">
        <f>+[7]cons!P47</f>
        <v>0</v>
      </c>
      <c r="R47" s="492">
        <f>+[7]cons!Q47</f>
        <v>0</v>
      </c>
      <c r="S47" s="369">
        <f>+[7]cons!R47</f>
        <v>0</v>
      </c>
      <c r="T47" s="492">
        <f>+[7]cons!S47</f>
        <v>0</v>
      </c>
      <c r="U47" s="369">
        <f>+[7]cons!T47</f>
        <v>0</v>
      </c>
      <c r="V47" s="492">
        <f>+[7]cons!U47</f>
        <v>0</v>
      </c>
      <c r="W47" s="369">
        <f>+[7]cons!V47</f>
        <v>0</v>
      </c>
      <c r="X47" s="492">
        <f>+[7]cons!W47</f>
        <v>0</v>
      </c>
      <c r="Y47" s="369">
        <f>+[7]cons!X47</f>
        <v>0</v>
      </c>
      <c r="Z47" s="492">
        <f>+[7]cons!Y47</f>
        <v>0</v>
      </c>
      <c r="AA47" s="369">
        <f>+[7]cons!Z47</f>
        <v>0</v>
      </c>
      <c r="AB47" s="492">
        <f>+[7]cons!AA47</f>
        <v>0</v>
      </c>
      <c r="AC47" s="369">
        <f>+[7]cons!AB47</f>
        <v>0</v>
      </c>
      <c r="AD47" s="492">
        <f>+[7]cons!AC47</f>
        <v>0</v>
      </c>
    </row>
    <row r="48" spans="1:30" s="354" customFormat="1">
      <c r="A48" s="578" t="s">
        <v>1089</v>
      </c>
      <c r="B48" s="579">
        <f t="shared" si="6"/>
        <v>2397</v>
      </c>
      <c r="C48" s="577">
        <f t="shared" si="7"/>
        <v>414</v>
      </c>
      <c r="D48" s="577">
        <f t="shared" si="7"/>
        <v>1983</v>
      </c>
      <c r="E48" s="369">
        <f>+[7]cons!D48</f>
        <v>22</v>
      </c>
      <c r="F48" s="492">
        <f>+[7]cons!E48</f>
        <v>227</v>
      </c>
      <c r="G48" s="369">
        <f>+[7]cons!F48</f>
        <v>31</v>
      </c>
      <c r="H48" s="492">
        <f>+[7]cons!G48</f>
        <v>146</v>
      </c>
      <c r="I48" s="369">
        <f>+[7]cons!H48</f>
        <v>14</v>
      </c>
      <c r="J48" s="492">
        <f>+[7]cons!I48</f>
        <v>91</v>
      </c>
      <c r="K48" s="369">
        <f>+[7]cons!J48</f>
        <v>8</v>
      </c>
      <c r="L48" s="492">
        <f>+[7]cons!K48</f>
        <v>111</v>
      </c>
      <c r="M48" s="369">
        <f>+[7]cons!L48</f>
        <v>0</v>
      </c>
      <c r="N48" s="492">
        <f>+[7]cons!M48</f>
        <v>84</v>
      </c>
      <c r="O48" s="369">
        <f>+[7]cons!N48</f>
        <v>6</v>
      </c>
      <c r="P48" s="492">
        <f>+[7]cons!O48</f>
        <v>56</v>
      </c>
      <c r="Q48" s="369">
        <f>+[7]cons!P48</f>
        <v>33</v>
      </c>
      <c r="R48" s="492">
        <f>+[7]cons!Q48</f>
        <v>194</v>
      </c>
      <c r="S48" s="369">
        <f>+[7]cons!R48</f>
        <v>59</v>
      </c>
      <c r="T48" s="492">
        <f>+[7]cons!S48</f>
        <v>295</v>
      </c>
      <c r="U48" s="369">
        <f>+[7]cons!T48</f>
        <v>43</v>
      </c>
      <c r="V48" s="492">
        <f>+[7]cons!U48</f>
        <v>156</v>
      </c>
      <c r="W48" s="369">
        <f>+[7]cons!V48</f>
        <v>107</v>
      </c>
      <c r="X48" s="492">
        <f>+[7]cons!W48</f>
        <v>223</v>
      </c>
      <c r="Y48" s="369">
        <f>+[7]cons!X48</f>
        <v>18</v>
      </c>
      <c r="Z48" s="492">
        <f>+[7]cons!Y48</f>
        <v>53</v>
      </c>
      <c r="AA48" s="369">
        <f>+[7]cons!Z48</f>
        <v>28</v>
      </c>
      <c r="AB48" s="492">
        <f>+[7]cons!AA48</f>
        <v>156</v>
      </c>
      <c r="AC48" s="369">
        <f>+[7]cons!AB48</f>
        <v>45</v>
      </c>
      <c r="AD48" s="492">
        <f>+[7]cons!AC48</f>
        <v>191</v>
      </c>
    </row>
    <row r="49" spans="1:30" s="354" customFormat="1">
      <c r="A49" s="578" t="s">
        <v>1090</v>
      </c>
      <c r="B49" s="579">
        <f t="shared" ref="B49:B50" si="8">SUM(C49:D49)</f>
        <v>1178</v>
      </c>
      <c r="C49" s="577">
        <f t="shared" ref="C49:C50" si="9">+E49+G49+I49+K49+M49+O49+Q49+S49+U49+W49+Y49+AA49+AC49</f>
        <v>25</v>
      </c>
      <c r="D49" s="577">
        <f t="shared" ref="D49:D50" si="10">+F49+H49+J49+L49+N49+P49+R49+T49+V49+X49+Z49+AB49+AD49</f>
        <v>1153</v>
      </c>
      <c r="E49" s="369">
        <f>+[7]cons!D49</f>
        <v>3</v>
      </c>
      <c r="F49" s="492">
        <f>+[7]cons!E49</f>
        <v>129</v>
      </c>
      <c r="G49" s="369">
        <f>+[7]cons!F49</f>
        <v>1</v>
      </c>
      <c r="H49" s="492">
        <f>+[7]cons!G49</f>
        <v>139</v>
      </c>
      <c r="I49" s="369">
        <f>+[7]cons!H49</f>
        <v>7</v>
      </c>
      <c r="J49" s="492">
        <f>+[7]cons!I49</f>
        <v>64</v>
      </c>
      <c r="K49" s="369">
        <f>+[7]cons!J49</f>
        <v>4</v>
      </c>
      <c r="L49" s="492">
        <f>+[7]cons!K49</f>
        <v>53</v>
      </c>
      <c r="M49" s="369">
        <f>+[7]cons!L49</f>
        <v>0</v>
      </c>
      <c r="N49" s="492">
        <f>+[7]cons!M49</f>
        <v>55</v>
      </c>
      <c r="O49" s="369">
        <f>+[7]cons!N49</f>
        <v>0</v>
      </c>
      <c r="P49" s="492">
        <f>+[7]cons!O49</f>
        <v>15</v>
      </c>
      <c r="Q49" s="369">
        <f>+[7]cons!P49</f>
        <v>0</v>
      </c>
      <c r="R49" s="492">
        <f>+[7]cons!Q49</f>
        <v>111</v>
      </c>
      <c r="S49" s="369">
        <f>+[7]cons!R49</f>
        <v>3</v>
      </c>
      <c r="T49" s="492">
        <f>+[7]cons!S49</f>
        <v>149</v>
      </c>
      <c r="U49" s="369">
        <f>+[7]cons!T49</f>
        <v>0</v>
      </c>
      <c r="V49" s="492">
        <f>+[7]cons!U49</f>
        <v>81</v>
      </c>
      <c r="W49" s="369">
        <f>+[7]cons!V49</f>
        <v>5</v>
      </c>
      <c r="X49" s="492">
        <f>+[7]cons!W49</f>
        <v>126</v>
      </c>
      <c r="Y49" s="369">
        <f>+[7]cons!X49</f>
        <v>0</v>
      </c>
      <c r="Z49" s="492">
        <f>+[7]cons!Y49</f>
        <v>29</v>
      </c>
      <c r="AA49" s="369">
        <f>+[7]cons!Z49</f>
        <v>0</v>
      </c>
      <c r="AB49" s="492">
        <f>+[7]cons!AA49</f>
        <v>93</v>
      </c>
      <c r="AC49" s="369">
        <f>+[7]cons!AB49</f>
        <v>2</v>
      </c>
      <c r="AD49" s="492">
        <f>+[7]cons!AC49</f>
        <v>109</v>
      </c>
    </row>
    <row r="50" spans="1:30" s="354" customFormat="1">
      <c r="A50" s="581" t="s">
        <v>1091</v>
      </c>
      <c r="B50" s="579">
        <f t="shared" si="8"/>
        <v>0</v>
      </c>
      <c r="C50" s="577">
        <f t="shared" si="9"/>
        <v>0</v>
      </c>
      <c r="D50" s="577">
        <f t="shared" si="10"/>
        <v>0</v>
      </c>
      <c r="E50" s="369">
        <f>+[7]cons!D50</f>
        <v>0</v>
      </c>
      <c r="F50" s="492">
        <f>+[7]cons!E50</f>
        <v>0</v>
      </c>
      <c r="G50" s="369">
        <f>+[7]cons!F50</f>
        <v>0</v>
      </c>
      <c r="H50" s="492">
        <f>+[7]cons!G50</f>
        <v>0</v>
      </c>
      <c r="I50" s="369">
        <f>+[7]cons!H50</f>
        <v>0</v>
      </c>
      <c r="J50" s="492">
        <f>+[7]cons!I50</f>
        <v>0</v>
      </c>
      <c r="K50" s="369">
        <f>+[7]cons!J50</f>
        <v>0</v>
      </c>
      <c r="L50" s="492">
        <f>+[7]cons!K50</f>
        <v>0</v>
      </c>
      <c r="M50" s="369">
        <f>+[7]cons!L50</f>
        <v>0</v>
      </c>
      <c r="N50" s="492">
        <f>+[7]cons!M50</f>
        <v>0</v>
      </c>
      <c r="O50" s="369">
        <f>+[7]cons!N50</f>
        <v>0</v>
      </c>
      <c r="P50" s="492">
        <f>+[7]cons!O50</f>
        <v>0</v>
      </c>
      <c r="Q50" s="369">
        <f>+[7]cons!P50</f>
        <v>0</v>
      </c>
      <c r="R50" s="492">
        <f>+[7]cons!Q50</f>
        <v>0</v>
      </c>
      <c r="S50" s="369">
        <f>+[7]cons!R50</f>
        <v>0</v>
      </c>
      <c r="T50" s="492">
        <f>+[7]cons!S50</f>
        <v>0</v>
      </c>
      <c r="U50" s="369">
        <f>+[7]cons!T50</f>
        <v>0</v>
      </c>
      <c r="V50" s="492">
        <f>+[7]cons!U50</f>
        <v>0</v>
      </c>
      <c r="W50" s="369">
        <f>+[7]cons!V50</f>
        <v>0</v>
      </c>
      <c r="X50" s="492">
        <f>+[7]cons!W50</f>
        <v>0</v>
      </c>
      <c r="Y50" s="369">
        <f>+[7]cons!X50</f>
        <v>0</v>
      </c>
      <c r="Z50" s="492">
        <f>+[7]cons!Y50</f>
        <v>0</v>
      </c>
      <c r="AA50" s="369">
        <f>+[7]cons!Z50</f>
        <v>0</v>
      </c>
      <c r="AB50" s="492">
        <f>+[7]cons!AA50</f>
        <v>0</v>
      </c>
      <c r="AC50" s="369">
        <f>+[7]cons!AB50</f>
        <v>0</v>
      </c>
      <c r="AD50" s="492">
        <f>+[7]cons!AC50</f>
        <v>0</v>
      </c>
    </row>
    <row r="51" spans="1:30">
      <c r="A51" s="582" t="s">
        <v>535</v>
      </c>
      <c r="B51" s="583">
        <f t="shared" ref="B51:AB51" si="11">SUM(B5:B50)</f>
        <v>36093</v>
      </c>
      <c r="C51" s="374">
        <f t="shared" si="11"/>
        <v>4843</v>
      </c>
      <c r="D51" s="374">
        <f t="shared" si="11"/>
        <v>31250</v>
      </c>
      <c r="E51" s="373">
        <f t="shared" si="11"/>
        <v>301</v>
      </c>
      <c r="F51" s="535">
        <f t="shared" si="11"/>
        <v>3323</v>
      </c>
      <c r="G51" s="373">
        <f t="shared" si="11"/>
        <v>315</v>
      </c>
      <c r="H51" s="535">
        <f t="shared" si="11"/>
        <v>2349</v>
      </c>
      <c r="I51" s="373">
        <f t="shared" si="11"/>
        <v>286</v>
      </c>
      <c r="J51" s="535">
        <f t="shared" si="11"/>
        <v>1726</v>
      </c>
      <c r="K51" s="373">
        <f t="shared" si="11"/>
        <v>483</v>
      </c>
      <c r="L51" s="535">
        <f t="shared" si="11"/>
        <v>1482</v>
      </c>
      <c r="M51" s="373">
        <f t="shared" si="11"/>
        <v>176</v>
      </c>
      <c r="N51" s="535">
        <f t="shared" si="11"/>
        <v>1771</v>
      </c>
      <c r="O51" s="373">
        <f t="shared" si="11"/>
        <v>82</v>
      </c>
      <c r="P51" s="535">
        <f t="shared" si="11"/>
        <v>786</v>
      </c>
      <c r="Q51" s="373">
        <f t="shared" si="11"/>
        <v>516</v>
      </c>
      <c r="R51" s="535">
        <f t="shared" si="11"/>
        <v>3407</v>
      </c>
      <c r="S51" s="373">
        <f t="shared" si="11"/>
        <v>997</v>
      </c>
      <c r="T51" s="535">
        <f t="shared" si="11"/>
        <v>5440</v>
      </c>
      <c r="U51" s="373">
        <f t="shared" si="11"/>
        <v>282</v>
      </c>
      <c r="V51" s="535">
        <f t="shared" si="11"/>
        <v>2020</v>
      </c>
      <c r="W51" s="373">
        <f t="shared" si="11"/>
        <v>625</v>
      </c>
      <c r="X51" s="535">
        <f t="shared" si="11"/>
        <v>2776</v>
      </c>
      <c r="Y51" s="373">
        <f t="shared" si="11"/>
        <v>128</v>
      </c>
      <c r="Z51" s="535">
        <f t="shared" si="11"/>
        <v>1102</v>
      </c>
      <c r="AA51" s="373">
        <f t="shared" si="11"/>
        <v>292</v>
      </c>
      <c r="AB51" s="535">
        <f t="shared" si="11"/>
        <v>2752</v>
      </c>
      <c r="AC51" s="373">
        <f>SUM(AC5:AC50)</f>
        <v>360</v>
      </c>
      <c r="AD51" s="535">
        <f>SUM(AD5:AD50)</f>
        <v>2316</v>
      </c>
    </row>
    <row r="53" spans="1:30">
      <c r="A53" s="1112" t="s">
        <v>1301</v>
      </c>
    </row>
    <row r="54" spans="1:30">
      <c r="A54" s="1107" t="s">
        <v>1293</v>
      </c>
      <c r="B54" s="576">
        <f>SUM(F54:AD54)</f>
        <v>1236</v>
      </c>
      <c r="C54" s="182"/>
      <c r="D54" s="244"/>
      <c r="E54" s="1135"/>
      <c r="F54" s="1136">
        <f>+[7]cons!E53</f>
        <v>41</v>
      </c>
      <c r="G54" s="1135"/>
      <c r="H54" s="1136">
        <f>+[7]cons!G53</f>
        <v>86</v>
      </c>
      <c r="I54" s="1135"/>
      <c r="J54" s="1136">
        <f>+[7]cons!I53</f>
        <v>61</v>
      </c>
      <c r="K54" s="1135"/>
      <c r="L54" s="1136">
        <f>+[7]cons!K53</f>
        <v>134</v>
      </c>
      <c r="M54" s="1135"/>
      <c r="N54" s="1136">
        <f>+[7]cons!M53</f>
        <v>107</v>
      </c>
      <c r="O54" s="1135"/>
      <c r="P54" s="1136">
        <f>+[7]cons!O53</f>
        <v>106</v>
      </c>
      <c r="Q54" s="1135"/>
      <c r="R54" s="1136">
        <f>+[7]cons!Q53</f>
        <v>102</v>
      </c>
      <c r="S54" s="1135"/>
      <c r="T54" s="1136">
        <f>+[7]cons!S53</f>
        <v>250</v>
      </c>
      <c r="U54" s="1135"/>
      <c r="V54" s="1136">
        <f>+[7]cons!U53</f>
        <v>46</v>
      </c>
      <c r="W54" s="1135"/>
      <c r="X54" s="1136">
        <f>+[7]cons!W53</f>
        <v>130</v>
      </c>
      <c r="Y54" s="1135"/>
      <c r="Z54" s="1136">
        <f>+[7]cons!Y53</f>
        <v>20</v>
      </c>
      <c r="AA54" s="1135"/>
      <c r="AB54" s="1136">
        <f>+[7]cons!AA53</f>
        <v>92</v>
      </c>
      <c r="AC54" s="1135"/>
      <c r="AD54" s="1136">
        <f>+[7]cons!AC53</f>
        <v>61</v>
      </c>
    </row>
    <row r="55" spans="1:30">
      <c r="A55" s="1108" t="s">
        <v>1294</v>
      </c>
      <c r="B55" s="579">
        <f t="shared" ref="B55:B64" si="12">SUM(F55:AD55)</f>
        <v>1914</v>
      </c>
      <c r="C55" s="327"/>
      <c r="D55" s="153"/>
      <c r="E55" s="1137"/>
      <c r="F55" s="1138">
        <f>+[7]cons!E54</f>
        <v>230</v>
      </c>
      <c r="G55" s="1137"/>
      <c r="H55" s="1138">
        <f>+[7]cons!G54</f>
        <v>294</v>
      </c>
      <c r="I55" s="1137"/>
      <c r="J55" s="1138">
        <f>+[7]cons!I54</f>
        <v>98</v>
      </c>
      <c r="K55" s="1137"/>
      <c r="L55" s="1138">
        <f>+[7]cons!K54</f>
        <v>125</v>
      </c>
      <c r="M55" s="1137"/>
      <c r="N55" s="1138">
        <f>+[7]cons!M54</f>
        <v>189</v>
      </c>
      <c r="O55" s="1137"/>
      <c r="P55" s="1138">
        <f>+[7]cons!O54</f>
        <v>69</v>
      </c>
      <c r="Q55" s="1137"/>
      <c r="R55" s="1138">
        <f>+[7]cons!Q54</f>
        <v>290</v>
      </c>
      <c r="S55" s="1137"/>
      <c r="T55" s="1138">
        <f>+[7]cons!S54</f>
        <v>188</v>
      </c>
      <c r="U55" s="1137"/>
      <c r="V55" s="1138">
        <f>+[7]cons!U54</f>
        <v>76</v>
      </c>
      <c r="W55" s="1137"/>
      <c r="X55" s="1138">
        <f>+[7]cons!W54</f>
        <v>158</v>
      </c>
      <c r="Y55" s="1137"/>
      <c r="Z55" s="1138">
        <f>+[7]cons!Y54</f>
        <v>4</v>
      </c>
      <c r="AA55" s="1137"/>
      <c r="AB55" s="1138">
        <f>+[7]cons!AA54</f>
        <v>101</v>
      </c>
      <c r="AC55" s="1137"/>
      <c r="AD55" s="1138">
        <f>+[7]cons!AC54</f>
        <v>92</v>
      </c>
    </row>
    <row r="56" spans="1:30">
      <c r="A56" s="1108" t="s">
        <v>1295</v>
      </c>
      <c r="B56" s="579">
        <f t="shared" si="12"/>
        <v>8</v>
      </c>
      <c r="C56" s="327"/>
      <c r="D56" s="153"/>
      <c r="E56" s="1137"/>
      <c r="F56" s="1138">
        <f>+[7]cons!E55</f>
        <v>0</v>
      </c>
      <c r="G56" s="1137"/>
      <c r="H56" s="1138">
        <f>+[7]cons!G55</f>
        <v>0</v>
      </c>
      <c r="I56" s="1137"/>
      <c r="J56" s="1138">
        <f>+[7]cons!I55</f>
        <v>0</v>
      </c>
      <c r="K56" s="1137"/>
      <c r="L56" s="1138">
        <f>+[7]cons!K55</f>
        <v>0</v>
      </c>
      <c r="M56" s="1137"/>
      <c r="N56" s="1138">
        <f>+[7]cons!M55</f>
        <v>0</v>
      </c>
      <c r="O56" s="1137"/>
      <c r="P56" s="1138">
        <f>+[7]cons!O55</f>
        <v>0</v>
      </c>
      <c r="Q56" s="1137"/>
      <c r="R56" s="1138">
        <f>+[7]cons!Q55</f>
        <v>0</v>
      </c>
      <c r="S56" s="1137"/>
      <c r="T56" s="1138">
        <f>+[7]cons!S55</f>
        <v>8</v>
      </c>
      <c r="U56" s="1137"/>
      <c r="V56" s="1138">
        <f>+[7]cons!U55</f>
        <v>0</v>
      </c>
      <c r="W56" s="1137"/>
      <c r="X56" s="1138">
        <f>+[7]cons!W55</f>
        <v>0</v>
      </c>
      <c r="Y56" s="1137"/>
      <c r="Z56" s="1138">
        <f>+[7]cons!Y55</f>
        <v>0</v>
      </c>
      <c r="AA56" s="1137"/>
      <c r="AB56" s="1138">
        <f>+[7]cons!AA55</f>
        <v>0</v>
      </c>
      <c r="AC56" s="1137"/>
      <c r="AD56" s="1138">
        <f>+[7]cons!AC55</f>
        <v>0</v>
      </c>
    </row>
    <row r="57" spans="1:30" ht="21">
      <c r="A57" s="1108" t="s">
        <v>1296</v>
      </c>
      <c r="B57" s="579">
        <f t="shared" si="12"/>
        <v>1427</v>
      </c>
      <c r="C57" s="327"/>
      <c r="D57" s="153"/>
      <c r="E57" s="1137"/>
      <c r="F57" s="1138">
        <f>+[7]cons!E56</f>
        <v>151</v>
      </c>
      <c r="G57" s="1137"/>
      <c r="H57" s="1138">
        <f>+[7]cons!G56</f>
        <v>179</v>
      </c>
      <c r="I57" s="1137"/>
      <c r="J57" s="1138">
        <f>+[7]cons!I56</f>
        <v>77</v>
      </c>
      <c r="K57" s="1137"/>
      <c r="L57" s="1138">
        <f>+[7]cons!K56</f>
        <v>85</v>
      </c>
      <c r="M57" s="1137"/>
      <c r="N57" s="1138">
        <f>+[7]cons!M56</f>
        <v>2</v>
      </c>
      <c r="O57" s="1137"/>
      <c r="P57" s="1138">
        <f>+[7]cons!O56</f>
        <v>9</v>
      </c>
      <c r="Q57" s="1137"/>
      <c r="R57" s="1138">
        <f>+[7]cons!Q56</f>
        <v>176</v>
      </c>
      <c r="S57" s="1137"/>
      <c r="T57" s="1138">
        <f>+[7]cons!S56</f>
        <v>357</v>
      </c>
      <c r="U57" s="1137"/>
      <c r="V57" s="1138">
        <f>+[7]cons!U56</f>
        <v>49</v>
      </c>
      <c r="W57" s="1137"/>
      <c r="X57" s="1138">
        <f>+[7]cons!W56</f>
        <v>135</v>
      </c>
      <c r="Y57" s="1137"/>
      <c r="Z57" s="1138">
        <f>+[7]cons!Y56</f>
        <v>40</v>
      </c>
      <c r="AA57" s="1137"/>
      <c r="AB57" s="1138">
        <f>+[7]cons!AA56</f>
        <v>62</v>
      </c>
      <c r="AC57" s="1137"/>
      <c r="AD57" s="1138">
        <f>+[7]cons!AC56</f>
        <v>105</v>
      </c>
    </row>
    <row r="58" spans="1:30">
      <c r="A58" s="1108" t="s">
        <v>1297</v>
      </c>
      <c r="B58" s="579">
        <f t="shared" si="12"/>
        <v>296</v>
      </c>
      <c r="C58" s="327"/>
      <c r="D58" s="153"/>
      <c r="E58" s="1137"/>
      <c r="F58" s="1138">
        <f>+[7]cons!E57</f>
        <v>39</v>
      </c>
      <c r="G58" s="1137"/>
      <c r="H58" s="1138">
        <f>+[7]cons!G57</f>
        <v>43</v>
      </c>
      <c r="I58" s="1137"/>
      <c r="J58" s="1138">
        <f>+[7]cons!I57</f>
        <v>15</v>
      </c>
      <c r="K58" s="1137"/>
      <c r="L58" s="1138">
        <f>+[7]cons!K57</f>
        <v>36</v>
      </c>
      <c r="M58" s="1137"/>
      <c r="N58" s="1138">
        <f>+[7]cons!M57</f>
        <v>33</v>
      </c>
      <c r="O58" s="1137"/>
      <c r="P58" s="1138">
        <f>+[7]cons!O57</f>
        <v>0</v>
      </c>
      <c r="Q58" s="1137"/>
      <c r="R58" s="1138">
        <f>+[7]cons!Q57</f>
        <v>30</v>
      </c>
      <c r="S58" s="1137"/>
      <c r="T58" s="1138">
        <f>+[7]cons!S57</f>
        <v>32</v>
      </c>
      <c r="U58" s="1137"/>
      <c r="V58" s="1138">
        <f>+[7]cons!U57</f>
        <v>5</v>
      </c>
      <c r="W58" s="1137"/>
      <c r="X58" s="1138">
        <f>+[7]cons!W57</f>
        <v>16</v>
      </c>
      <c r="Y58" s="1137"/>
      <c r="Z58" s="1138">
        <f>+[7]cons!Y57</f>
        <v>18</v>
      </c>
      <c r="AA58" s="1137"/>
      <c r="AB58" s="1138">
        <f>+[7]cons!AA57</f>
        <v>18</v>
      </c>
      <c r="AC58" s="1137"/>
      <c r="AD58" s="1138">
        <f>+[7]cons!AC57</f>
        <v>11</v>
      </c>
    </row>
    <row r="59" spans="1:30">
      <c r="A59" s="1108" t="s">
        <v>1298</v>
      </c>
      <c r="B59" s="579">
        <f t="shared" si="12"/>
        <v>672</v>
      </c>
      <c r="C59" s="327"/>
      <c r="D59" s="153"/>
      <c r="E59" s="1137"/>
      <c r="F59" s="1138">
        <f>+[7]cons!E58</f>
        <v>82</v>
      </c>
      <c r="G59" s="1137"/>
      <c r="H59" s="1138">
        <f>+[7]cons!G58</f>
        <v>78</v>
      </c>
      <c r="I59" s="1137"/>
      <c r="J59" s="1138">
        <f>+[7]cons!I58</f>
        <v>16</v>
      </c>
      <c r="K59" s="1137"/>
      <c r="L59" s="1138">
        <f>+[7]cons!K58</f>
        <v>55</v>
      </c>
      <c r="M59" s="1137"/>
      <c r="N59" s="1138">
        <f>+[7]cons!M58</f>
        <v>14</v>
      </c>
      <c r="O59" s="1137"/>
      <c r="P59" s="1138">
        <f>+[7]cons!O58</f>
        <v>20</v>
      </c>
      <c r="Q59" s="1137"/>
      <c r="R59" s="1138">
        <f>+[7]cons!Q58</f>
        <v>124</v>
      </c>
      <c r="S59" s="1137"/>
      <c r="T59" s="1138">
        <f>+[7]cons!S58</f>
        <v>132</v>
      </c>
      <c r="U59" s="1137"/>
      <c r="V59" s="1138">
        <f>+[7]cons!U58</f>
        <v>39</v>
      </c>
      <c r="W59" s="1137"/>
      <c r="X59" s="1138">
        <f>+[7]cons!W58</f>
        <v>46</v>
      </c>
      <c r="Y59" s="1137"/>
      <c r="Z59" s="1138">
        <f>+[7]cons!Y58</f>
        <v>11</v>
      </c>
      <c r="AA59" s="1137"/>
      <c r="AB59" s="1138">
        <f>+[7]cons!AA58</f>
        <v>29</v>
      </c>
      <c r="AC59" s="1137"/>
      <c r="AD59" s="1138">
        <f>+[7]cons!AC58</f>
        <v>26</v>
      </c>
    </row>
    <row r="60" spans="1:30">
      <c r="A60" s="1109" t="s">
        <v>1299</v>
      </c>
      <c r="B60" s="579">
        <f t="shared" si="12"/>
        <v>613</v>
      </c>
      <c r="C60" s="327"/>
      <c r="D60" s="153"/>
      <c r="E60" s="1137"/>
      <c r="F60" s="1138">
        <f>+[7]cons!E59</f>
        <v>93</v>
      </c>
      <c r="G60" s="1137"/>
      <c r="H60" s="1138">
        <f>+[7]cons!G59</f>
        <v>43</v>
      </c>
      <c r="I60" s="1137"/>
      <c r="J60" s="1138">
        <f>+[7]cons!I59</f>
        <v>40</v>
      </c>
      <c r="K60" s="1137"/>
      <c r="L60" s="1138">
        <f>+[7]cons!K59</f>
        <v>38</v>
      </c>
      <c r="M60" s="1137"/>
      <c r="N60" s="1138">
        <f>+[7]cons!M59</f>
        <v>67</v>
      </c>
      <c r="O60" s="1137"/>
      <c r="P60" s="1138">
        <f>+[7]cons!O59</f>
        <v>17</v>
      </c>
      <c r="Q60" s="1137"/>
      <c r="R60" s="1138">
        <f>+[7]cons!Q59</f>
        <v>61</v>
      </c>
      <c r="S60" s="1137"/>
      <c r="T60" s="1138">
        <f>+[7]cons!S59</f>
        <v>139</v>
      </c>
      <c r="U60" s="1137"/>
      <c r="V60" s="1138">
        <f>+[7]cons!U59</f>
        <v>9</v>
      </c>
      <c r="W60" s="1137"/>
      <c r="X60" s="1138">
        <f>+[7]cons!W59</f>
        <v>44</v>
      </c>
      <c r="Y60" s="1137"/>
      <c r="Z60" s="1138">
        <f>+[7]cons!Y59</f>
        <v>6</v>
      </c>
      <c r="AA60" s="1137"/>
      <c r="AB60" s="1138">
        <f>+[7]cons!AA59</f>
        <v>32</v>
      </c>
      <c r="AC60" s="1137"/>
      <c r="AD60" s="1138">
        <f>+[7]cons!AC59</f>
        <v>24</v>
      </c>
    </row>
    <row r="61" spans="1:30" ht="21">
      <c r="A61" s="1108" t="s">
        <v>1322</v>
      </c>
      <c r="B61" s="579">
        <f t="shared" si="12"/>
        <v>61</v>
      </c>
      <c r="C61" s="327"/>
      <c r="D61" s="153"/>
      <c r="E61" s="1137"/>
      <c r="F61" s="1138">
        <f>+[7]cons!E60</f>
        <v>0</v>
      </c>
      <c r="G61" s="1137"/>
      <c r="H61" s="1138">
        <f>+[7]cons!G60</f>
        <v>39</v>
      </c>
      <c r="I61" s="1137"/>
      <c r="J61" s="1138">
        <f>+[7]cons!I60</f>
        <v>0</v>
      </c>
      <c r="K61" s="1137"/>
      <c r="L61" s="1138">
        <f>+[7]cons!K60</f>
        <v>0</v>
      </c>
      <c r="M61" s="1137"/>
      <c r="N61" s="1138">
        <f>+[7]cons!M60</f>
        <v>0</v>
      </c>
      <c r="O61" s="1137"/>
      <c r="P61" s="1138">
        <f>+[7]cons!O60</f>
        <v>0</v>
      </c>
      <c r="Q61" s="1137"/>
      <c r="R61" s="1138">
        <f>+[7]cons!Q60</f>
        <v>0</v>
      </c>
      <c r="S61" s="1137"/>
      <c r="T61" s="1138">
        <f>+[7]cons!S60</f>
        <v>22</v>
      </c>
      <c r="U61" s="1137"/>
      <c r="V61" s="1138">
        <f>+[7]cons!U60</f>
        <v>0</v>
      </c>
      <c r="W61" s="1137"/>
      <c r="X61" s="1138">
        <f>+[7]cons!W60</f>
        <v>0</v>
      </c>
      <c r="Y61" s="1137"/>
      <c r="Z61" s="1138">
        <f>+[7]cons!Y60</f>
        <v>0</v>
      </c>
      <c r="AA61" s="1137"/>
      <c r="AB61" s="1138">
        <f>+[7]cons!AA60</f>
        <v>0</v>
      </c>
      <c r="AC61" s="1137"/>
      <c r="AD61" s="1138">
        <f>+[7]cons!AC60</f>
        <v>0</v>
      </c>
    </row>
    <row r="62" spans="1:30">
      <c r="A62" s="1109" t="s">
        <v>1323</v>
      </c>
      <c r="B62" s="579">
        <f t="shared" si="12"/>
        <v>2</v>
      </c>
      <c r="C62" s="327"/>
      <c r="D62" s="153"/>
      <c r="E62" s="1137"/>
      <c r="F62" s="1138">
        <f>+[7]cons!E61</f>
        <v>0</v>
      </c>
      <c r="G62" s="1137"/>
      <c r="H62" s="1138">
        <f>+[7]cons!G61</f>
        <v>0</v>
      </c>
      <c r="I62" s="1137"/>
      <c r="J62" s="1138">
        <f>+[7]cons!I61</f>
        <v>0</v>
      </c>
      <c r="K62" s="1137"/>
      <c r="L62" s="1138">
        <f>+[7]cons!K61</f>
        <v>0</v>
      </c>
      <c r="M62" s="1137"/>
      <c r="N62" s="1138">
        <f>+[7]cons!M61</f>
        <v>0</v>
      </c>
      <c r="O62" s="1137"/>
      <c r="P62" s="1138">
        <f>+[7]cons!O61</f>
        <v>0</v>
      </c>
      <c r="Q62" s="1137"/>
      <c r="R62" s="1138">
        <f>+[7]cons!Q61</f>
        <v>0</v>
      </c>
      <c r="S62" s="1137"/>
      <c r="T62" s="1138">
        <f>+[7]cons!S61</f>
        <v>2</v>
      </c>
      <c r="U62" s="1137"/>
      <c r="V62" s="1138">
        <f>+[7]cons!U61</f>
        <v>0</v>
      </c>
      <c r="W62" s="1137"/>
      <c r="X62" s="1138">
        <f>+[7]cons!W61</f>
        <v>0</v>
      </c>
      <c r="Y62" s="1137"/>
      <c r="Z62" s="1138">
        <f>+[7]cons!Y61</f>
        <v>0</v>
      </c>
      <c r="AA62" s="1137"/>
      <c r="AB62" s="1138">
        <f>+[7]cons!AA61</f>
        <v>0</v>
      </c>
      <c r="AC62" s="1137"/>
      <c r="AD62" s="1138">
        <f>+[7]cons!AC61</f>
        <v>0</v>
      </c>
    </row>
    <row r="63" spans="1:30" ht="21">
      <c r="A63" s="1109" t="s">
        <v>1324</v>
      </c>
      <c r="B63" s="579">
        <f t="shared" si="12"/>
        <v>2</v>
      </c>
      <c r="C63" s="327"/>
      <c r="D63" s="153"/>
      <c r="E63" s="1137"/>
      <c r="F63" s="1138">
        <f>+[7]cons!E62</f>
        <v>0</v>
      </c>
      <c r="G63" s="1137"/>
      <c r="H63" s="1138">
        <f>+[7]cons!G62</f>
        <v>0</v>
      </c>
      <c r="I63" s="1137"/>
      <c r="J63" s="1138">
        <f>+[7]cons!I62</f>
        <v>0</v>
      </c>
      <c r="K63" s="1137"/>
      <c r="L63" s="1138">
        <f>+[7]cons!K62</f>
        <v>0</v>
      </c>
      <c r="M63" s="1137"/>
      <c r="N63" s="1138">
        <f>+[7]cons!M62</f>
        <v>0</v>
      </c>
      <c r="O63" s="1137"/>
      <c r="P63" s="1138">
        <f>+[7]cons!O62</f>
        <v>0</v>
      </c>
      <c r="Q63" s="1137"/>
      <c r="R63" s="1138">
        <f>+[7]cons!Q62</f>
        <v>0</v>
      </c>
      <c r="S63" s="1137"/>
      <c r="T63" s="1138">
        <f>+[7]cons!S62</f>
        <v>2</v>
      </c>
      <c r="U63" s="1137"/>
      <c r="V63" s="1138">
        <f>+[7]cons!U62</f>
        <v>0</v>
      </c>
      <c r="W63" s="1137"/>
      <c r="X63" s="1138">
        <f>+[7]cons!W62</f>
        <v>0</v>
      </c>
      <c r="Y63" s="1137"/>
      <c r="Z63" s="1138">
        <f>+[7]cons!Y62</f>
        <v>0</v>
      </c>
      <c r="AA63" s="1137"/>
      <c r="AB63" s="1138">
        <f>+[7]cons!AA62</f>
        <v>0</v>
      </c>
      <c r="AC63" s="1137"/>
      <c r="AD63" s="1138">
        <f>+[7]cons!AC62</f>
        <v>0</v>
      </c>
    </row>
    <row r="64" spans="1:30" ht="21">
      <c r="A64" s="1110" t="s">
        <v>1300</v>
      </c>
      <c r="B64" s="579">
        <f t="shared" si="12"/>
        <v>0</v>
      </c>
      <c r="C64" s="327"/>
      <c r="D64" s="153"/>
      <c r="E64" s="1137"/>
      <c r="F64" s="1138">
        <f>+[7]cons!E63</f>
        <v>0</v>
      </c>
      <c r="G64" s="1137"/>
      <c r="H64" s="1138">
        <f>+[7]cons!G63</f>
        <v>0</v>
      </c>
      <c r="I64" s="1137"/>
      <c r="J64" s="1138">
        <f>+[7]cons!I63</f>
        <v>0</v>
      </c>
      <c r="K64" s="1137"/>
      <c r="L64" s="1138">
        <f>+[7]cons!K63</f>
        <v>0</v>
      </c>
      <c r="M64" s="1137"/>
      <c r="N64" s="1138">
        <f>+[7]cons!M63</f>
        <v>0</v>
      </c>
      <c r="O64" s="1137"/>
      <c r="P64" s="1138">
        <f>+[7]cons!O63</f>
        <v>0</v>
      </c>
      <c r="Q64" s="1137"/>
      <c r="R64" s="1138">
        <f>+[7]cons!Q63</f>
        <v>0</v>
      </c>
      <c r="S64" s="1137"/>
      <c r="T64" s="1138">
        <f>+[7]cons!S63</f>
        <v>0</v>
      </c>
      <c r="U64" s="1137"/>
      <c r="V64" s="1138">
        <f>+[7]cons!U63</f>
        <v>0</v>
      </c>
      <c r="W64" s="1137"/>
      <c r="X64" s="1138">
        <f>+[7]cons!W63</f>
        <v>0</v>
      </c>
      <c r="Y64" s="1137"/>
      <c r="Z64" s="1138">
        <f>+[7]cons!Y63</f>
        <v>0</v>
      </c>
      <c r="AA64" s="1137"/>
      <c r="AB64" s="1138">
        <f>+[7]cons!AA63</f>
        <v>0</v>
      </c>
      <c r="AC64" s="1137"/>
      <c r="AD64" s="1138">
        <f>+[7]cons!AC63</f>
        <v>0</v>
      </c>
    </row>
    <row r="65" spans="1:30">
      <c r="A65" s="1111" t="s">
        <v>535</v>
      </c>
      <c r="B65" s="1157">
        <f>SUM(B54:B64)</f>
        <v>6231</v>
      </c>
      <c r="C65" s="187"/>
      <c r="D65" s="752"/>
      <c r="E65" s="187"/>
      <c r="F65" s="1158">
        <f>SUM(F54:F64)</f>
        <v>636</v>
      </c>
      <c r="G65" s="752"/>
      <c r="H65" s="1159">
        <f>SUM(H54:H64)</f>
        <v>762</v>
      </c>
      <c r="I65" s="187"/>
      <c r="J65" s="1158">
        <f>SUM(J54:J64)</f>
        <v>307</v>
      </c>
      <c r="K65" s="752"/>
      <c r="L65" s="1159">
        <f>SUM(L54:L64)</f>
        <v>473</v>
      </c>
      <c r="M65" s="187"/>
      <c r="N65" s="1158">
        <f>SUM(N54:N64)</f>
        <v>412</v>
      </c>
      <c r="O65" s="752"/>
      <c r="P65" s="1159">
        <f>SUM(P54:P64)</f>
        <v>221</v>
      </c>
      <c r="Q65" s="187"/>
      <c r="R65" s="1158">
        <f>SUM(R54:R64)</f>
        <v>783</v>
      </c>
      <c r="S65" s="752"/>
      <c r="T65" s="1159">
        <f>SUM(T54:T64)</f>
        <v>1132</v>
      </c>
      <c r="U65" s="187"/>
      <c r="V65" s="1158">
        <f>SUM(V54:V64)</f>
        <v>224</v>
      </c>
      <c r="W65" s="752"/>
      <c r="X65" s="1159">
        <f>SUM(X54:X64)</f>
        <v>529</v>
      </c>
      <c r="Y65" s="187"/>
      <c r="Z65" s="1158">
        <f>SUM(Z54:Z64)</f>
        <v>99</v>
      </c>
      <c r="AA65" s="752"/>
      <c r="AB65" s="1159">
        <f>SUM(AB54:AB64)</f>
        <v>334</v>
      </c>
      <c r="AC65" s="187"/>
      <c r="AD65" s="1158">
        <f>SUM(AD54:AD64)</f>
        <v>319</v>
      </c>
    </row>
  </sheetData>
  <mergeCells count="14">
    <mergeCell ref="W3:X3"/>
    <mergeCell ref="Y3:Z3"/>
    <mergeCell ref="AC3:AD3"/>
    <mergeCell ref="AA3:AB3"/>
    <mergeCell ref="A1:AB1"/>
    <mergeCell ref="E3:F3"/>
    <mergeCell ref="G3:H3"/>
    <mergeCell ref="I3:J3"/>
    <mergeCell ref="K3:L3"/>
    <mergeCell ref="M3:N3"/>
    <mergeCell ref="O3:P3"/>
    <mergeCell ref="Q3:R3"/>
    <mergeCell ref="S3:T3"/>
    <mergeCell ref="U3:V3"/>
  </mergeCells>
  <phoneticPr fontId="19" type="noConversion"/>
  <dataValidations disablePrompts="1" count="3">
    <dataValidation type="list" errorStyle="information" allowBlank="1" showInputMessage="1" showErrorMessage="1" errorTitle="COMUNAS" error="Por favor, utilice la lista disponible con la flecha lateral para seleccionar la Comuna._x000a_Gracias!_x000a_EQUIPO DEIS" sqref="AC3 I3:P3 U3:AA3">
      <formula1>$AM$1:$AM$325</formula1>
    </dataValidation>
    <dataValidation type="list" errorStyle="information" allowBlank="1" showInputMessage="1" showErrorMessage="1" errorTitle="COMUNAS" error="Por favor, utilice la lista disponible con la flecha lateral para seleccionar la Comuna._x000a_Gracias!_x000a_EQUIPO DEIS" sqref="S3:T3">
      <formula1>$AQ$1:$AQ$325</formula1>
    </dataValidation>
    <dataValidation type="list" errorStyle="information" allowBlank="1" showInputMessage="1" showErrorMessage="1" errorTitle="COMUNAS" error="Por favor, utilice la lista disponible con la flecha lateral para seleccionar la Comuna._x000a_Gracias!_x000a_EQUIPO DEIS" sqref="Q3:R3">
      <formula1>$AN$1:$AN$325</formula1>
    </dataValidation>
  </dataValidations>
  <pageMargins left="1.1811023622047245" right="0.19685039370078741" top="0.78740157480314965" bottom="0.78740157480314965" header="0" footer="0"/>
  <pageSetup paperSize="5" scale="75" orientation="landscape" horizontalDpi="300"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6"/>
  <sheetViews>
    <sheetView zoomScale="83" zoomScaleNormal="83" workbookViewId="0">
      <pane xSplit="2" ySplit="4" topLeftCell="C50" activePane="bottomRight" state="frozen"/>
      <selection pane="topRight" activeCell="C1" sqref="C1"/>
      <selection pane="bottomLeft" activeCell="A5" sqref="A5"/>
      <selection pane="bottomRight" activeCell="L9" sqref="L9"/>
    </sheetView>
  </sheetViews>
  <sheetFormatPr baseColWidth="10" defaultRowHeight="12.75"/>
  <cols>
    <col min="1" max="1" width="24.5703125" customWidth="1"/>
    <col min="2" max="2" width="10.85546875" style="431" customWidth="1"/>
    <col min="3" max="3" width="12.7109375" style="585" customWidth="1"/>
    <col min="4" max="4" width="9.85546875" style="585" customWidth="1"/>
    <col min="5" max="5" width="9.28515625" style="585" customWidth="1"/>
    <col min="6" max="7" width="9.85546875" style="585" customWidth="1"/>
    <col min="8" max="8" width="16.7109375" customWidth="1"/>
    <col min="9" max="9" width="16" customWidth="1"/>
    <col min="10" max="10" width="12.5703125" customWidth="1"/>
  </cols>
  <sheetData>
    <row r="1" spans="1:10">
      <c r="A1" s="1434" t="s">
        <v>1415</v>
      </c>
      <c r="B1" s="1434"/>
      <c r="C1" s="1434"/>
      <c r="D1" s="1434"/>
      <c r="E1" s="1434"/>
      <c r="F1" s="1434"/>
      <c r="G1" s="1434"/>
      <c r="H1" s="1434"/>
      <c r="I1" s="1434"/>
      <c r="J1" s="1434"/>
    </row>
    <row r="2" spans="1:10" ht="20.25" customHeight="1">
      <c r="A2" s="567"/>
      <c r="B2" s="584"/>
    </row>
    <row r="3" spans="1:10" s="354" customFormat="1" ht="24" customHeight="1">
      <c r="A3" s="513" t="s">
        <v>1043</v>
      </c>
      <c r="B3" s="586" t="s">
        <v>1092</v>
      </c>
      <c r="C3" s="586" t="s">
        <v>1093</v>
      </c>
      <c r="D3" s="1429" t="s">
        <v>1571</v>
      </c>
      <c r="E3" s="1430"/>
      <c r="F3" s="1430"/>
      <c r="G3" s="1430"/>
      <c r="H3" s="1431" t="s">
        <v>1094</v>
      </c>
      <c r="I3" s="1432"/>
      <c r="J3" s="1433"/>
    </row>
    <row r="4" spans="1:10" s="354" customFormat="1" ht="36" customHeight="1">
      <c r="A4" s="571"/>
      <c r="B4" s="588" t="s">
        <v>535</v>
      </c>
      <c r="C4" s="325" t="s">
        <v>1043</v>
      </c>
      <c r="D4" s="589" t="s">
        <v>535</v>
      </c>
      <c r="E4" s="589" t="s">
        <v>1095</v>
      </c>
      <c r="F4" s="590" t="s">
        <v>1096</v>
      </c>
      <c r="G4" s="590" t="s">
        <v>1097</v>
      </c>
      <c r="H4" s="1140" t="s">
        <v>1261</v>
      </c>
      <c r="I4" s="1140" t="s">
        <v>1262</v>
      </c>
      <c r="J4" s="1140" t="s">
        <v>1329</v>
      </c>
    </row>
    <row r="5" spans="1:10" s="354" customFormat="1" ht="23.25" customHeight="1">
      <c r="A5" s="591" t="s">
        <v>1052</v>
      </c>
      <c r="B5" s="592">
        <f>+'55'!B5</f>
        <v>1012</v>
      </c>
      <c r="C5" s="325">
        <f>+[8]A07!B12</f>
        <v>7035</v>
      </c>
      <c r="D5" s="325">
        <f>SUM(E5:G5)</f>
        <v>1423</v>
      </c>
      <c r="E5" s="325">
        <f>+[8]A07!Y12+[8]A07!AC12</f>
        <v>762</v>
      </c>
      <c r="F5" s="1134">
        <f>+[8]A07!Z12+[8]A07!AD12</f>
        <v>609</v>
      </c>
      <c r="G5" s="1134">
        <f>+[8]A07!AA12+[8]A07!AE12</f>
        <v>52</v>
      </c>
      <c r="H5" s="1106">
        <f>+E5/B5*100</f>
        <v>75.296442687747032</v>
      </c>
      <c r="I5" s="1106">
        <f>+D5/C5*100</f>
        <v>20.227434257285005</v>
      </c>
      <c r="J5" s="1106">
        <f>+E5/C5*100</f>
        <v>10.831556503198295</v>
      </c>
    </row>
    <row r="6" spans="1:10" s="354" customFormat="1" ht="23.25" customHeight="1">
      <c r="A6" s="591" t="s">
        <v>1053</v>
      </c>
      <c r="B6" s="592">
        <f>+'55'!B6</f>
        <v>5023</v>
      </c>
      <c r="C6" s="1134">
        <f>+[8]A07!B13</f>
        <v>24604</v>
      </c>
      <c r="D6" s="325">
        <f t="shared" ref="D6:D30" si="0">SUM(E6:G6)</f>
        <v>3695</v>
      </c>
      <c r="E6" s="1134">
        <f>+[8]A07!Y13+[8]A07!AC13</f>
        <v>2764</v>
      </c>
      <c r="F6" s="1134">
        <f>+[8]A07!Z13+[8]A07!AD13</f>
        <v>931</v>
      </c>
      <c r="G6" s="1134">
        <f>+[8]A07!AA13+[8]A07!AE13</f>
        <v>0</v>
      </c>
      <c r="H6" s="1106">
        <f t="shared" ref="H6:H51" si="1">+E6/B6*100</f>
        <v>55.026876368703959</v>
      </c>
      <c r="I6" s="1106">
        <f t="shared" ref="I6:I49" si="2">+D6/C6*100</f>
        <v>15.017883271012844</v>
      </c>
      <c r="J6" s="1106">
        <f t="shared" ref="J6:J51" si="3">+E6/C6*100</f>
        <v>11.233945699886197</v>
      </c>
    </row>
    <row r="7" spans="1:10" s="354" customFormat="1" ht="23.25" customHeight="1">
      <c r="A7" s="591" t="s">
        <v>1054</v>
      </c>
      <c r="B7" s="592">
        <f>+'55'!B7</f>
        <v>0</v>
      </c>
      <c r="C7" s="1134">
        <f>+[8]A07!B14</f>
        <v>1138</v>
      </c>
      <c r="D7" s="325">
        <f t="shared" si="0"/>
        <v>0</v>
      </c>
      <c r="E7" s="1134">
        <f>+[8]A07!Y14+[8]A07!AC14</f>
        <v>0</v>
      </c>
      <c r="F7" s="1134">
        <f>+[8]A07!Z14+[8]A07!AD14</f>
        <v>0</v>
      </c>
      <c r="G7" s="1134">
        <f>+[8]A07!AA14+[8]A07!AE14</f>
        <v>0</v>
      </c>
      <c r="H7" s="1106"/>
      <c r="I7" s="1106">
        <f t="shared" si="2"/>
        <v>0</v>
      </c>
      <c r="J7" s="1106">
        <f t="shared" si="3"/>
        <v>0</v>
      </c>
    </row>
    <row r="8" spans="1:10" s="354" customFormat="1" ht="23.25" customHeight="1">
      <c r="A8" s="591" t="s">
        <v>1055</v>
      </c>
      <c r="B8" s="592">
        <f>+'55'!B8</f>
        <v>11</v>
      </c>
      <c r="C8" s="1134">
        <f>+[8]A07!B15</f>
        <v>572</v>
      </c>
      <c r="D8" s="325">
        <f t="shared" si="0"/>
        <v>57</v>
      </c>
      <c r="E8" s="1134">
        <f>+[8]A07!Y15+[8]A07!AC15</f>
        <v>13</v>
      </c>
      <c r="F8" s="1134">
        <f>+[8]A07!Z15+[8]A07!AD15</f>
        <v>44</v>
      </c>
      <c r="G8" s="1134">
        <f>+[8]A07!AA15+[8]A07!AE15</f>
        <v>0</v>
      </c>
      <c r="H8" s="1106">
        <f t="shared" si="1"/>
        <v>118.18181818181819</v>
      </c>
      <c r="I8" s="1106">
        <f t="shared" si="2"/>
        <v>9.965034965034965</v>
      </c>
      <c r="J8" s="1106">
        <f t="shared" si="3"/>
        <v>2.2727272727272729</v>
      </c>
    </row>
    <row r="9" spans="1:10" s="354" customFormat="1" ht="23.25" customHeight="1">
      <c r="A9" s="591" t="s">
        <v>1056</v>
      </c>
      <c r="B9" s="592">
        <f>+'55'!B9</f>
        <v>28</v>
      </c>
      <c r="C9" s="1134">
        <f>+[8]A07!B16</f>
        <v>4832</v>
      </c>
      <c r="D9" s="325">
        <f t="shared" si="0"/>
        <v>692</v>
      </c>
      <c r="E9" s="1134">
        <f>+[8]A07!Y16+[8]A07!AC16</f>
        <v>137</v>
      </c>
      <c r="F9" s="1134">
        <f>+[8]A07!Z16+[8]A07!AD16</f>
        <v>555</v>
      </c>
      <c r="G9" s="1134">
        <f>+[8]A07!AA16+[8]A07!AE16</f>
        <v>0</v>
      </c>
      <c r="H9" s="1106">
        <f t="shared" si="1"/>
        <v>489.28571428571433</v>
      </c>
      <c r="I9" s="1106">
        <f t="shared" si="2"/>
        <v>14.321192052980134</v>
      </c>
      <c r="J9" s="1106">
        <f t="shared" si="3"/>
        <v>2.8352649006622515</v>
      </c>
    </row>
    <row r="10" spans="1:10" s="354" customFormat="1" ht="23.25" customHeight="1">
      <c r="A10" s="591" t="s">
        <v>1057</v>
      </c>
      <c r="B10" s="592">
        <f>+'55'!B10</f>
        <v>5</v>
      </c>
      <c r="C10" s="1134">
        <f>+[8]A07!B17</f>
        <v>1020</v>
      </c>
      <c r="D10" s="325">
        <f t="shared" si="0"/>
        <v>186</v>
      </c>
      <c r="E10" s="1134">
        <f>+[8]A07!Y17+[8]A07!AC17</f>
        <v>20</v>
      </c>
      <c r="F10" s="1134">
        <f>+[8]A07!Z17+[8]A07!AD17</f>
        <v>166</v>
      </c>
      <c r="G10" s="1134">
        <f>+[8]A07!AA17+[8]A07!AE17</f>
        <v>0</v>
      </c>
      <c r="H10" s="1106">
        <f t="shared" si="1"/>
        <v>400</v>
      </c>
      <c r="I10" s="1106">
        <f t="shared" si="2"/>
        <v>18.235294117647058</v>
      </c>
      <c r="J10" s="1106">
        <f t="shared" si="3"/>
        <v>1.9607843137254901</v>
      </c>
    </row>
    <row r="11" spans="1:10" s="354" customFormat="1" ht="23.25" customHeight="1">
      <c r="A11" s="591" t="s">
        <v>1058</v>
      </c>
      <c r="B11" s="592">
        <f>+'55'!B11</f>
        <v>1</v>
      </c>
      <c r="C11" s="1134">
        <f>+[8]A07!B18</f>
        <v>1235</v>
      </c>
      <c r="D11" s="325">
        <f t="shared" si="0"/>
        <v>172</v>
      </c>
      <c r="E11" s="1134">
        <f>+[8]A07!Y18+[8]A07!AC18</f>
        <v>17</v>
      </c>
      <c r="F11" s="1134">
        <f>+[8]A07!Z18+[8]A07!AD18</f>
        <v>155</v>
      </c>
      <c r="G11" s="1134">
        <f>+[8]A07!AA18+[8]A07!AE18</f>
        <v>0</v>
      </c>
      <c r="H11" s="1106">
        <f t="shared" si="1"/>
        <v>1700</v>
      </c>
      <c r="I11" s="1106">
        <f t="shared" si="2"/>
        <v>13.927125506072874</v>
      </c>
      <c r="J11" s="1106">
        <f t="shared" si="3"/>
        <v>1.3765182186234819</v>
      </c>
    </row>
    <row r="12" spans="1:10" s="354" customFormat="1" ht="23.25" customHeight="1">
      <c r="A12" s="591" t="s">
        <v>1059</v>
      </c>
      <c r="B12" s="592">
        <f>+'55'!B12</f>
        <v>0</v>
      </c>
      <c r="C12" s="1134">
        <f>+[8]A07!B19</f>
        <v>0</v>
      </c>
      <c r="D12" s="325">
        <f t="shared" si="0"/>
        <v>0</v>
      </c>
      <c r="E12" s="1134">
        <f>+[8]A07!Y19+[8]A07!AC19</f>
        <v>0</v>
      </c>
      <c r="F12" s="1134">
        <f>+[8]A07!Z19+[8]A07!AD19</f>
        <v>0</v>
      </c>
      <c r="G12" s="1134">
        <f>+[8]A07!AA19+[8]A07!AE19</f>
        <v>0</v>
      </c>
      <c r="H12" s="1106"/>
      <c r="I12" s="1106"/>
      <c r="J12" s="1106"/>
    </row>
    <row r="13" spans="1:10" s="354" customFormat="1" ht="23.25" customHeight="1">
      <c r="A13" s="591" t="s">
        <v>1060</v>
      </c>
      <c r="B13" s="592">
        <f>+'55'!B13</f>
        <v>0</v>
      </c>
      <c r="C13" s="1134">
        <f>+[8]A07!B20</f>
        <v>385</v>
      </c>
      <c r="D13" s="325">
        <f t="shared" si="0"/>
        <v>52</v>
      </c>
      <c r="E13" s="1134">
        <f>+[8]A07!Y20+[8]A07!AC20</f>
        <v>1</v>
      </c>
      <c r="F13" s="1134">
        <f>+[8]A07!Z20+[8]A07!AD20</f>
        <v>51</v>
      </c>
      <c r="G13" s="1134">
        <f>+[8]A07!AA20+[8]A07!AE20</f>
        <v>0</v>
      </c>
      <c r="H13" s="1106"/>
      <c r="I13" s="1106">
        <f t="shared" si="2"/>
        <v>13.506493506493506</v>
      </c>
      <c r="J13" s="1106">
        <f t="shared" si="3"/>
        <v>0.25974025974025972</v>
      </c>
    </row>
    <row r="14" spans="1:10" s="354" customFormat="1" ht="23.25" customHeight="1">
      <c r="A14" s="1048" t="s">
        <v>130</v>
      </c>
      <c r="B14" s="592">
        <f>+'55'!B14</f>
        <v>0</v>
      </c>
      <c r="C14" s="1134">
        <f>+[8]A07!B21</f>
        <v>0</v>
      </c>
      <c r="D14" s="325">
        <f>SUM(E14:G14)</f>
        <v>0</v>
      </c>
      <c r="E14" s="1134">
        <f>+[8]A07!Y21+[8]A07!AC21</f>
        <v>0</v>
      </c>
      <c r="F14" s="1134">
        <f>+[8]A07!Z21+[8]A07!AD21</f>
        <v>0</v>
      </c>
      <c r="G14" s="1134">
        <f>+[8]A07!AA21+[8]A07!AE21</f>
        <v>0</v>
      </c>
      <c r="H14" s="1106"/>
      <c r="I14" s="1106"/>
      <c r="J14" s="1106"/>
    </row>
    <row r="15" spans="1:10" s="354" customFormat="1" ht="23.25" customHeight="1">
      <c r="A15" s="591" t="s">
        <v>1061</v>
      </c>
      <c r="B15" s="592">
        <f>+'55'!B15</f>
        <v>1</v>
      </c>
      <c r="C15" s="1134">
        <f>+[8]A07!B22</f>
        <v>854</v>
      </c>
      <c r="D15" s="325">
        <f t="shared" si="0"/>
        <v>124</v>
      </c>
      <c r="E15" s="1134">
        <f>+[8]A07!Y22+[8]A07!AC22</f>
        <v>45</v>
      </c>
      <c r="F15" s="1134">
        <f>+[8]A07!Z22+[8]A07!AD22</f>
        <v>79</v>
      </c>
      <c r="G15" s="1134">
        <f>+[8]A07!AA22+[8]A07!AE22</f>
        <v>0</v>
      </c>
      <c r="H15" s="1106">
        <f t="shared" si="1"/>
        <v>4500</v>
      </c>
      <c r="I15" s="1106">
        <f t="shared" si="2"/>
        <v>14.519906323185012</v>
      </c>
      <c r="J15" s="1106">
        <f t="shared" si="3"/>
        <v>5.269320843091335</v>
      </c>
    </row>
    <row r="16" spans="1:10" s="354" customFormat="1" ht="23.25" customHeight="1">
      <c r="A16" s="591" t="s">
        <v>1062</v>
      </c>
      <c r="B16" s="592">
        <f>+'55'!B16</f>
        <v>0</v>
      </c>
      <c r="C16" s="1134">
        <f>+[8]A07!B23</f>
        <v>0</v>
      </c>
      <c r="D16" s="325">
        <f t="shared" si="0"/>
        <v>0</v>
      </c>
      <c r="E16" s="1134">
        <f>+[8]A07!Y23+[8]A07!AC23</f>
        <v>0</v>
      </c>
      <c r="F16" s="1134">
        <f>+[8]A07!Z23+[8]A07!AD23</f>
        <v>0</v>
      </c>
      <c r="G16" s="1134">
        <f>+[8]A07!AA23+[8]A07!AE23</f>
        <v>0</v>
      </c>
      <c r="H16" s="1106"/>
      <c r="I16" s="1106"/>
      <c r="J16" s="1106"/>
    </row>
    <row r="17" spans="1:10" s="354" customFormat="1" ht="23.25" customHeight="1">
      <c r="A17" s="591" t="s">
        <v>1063</v>
      </c>
      <c r="B17" s="592">
        <f>+'55'!B17</f>
        <v>35</v>
      </c>
      <c r="C17" s="1134">
        <f>+[8]A07!B24</f>
        <v>1969</v>
      </c>
      <c r="D17" s="325">
        <f t="shared" si="0"/>
        <v>241</v>
      </c>
      <c r="E17" s="1134">
        <f>+[8]A07!Y24+[8]A07!AC24</f>
        <v>143</v>
      </c>
      <c r="F17" s="1134">
        <f>+[8]A07!Z24+[8]A07!AD24</f>
        <v>98</v>
      </c>
      <c r="G17" s="1134">
        <f>+[8]A07!AA24+[8]A07!AE24</f>
        <v>0</v>
      </c>
      <c r="H17" s="1106">
        <f t="shared" si="1"/>
        <v>408.57142857142856</v>
      </c>
      <c r="I17" s="1106">
        <f t="shared" si="2"/>
        <v>12.239715591670899</v>
      </c>
      <c r="J17" s="1106">
        <f t="shared" si="3"/>
        <v>7.2625698324022352</v>
      </c>
    </row>
    <row r="18" spans="1:10" s="354" customFormat="1" ht="23.25" customHeight="1">
      <c r="A18" s="591" t="s">
        <v>1064</v>
      </c>
      <c r="B18" s="592">
        <f>+'55'!B18</f>
        <v>1745</v>
      </c>
      <c r="C18" s="1134">
        <f>+[8]A07!B25</f>
        <v>4008</v>
      </c>
      <c r="D18" s="325">
        <f t="shared" si="0"/>
        <v>1248</v>
      </c>
      <c r="E18" s="1134">
        <f>+[8]A07!Y25+[8]A07!AC25</f>
        <v>997</v>
      </c>
      <c r="F18" s="1134">
        <f>+[8]A07!Z25+[8]A07!AD25</f>
        <v>251</v>
      </c>
      <c r="G18" s="1134">
        <f>+[8]A07!AA25+[8]A07!AE25</f>
        <v>0</v>
      </c>
      <c r="H18" s="1106">
        <f t="shared" si="1"/>
        <v>57.134670487106021</v>
      </c>
      <c r="I18" s="1106">
        <f t="shared" si="2"/>
        <v>31.137724550898206</v>
      </c>
      <c r="J18" s="1106">
        <f t="shared" si="3"/>
        <v>24.875249500998002</v>
      </c>
    </row>
    <row r="19" spans="1:10" s="354" customFormat="1" ht="23.25" customHeight="1">
      <c r="A19" s="591" t="s">
        <v>1065</v>
      </c>
      <c r="B19" s="592">
        <f>+'55'!B19</f>
        <v>18</v>
      </c>
      <c r="C19" s="1134">
        <f>+[8]A07!B26</f>
        <v>436</v>
      </c>
      <c r="D19" s="325">
        <f t="shared" si="0"/>
        <v>118</v>
      </c>
      <c r="E19" s="1134">
        <f>+[8]A07!Y26+[8]A07!AC26</f>
        <v>87</v>
      </c>
      <c r="F19" s="1134">
        <f>+[8]A07!Z26+[8]A07!AD26</f>
        <v>31</v>
      </c>
      <c r="G19" s="1134">
        <f>+[8]A07!AA26+[8]A07!AE26</f>
        <v>0</v>
      </c>
      <c r="H19" s="1106">
        <f t="shared" si="1"/>
        <v>483.33333333333331</v>
      </c>
      <c r="I19" s="1106">
        <f t="shared" si="2"/>
        <v>27.064220183486238</v>
      </c>
      <c r="J19" s="1106">
        <f t="shared" si="3"/>
        <v>19.954128440366972</v>
      </c>
    </row>
    <row r="20" spans="1:10" s="354" customFormat="1" ht="23.25" customHeight="1">
      <c r="A20" s="1049" t="s">
        <v>131</v>
      </c>
      <c r="B20" s="592">
        <f>+'55'!B20</f>
        <v>1</v>
      </c>
      <c r="C20" s="1134">
        <f>+[8]A07!B27</f>
        <v>495</v>
      </c>
      <c r="D20" s="325">
        <f>SUM(E20:G20)</f>
        <v>6</v>
      </c>
      <c r="E20" s="1134">
        <f>+[8]A07!Y27+[8]A07!AC27</f>
        <v>2</v>
      </c>
      <c r="F20" s="1134">
        <f>+[8]A07!Z27+[8]A07!AD27</f>
        <v>4</v>
      </c>
      <c r="G20" s="1134">
        <f>+[8]A07!AA27+[8]A07!AE27</f>
        <v>0</v>
      </c>
      <c r="H20" s="1106">
        <f t="shared" si="1"/>
        <v>200</v>
      </c>
      <c r="I20" s="1106">
        <f t="shared" si="2"/>
        <v>1.2121212121212122</v>
      </c>
      <c r="J20" s="1106">
        <f t="shared" si="3"/>
        <v>0.40404040404040403</v>
      </c>
    </row>
    <row r="21" spans="1:10" s="354" customFormat="1" ht="23.25" customHeight="1">
      <c r="A21" s="591" t="s">
        <v>1066</v>
      </c>
      <c r="B21" s="592">
        <f>+'55'!B21</f>
        <v>0</v>
      </c>
      <c r="C21" s="1134">
        <f>+[8]A07!B28</f>
        <v>0</v>
      </c>
      <c r="D21" s="325">
        <f t="shared" si="0"/>
        <v>0</v>
      </c>
      <c r="E21" s="1134">
        <f>+[8]A07!Y28+[8]A07!AC28</f>
        <v>0</v>
      </c>
      <c r="F21" s="1134">
        <f>+[8]A07!Z28+[8]A07!AD28</f>
        <v>0</v>
      </c>
      <c r="G21" s="1134">
        <f>+[8]A07!AA28+[8]A07!AE28</f>
        <v>0</v>
      </c>
      <c r="H21" s="1106"/>
      <c r="I21" s="1106"/>
      <c r="J21" s="1106"/>
    </row>
    <row r="22" spans="1:10" s="354" customFormat="1" ht="23.25" customHeight="1">
      <c r="A22" s="591" t="s">
        <v>1067</v>
      </c>
      <c r="B22" s="592">
        <f>+'55'!B22</f>
        <v>116</v>
      </c>
      <c r="C22" s="1134">
        <f>+[8]A07!B29</f>
        <v>954</v>
      </c>
      <c r="D22" s="325">
        <f t="shared" si="0"/>
        <v>395</v>
      </c>
      <c r="E22" s="1134">
        <f>+[8]A07!Y29+[8]A07!AC29</f>
        <v>57</v>
      </c>
      <c r="F22" s="1134">
        <f>+[8]A07!Z29+[8]A07!AD29</f>
        <v>338</v>
      </c>
      <c r="G22" s="1134">
        <f>+[8]A07!AA29+[8]A07!AE29</f>
        <v>0</v>
      </c>
      <c r="H22" s="1106">
        <f t="shared" si="1"/>
        <v>49.137931034482754</v>
      </c>
      <c r="I22" s="1106">
        <f t="shared" si="2"/>
        <v>41.40461215932914</v>
      </c>
      <c r="J22" s="1106">
        <f t="shared" si="3"/>
        <v>5.9748427672955975</v>
      </c>
    </row>
    <row r="23" spans="1:10" s="354" customFormat="1" ht="23.25" customHeight="1">
      <c r="A23" s="591" t="s">
        <v>1068</v>
      </c>
      <c r="B23" s="592">
        <f>+'55'!B23</f>
        <v>1698</v>
      </c>
      <c r="C23" s="1134">
        <f>+[8]A07!B30</f>
        <v>10088</v>
      </c>
      <c r="D23" s="325">
        <f t="shared" si="0"/>
        <v>2014</v>
      </c>
      <c r="E23" s="1134">
        <f>+[8]A07!Y30+[8]A07!AC30</f>
        <v>1276</v>
      </c>
      <c r="F23" s="1134">
        <f>+[8]A07!Z30+[8]A07!AD30</f>
        <v>726</v>
      </c>
      <c r="G23" s="1134">
        <f>+[8]A07!AA30+[8]A07!AE30</f>
        <v>12</v>
      </c>
      <c r="H23" s="1106">
        <f t="shared" si="1"/>
        <v>75.147232037691396</v>
      </c>
      <c r="I23" s="1106">
        <f t="shared" si="2"/>
        <v>19.964314036478985</v>
      </c>
      <c r="J23" s="1106">
        <f t="shared" si="3"/>
        <v>12.648691514670896</v>
      </c>
    </row>
    <row r="24" spans="1:10" s="354" customFormat="1" ht="23.25" customHeight="1">
      <c r="A24" s="591" t="s">
        <v>1069</v>
      </c>
      <c r="B24" s="592">
        <f>+'55'!B24</f>
        <v>4</v>
      </c>
      <c r="C24" s="1134">
        <f>+[8]A07!B31</f>
        <v>0</v>
      </c>
      <c r="D24" s="325">
        <f t="shared" si="0"/>
        <v>0</v>
      </c>
      <c r="E24" s="1134">
        <f>+[8]A07!Y31+[8]A07!AC31</f>
        <v>0</v>
      </c>
      <c r="F24" s="1134">
        <f>+[8]A07!Z31+[8]A07!AD31</f>
        <v>0</v>
      </c>
      <c r="G24" s="1134">
        <f>+[8]A07!AA31+[8]A07!AE31</f>
        <v>0</v>
      </c>
      <c r="H24" s="1106"/>
      <c r="I24" s="1106"/>
      <c r="J24" s="1106"/>
    </row>
    <row r="25" spans="1:10" s="354" customFormat="1" ht="23.25" customHeight="1">
      <c r="A25" s="591" t="s">
        <v>1070</v>
      </c>
      <c r="B25" s="592">
        <f>+'55'!B25</f>
        <v>775</v>
      </c>
      <c r="C25" s="1134">
        <f>+[8]A07!B32</f>
        <v>3007</v>
      </c>
      <c r="D25" s="325">
        <f t="shared" si="0"/>
        <v>674</v>
      </c>
      <c r="E25" s="1134">
        <f>+[8]A07!Y32+[8]A07!AC32</f>
        <v>541</v>
      </c>
      <c r="F25" s="1134">
        <f>+[8]A07!Z32+[8]A07!AD32</f>
        <v>70</v>
      </c>
      <c r="G25" s="1134">
        <f>+[8]A07!AA32+[8]A07!AE32</f>
        <v>63</v>
      </c>
      <c r="H25" s="1106">
        <f t="shared" si="1"/>
        <v>69.806451612903231</v>
      </c>
      <c r="I25" s="1106">
        <f t="shared" si="2"/>
        <v>22.414366478217492</v>
      </c>
      <c r="J25" s="1106">
        <f t="shared" si="3"/>
        <v>17.991353508480213</v>
      </c>
    </row>
    <row r="26" spans="1:10" s="354" customFormat="1" ht="23.25" customHeight="1">
      <c r="A26" s="591" t="s">
        <v>1071</v>
      </c>
      <c r="B26" s="592">
        <f>+'55'!B26</f>
        <v>3</v>
      </c>
      <c r="C26" s="1134">
        <f>+[8]A07!B33</f>
        <v>0</v>
      </c>
      <c r="D26" s="325">
        <f t="shared" si="0"/>
        <v>0</v>
      </c>
      <c r="E26" s="1134">
        <f>+[8]A07!Y33+[8]A07!AC33</f>
        <v>0</v>
      </c>
      <c r="F26" s="1134">
        <f>+[8]A07!Z33+[8]A07!AD33</f>
        <v>0</v>
      </c>
      <c r="G26" s="1134">
        <f>+[8]A07!AA33+[8]A07!AE33</f>
        <v>0</v>
      </c>
      <c r="H26" s="1106"/>
      <c r="I26" s="1106"/>
      <c r="J26" s="1106"/>
    </row>
    <row r="27" spans="1:10" s="354" customFormat="1" ht="23.25" customHeight="1">
      <c r="A27" s="593" t="s">
        <v>1072</v>
      </c>
      <c r="B27" s="592">
        <f>+'55'!B27</f>
        <v>830</v>
      </c>
      <c r="C27" s="1134">
        <f>+[8]A07!B34</f>
        <v>1782</v>
      </c>
      <c r="D27" s="325">
        <f t="shared" si="0"/>
        <v>750</v>
      </c>
      <c r="E27" s="1134">
        <f>+[8]A07!Y34+[8]A07!AC34</f>
        <v>564</v>
      </c>
      <c r="F27" s="1134">
        <f>+[8]A07!Z34+[8]A07!AD34</f>
        <v>155</v>
      </c>
      <c r="G27" s="1134">
        <f>+[8]A07!AA34+[8]A07!AE34</f>
        <v>31</v>
      </c>
      <c r="H27" s="1106">
        <f t="shared" si="1"/>
        <v>67.951807228915655</v>
      </c>
      <c r="I27" s="1106">
        <f t="shared" si="2"/>
        <v>42.08754208754209</v>
      </c>
      <c r="J27" s="1106">
        <f t="shared" si="3"/>
        <v>31.649831649831651</v>
      </c>
    </row>
    <row r="28" spans="1:10" s="354" customFormat="1" ht="23.25" customHeight="1">
      <c r="A28" s="593" t="s">
        <v>1073</v>
      </c>
      <c r="B28" s="592">
        <f>+'55'!B28</f>
        <v>2833</v>
      </c>
      <c r="C28" s="1134">
        <f>+[8]A07!B35</f>
        <v>14779</v>
      </c>
      <c r="D28" s="325">
        <f t="shared" si="0"/>
        <v>3035</v>
      </c>
      <c r="E28" s="1134">
        <f>+[8]A07!Y35+[8]A07!AC35</f>
        <v>2506</v>
      </c>
      <c r="F28" s="1134">
        <f>+[8]A07!Z35+[8]A07!AD35</f>
        <v>514</v>
      </c>
      <c r="G28" s="1134">
        <f>+[8]A07!AA35+[8]A07!AE35</f>
        <v>15</v>
      </c>
      <c r="H28" s="1106">
        <f t="shared" si="1"/>
        <v>88.45746558418638</v>
      </c>
      <c r="I28" s="1106">
        <f t="shared" si="2"/>
        <v>20.535895527437582</v>
      </c>
      <c r="J28" s="1106">
        <f t="shared" si="3"/>
        <v>16.956492320184044</v>
      </c>
    </row>
    <row r="29" spans="1:10" s="354" customFormat="1" ht="23.25" customHeight="1">
      <c r="A29" s="591" t="s">
        <v>1074</v>
      </c>
      <c r="B29" s="592">
        <f>+'55'!B29</f>
        <v>9</v>
      </c>
      <c r="C29" s="1134">
        <f>+[8]A07!B36</f>
        <v>0</v>
      </c>
      <c r="D29" s="325">
        <f t="shared" si="0"/>
        <v>0</v>
      </c>
      <c r="E29" s="1134">
        <f>+[8]A07!Y36+[8]A07!AC36</f>
        <v>0</v>
      </c>
      <c r="F29" s="1134">
        <f>+[8]A07!Z36+[8]A07!AD36</f>
        <v>0</v>
      </c>
      <c r="G29" s="1134">
        <f>+[8]A07!AA36+[8]A07!AE36</f>
        <v>0</v>
      </c>
      <c r="H29" s="1106"/>
      <c r="I29" s="1106"/>
      <c r="J29" s="1106"/>
    </row>
    <row r="30" spans="1:10" s="354" customFormat="1" ht="23.25" customHeight="1">
      <c r="A30" s="591" t="s">
        <v>1075</v>
      </c>
      <c r="B30" s="592">
        <f>+'55'!B30</f>
        <v>44</v>
      </c>
      <c r="C30" s="1134">
        <f>+[8]A07!B37</f>
        <v>899</v>
      </c>
      <c r="D30" s="325">
        <f t="shared" si="0"/>
        <v>65</v>
      </c>
      <c r="E30" s="1134">
        <f>+[8]A07!Y37+[8]A07!AC37</f>
        <v>30</v>
      </c>
      <c r="F30" s="1134">
        <f>+[8]A07!Z37+[8]A07!AD37</f>
        <v>35</v>
      </c>
      <c r="G30" s="1134">
        <f>+[8]A07!AA37+[8]A07!AE37</f>
        <v>0</v>
      </c>
      <c r="H30" s="1106">
        <f t="shared" si="1"/>
        <v>68.181818181818173</v>
      </c>
      <c r="I30" s="1106">
        <f t="shared" si="2"/>
        <v>7.2302558398220249</v>
      </c>
      <c r="J30" s="1106">
        <f t="shared" si="3"/>
        <v>3.3370411568409342</v>
      </c>
    </row>
    <row r="31" spans="1:10" s="354" customFormat="1" ht="23.25" customHeight="1">
      <c r="A31" s="591" t="s">
        <v>127</v>
      </c>
      <c r="B31" s="592">
        <f>+'55'!B31</f>
        <v>137</v>
      </c>
      <c r="C31" s="1134">
        <f>+[8]A07!B38</f>
        <v>673</v>
      </c>
      <c r="D31" s="325">
        <f>SUM(E31:G31)</f>
        <v>279</v>
      </c>
      <c r="E31" s="1134">
        <f>+[8]A07!Y38+[8]A07!AC38</f>
        <v>225</v>
      </c>
      <c r="F31" s="1134">
        <f>+[8]A07!Z38+[8]A07!AD38</f>
        <v>54</v>
      </c>
      <c r="G31" s="1134">
        <f>+[8]A07!AA38+[8]A07!AE38</f>
        <v>0</v>
      </c>
      <c r="H31" s="1106">
        <f t="shared" si="1"/>
        <v>164.23357664233578</v>
      </c>
      <c r="I31" s="1106">
        <f t="shared" si="2"/>
        <v>41.456166419019318</v>
      </c>
      <c r="J31" s="1106">
        <f t="shared" si="3"/>
        <v>33.43239227340267</v>
      </c>
    </row>
    <row r="32" spans="1:10" s="354" customFormat="1" ht="23.25" customHeight="1">
      <c r="A32" s="591" t="s">
        <v>1076</v>
      </c>
      <c r="B32" s="592">
        <f>+'55'!B32</f>
        <v>354</v>
      </c>
      <c r="C32" s="1134">
        <f>+[8]A07!B39</f>
        <v>0</v>
      </c>
      <c r="D32" s="325">
        <f>SUM(E32:G32)</f>
        <v>0</v>
      </c>
      <c r="E32" s="1134">
        <f>+[8]A07!Y39+[8]A07!AC39</f>
        <v>0</v>
      </c>
      <c r="F32" s="1134">
        <f>+[8]A07!Z39+[8]A07!AD39</f>
        <v>0</v>
      </c>
      <c r="G32" s="1134">
        <f>+[8]A07!AA39+[8]A07!AE39</f>
        <v>0</v>
      </c>
      <c r="H32" s="1106"/>
      <c r="I32" s="1106"/>
      <c r="J32" s="1106"/>
    </row>
    <row r="33" spans="1:10" s="354" customFormat="1" ht="23.25" customHeight="1">
      <c r="A33" s="591" t="s">
        <v>1077</v>
      </c>
      <c r="B33" s="592">
        <f>+'55'!B33</f>
        <v>2</v>
      </c>
      <c r="C33" s="1134">
        <f>+[8]A07!B40</f>
        <v>1105</v>
      </c>
      <c r="D33" s="325">
        <f>SUM(E33:G33)</f>
        <v>50</v>
      </c>
      <c r="E33" s="1134">
        <f>+[8]A07!Y40+[8]A07!AC40</f>
        <v>15</v>
      </c>
      <c r="F33" s="1134">
        <f>+[8]A07!Z40+[8]A07!AD40</f>
        <v>35</v>
      </c>
      <c r="G33" s="1134">
        <f>+[8]A07!AA40+[8]A07!AE40</f>
        <v>0</v>
      </c>
      <c r="H33" s="1106">
        <f t="shared" si="1"/>
        <v>750</v>
      </c>
      <c r="I33" s="1106">
        <f t="shared" si="2"/>
        <v>4.5248868778280542</v>
      </c>
      <c r="J33" s="1106">
        <f t="shared" si="3"/>
        <v>1.3574660633484164</v>
      </c>
    </row>
    <row r="34" spans="1:10" s="354" customFormat="1" ht="23.25" customHeight="1">
      <c r="A34" s="591" t="s">
        <v>1078</v>
      </c>
      <c r="B34" s="592">
        <f>+'55'!B34</f>
        <v>0</v>
      </c>
      <c r="C34" s="1134">
        <f>+[8]A07!B41</f>
        <v>0</v>
      </c>
      <c r="D34" s="325">
        <f t="shared" ref="D34:D41" si="4">SUM(E34:G34)</f>
        <v>0</v>
      </c>
      <c r="E34" s="1134">
        <f>+[8]A07!Y41+[8]A07!AC41</f>
        <v>0</v>
      </c>
      <c r="F34" s="1134">
        <f>+[8]A07!Z41+[8]A07!AD41</f>
        <v>0</v>
      </c>
      <c r="G34" s="1134">
        <f>+[8]A07!AA41+[8]A07!AE41</f>
        <v>0</v>
      </c>
      <c r="H34" s="1106"/>
      <c r="I34" s="1106"/>
      <c r="J34" s="1106"/>
    </row>
    <row r="35" spans="1:10" s="354" customFormat="1" ht="23.25" customHeight="1">
      <c r="A35" s="591" t="s">
        <v>1079</v>
      </c>
      <c r="B35" s="592">
        <f>+'55'!B35</f>
        <v>0</v>
      </c>
      <c r="C35" s="1134">
        <f>+[8]A07!B42</f>
        <v>0</v>
      </c>
      <c r="D35" s="325">
        <f t="shared" si="4"/>
        <v>0</v>
      </c>
      <c r="E35" s="1134">
        <f>+[8]A07!Y42+[8]A07!AC42</f>
        <v>0</v>
      </c>
      <c r="F35" s="1134">
        <f>+[8]A07!Z42+[8]A07!AD42</f>
        <v>0</v>
      </c>
      <c r="G35" s="1134">
        <f>+[8]A07!AA42+[8]A07!AE42</f>
        <v>0</v>
      </c>
      <c r="H35" s="1106"/>
      <c r="I35" s="1106"/>
      <c r="J35" s="1106"/>
    </row>
    <row r="36" spans="1:10" s="354" customFormat="1" ht="23.25" customHeight="1">
      <c r="A36" s="591" t="s">
        <v>1080</v>
      </c>
      <c r="B36" s="592">
        <f>+'55'!B36</f>
        <v>1</v>
      </c>
      <c r="C36" s="1134">
        <f>+[8]A07!B43</f>
        <v>0</v>
      </c>
      <c r="D36" s="325">
        <f t="shared" si="4"/>
        <v>0</v>
      </c>
      <c r="E36" s="1134">
        <f>+[8]A07!Y43+[8]A07!AC43</f>
        <v>0</v>
      </c>
      <c r="F36" s="1134">
        <f>+[8]A07!Z43+[8]A07!AD43</f>
        <v>0</v>
      </c>
      <c r="G36" s="1134">
        <f>+[8]A07!AA43+[8]A07!AE43</f>
        <v>0</v>
      </c>
      <c r="H36" s="1106"/>
      <c r="I36" s="1106"/>
      <c r="J36" s="1106"/>
    </row>
    <row r="37" spans="1:10" s="354" customFormat="1" ht="23.25" customHeight="1">
      <c r="A37" s="591" t="s">
        <v>1081</v>
      </c>
      <c r="B37" s="592">
        <f>+'55'!B37</f>
        <v>719</v>
      </c>
      <c r="C37" s="1134">
        <f>+[8]A07!B44</f>
        <v>3069</v>
      </c>
      <c r="D37" s="325">
        <f t="shared" si="4"/>
        <v>847</v>
      </c>
      <c r="E37" s="1134">
        <f>+[8]A07!Y44+[8]A07!AC44</f>
        <v>583</v>
      </c>
      <c r="F37" s="1134">
        <f>+[8]A07!Z44+[8]A07!AD44</f>
        <v>256</v>
      </c>
      <c r="G37" s="1134">
        <f>+[8]A07!AA44+[8]A07!AE44</f>
        <v>8</v>
      </c>
      <c r="H37" s="1106">
        <f t="shared" si="1"/>
        <v>81.084840055632824</v>
      </c>
      <c r="I37" s="1106">
        <f t="shared" si="2"/>
        <v>27.598566308243726</v>
      </c>
      <c r="J37" s="1106">
        <f t="shared" si="3"/>
        <v>18.996415770609318</v>
      </c>
    </row>
    <row r="38" spans="1:10" s="354" customFormat="1" ht="23.25" customHeight="1">
      <c r="A38" s="591" t="s">
        <v>1082</v>
      </c>
      <c r="B38" s="592">
        <f>+'55'!B38</f>
        <v>2</v>
      </c>
      <c r="C38" s="1134">
        <f>+[8]A07!B45</f>
        <v>0</v>
      </c>
      <c r="D38" s="325">
        <f t="shared" si="4"/>
        <v>0</v>
      </c>
      <c r="E38" s="1134">
        <f>+[8]A07!Y45+[8]A07!AC45</f>
        <v>0</v>
      </c>
      <c r="F38" s="1134">
        <f>+[8]A07!Z45+[8]A07!AD45</f>
        <v>0</v>
      </c>
      <c r="G38" s="1134">
        <f>+[8]A07!AA45+[8]A07!AE45</f>
        <v>0</v>
      </c>
      <c r="H38" s="1106"/>
      <c r="I38" s="1106"/>
      <c r="J38" s="1106"/>
    </row>
    <row r="39" spans="1:10" s="354" customFormat="1" ht="23.25" customHeight="1">
      <c r="A39" s="591" t="s">
        <v>1083</v>
      </c>
      <c r="B39" s="592">
        <f>+'55'!B39</f>
        <v>0</v>
      </c>
      <c r="C39" s="1134">
        <f>+[8]A07!B46</f>
        <v>0</v>
      </c>
      <c r="D39" s="325">
        <f t="shared" si="4"/>
        <v>0</v>
      </c>
      <c r="E39" s="1134">
        <f>+[8]A07!Y46+[8]A07!AC46</f>
        <v>0</v>
      </c>
      <c r="F39" s="1134">
        <f>+[8]A07!Z46+[8]A07!AD46</f>
        <v>0</v>
      </c>
      <c r="G39" s="1134">
        <f>+[8]A07!AA46+[8]A07!AE46</f>
        <v>0</v>
      </c>
      <c r="H39" s="1106"/>
      <c r="I39" s="1106"/>
      <c r="J39" s="1106"/>
    </row>
    <row r="40" spans="1:10" s="354" customFormat="1" ht="23.25" customHeight="1">
      <c r="A40" s="591" t="s">
        <v>1084</v>
      </c>
      <c r="B40" s="592">
        <f>+'55'!B40</f>
        <v>1940</v>
      </c>
      <c r="C40" s="1134">
        <f>+[8]A07!B47</f>
        <v>7124</v>
      </c>
      <c r="D40" s="325">
        <f t="shared" si="4"/>
        <v>1735</v>
      </c>
      <c r="E40" s="1134">
        <f>+[8]A07!Y47+[8]A07!AC47</f>
        <v>1546</v>
      </c>
      <c r="F40" s="1134">
        <f>+[8]A07!Z47+[8]A07!AD47</f>
        <v>188</v>
      </c>
      <c r="G40" s="1134">
        <f>+[8]A07!AA47+[8]A07!AE47</f>
        <v>1</v>
      </c>
      <c r="H40" s="1106">
        <f t="shared" si="1"/>
        <v>79.690721649484544</v>
      </c>
      <c r="I40" s="1106">
        <f t="shared" si="2"/>
        <v>24.354295339696801</v>
      </c>
      <c r="J40" s="1106">
        <f t="shared" si="3"/>
        <v>21.701291409320607</v>
      </c>
    </row>
    <row r="41" spans="1:10" s="354" customFormat="1" ht="23.25" customHeight="1">
      <c r="A41" s="591" t="s">
        <v>1085</v>
      </c>
      <c r="B41" s="592">
        <f>+'55'!B41</f>
        <v>2562</v>
      </c>
      <c r="C41" s="1134">
        <f>+[8]A07!B48</f>
        <v>2805</v>
      </c>
      <c r="D41" s="325">
        <f t="shared" si="4"/>
        <v>713</v>
      </c>
      <c r="E41" s="1134">
        <f>+[8]A07!Y48+[8]A07!AC48</f>
        <v>623</v>
      </c>
      <c r="F41" s="1134">
        <f>+[8]A07!Z48+[8]A07!AD48</f>
        <v>90</v>
      </c>
      <c r="G41" s="1134">
        <f>+[8]A07!AA48+[8]A07!AE48</f>
        <v>0</v>
      </c>
      <c r="H41" s="1106">
        <f t="shared" si="1"/>
        <v>24.316939890710383</v>
      </c>
      <c r="I41" s="1106">
        <f t="shared" si="2"/>
        <v>25.418894830659539</v>
      </c>
      <c r="J41" s="1106">
        <f t="shared" si="3"/>
        <v>22.210338680926917</v>
      </c>
    </row>
    <row r="42" spans="1:10" s="354" customFormat="1" ht="23.25" customHeight="1">
      <c r="A42" s="591" t="s">
        <v>128</v>
      </c>
      <c r="B42" s="592">
        <f>+'55'!B42</f>
        <v>290</v>
      </c>
      <c r="C42" s="1134">
        <f>+[8]A07!B49</f>
        <v>5367</v>
      </c>
      <c r="D42" s="325">
        <f>SUM(E42:G42)</f>
        <v>1407</v>
      </c>
      <c r="E42" s="1134">
        <f>+[8]A07!Y49+[8]A07!AC49</f>
        <v>1216</v>
      </c>
      <c r="F42" s="1134">
        <f>+[8]A07!Z49+[8]A07!AD49</f>
        <v>189</v>
      </c>
      <c r="G42" s="1134">
        <f>+[8]A07!AA49+[8]A07!AE49</f>
        <v>2</v>
      </c>
      <c r="H42" s="1106">
        <f t="shared" si="1"/>
        <v>419.31034482758622</v>
      </c>
      <c r="I42" s="1106">
        <f t="shared" si="2"/>
        <v>26.2157629960872</v>
      </c>
      <c r="J42" s="1106">
        <f t="shared" si="3"/>
        <v>22.656977827464132</v>
      </c>
    </row>
    <row r="43" spans="1:10" s="354" customFormat="1" ht="23.25" customHeight="1">
      <c r="A43" s="1139" t="s">
        <v>1328</v>
      </c>
      <c r="B43" s="592">
        <f>+'55'!B43</f>
        <v>47</v>
      </c>
      <c r="C43" s="1134">
        <f>+[8]A07!B50</f>
        <v>600</v>
      </c>
      <c r="D43" s="1134"/>
      <c r="E43" s="1134">
        <f>+[8]A07!Y50+[8]A07!AC50</f>
        <v>0</v>
      </c>
      <c r="F43" s="1134">
        <f>+[8]A07!Z50+[8]A07!AD50</f>
        <v>1</v>
      </c>
      <c r="G43" s="1134">
        <f>+[8]A07!AA50+[8]A07!AE50</f>
        <v>0</v>
      </c>
      <c r="H43" s="1106"/>
      <c r="I43" s="1106"/>
      <c r="J43" s="1106"/>
    </row>
    <row r="44" spans="1:10" s="354" customFormat="1" ht="23.25" customHeight="1">
      <c r="A44" s="591" t="s">
        <v>1086</v>
      </c>
      <c r="B44" s="592">
        <f>+'55'!B44</f>
        <v>9379</v>
      </c>
      <c r="C44" s="1134">
        <f>+[8]A07!B51</f>
        <v>6890</v>
      </c>
      <c r="D44" s="325">
        <f>SUM(E44:G44)</f>
        <v>3355</v>
      </c>
      <c r="E44" s="1134">
        <f>+[8]A07!Y51+[8]A07!AC51</f>
        <v>1574</v>
      </c>
      <c r="F44" s="1134">
        <f>+[8]A07!Z51+[8]A07!AD51</f>
        <v>1558</v>
      </c>
      <c r="G44" s="1134">
        <f>+[8]A07!AA51+[8]A07!AE51</f>
        <v>223</v>
      </c>
      <c r="H44" s="1106">
        <f t="shared" si="1"/>
        <v>16.782172939545795</v>
      </c>
      <c r="I44" s="1106">
        <f t="shared" si="2"/>
        <v>48.693759071117562</v>
      </c>
      <c r="J44" s="1106">
        <f t="shared" si="3"/>
        <v>22.844702467343978</v>
      </c>
    </row>
    <row r="45" spans="1:10" s="354" customFormat="1" ht="23.25" customHeight="1">
      <c r="A45" s="591" t="s">
        <v>129</v>
      </c>
      <c r="B45" s="592">
        <f>+'55'!B45</f>
        <v>182</v>
      </c>
      <c r="C45" s="1134">
        <f>+[8]A07!B52</f>
        <v>1912</v>
      </c>
      <c r="D45" s="325">
        <f t="shared" ref="D45:D50" si="5">SUM(E45:G45)</f>
        <v>0</v>
      </c>
      <c r="E45" s="1134">
        <f>+[8]A07!Y52+[8]A07!AC52</f>
        <v>0</v>
      </c>
      <c r="F45" s="1134">
        <f>+[8]A07!Z52+[8]A07!AD52</f>
        <v>0</v>
      </c>
      <c r="G45" s="1134">
        <f>+[8]A07!AA52+[8]A07!AE52</f>
        <v>0</v>
      </c>
      <c r="H45" s="1106"/>
      <c r="I45" s="1106"/>
      <c r="J45" s="1106"/>
    </row>
    <row r="46" spans="1:10" s="354" customFormat="1" ht="23.25" customHeight="1">
      <c r="A46" s="591" t="s">
        <v>1087</v>
      </c>
      <c r="B46" s="592">
        <f>+'55'!B46</f>
        <v>2711</v>
      </c>
      <c r="C46" s="1134">
        <f>+[8]A07!B53</f>
        <v>7122</v>
      </c>
      <c r="D46" s="325">
        <f t="shared" si="5"/>
        <v>3733</v>
      </c>
      <c r="E46" s="1134">
        <f>+[8]A07!Y53+[8]A07!AC53</f>
        <v>2237</v>
      </c>
      <c r="F46" s="1134">
        <f>+[8]A07!Z53+[8]A07!AD53</f>
        <v>1485</v>
      </c>
      <c r="G46" s="1134">
        <f>+[8]A07!AA53+[8]A07!AE53</f>
        <v>11</v>
      </c>
      <c r="H46" s="1106">
        <f t="shared" si="1"/>
        <v>82.515676872002956</v>
      </c>
      <c r="I46" s="1106">
        <f t="shared" si="2"/>
        <v>52.415051951698963</v>
      </c>
      <c r="J46" s="1106">
        <f t="shared" si="3"/>
        <v>31.409716371805672</v>
      </c>
    </row>
    <row r="47" spans="1:10" s="354" customFormat="1" ht="23.25" customHeight="1">
      <c r="A47" s="591" t="s">
        <v>1088</v>
      </c>
      <c r="B47" s="592">
        <f>+'55'!B47</f>
        <v>0</v>
      </c>
      <c r="C47" s="1134">
        <f>+[8]A07!B54</f>
        <v>0</v>
      </c>
      <c r="D47" s="325">
        <f t="shared" si="5"/>
        <v>0</v>
      </c>
      <c r="E47" s="1134">
        <f>+[8]A07!Y54+[8]A07!AC54</f>
        <v>0</v>
      </c>
      <c r="F47" s="1134">
        <f>+[8]A07!Z54+[8]A07!AD54</f>
        <v>0</v>
      </c>
      <c r="G47" s="1134">
        <f>+[8]A07!AA54+[8]A07!AE54</f>
        <v>0</v>
      </c>
      <c r="H47" s="1106"/>
      <c r="I47" s="1106"/>
      <c r="J47" s="1106"/>
    </row>
    <row r="48" spans="1:10" s="354" customFormat="1" ht="23.25" customHeight="1">
      <c r="A48" s="591" t="s">
        <v>1089</v>
      </c>
      <c r="B48" s="592">
        <f>+'55'!B48</f>
        <v>2397</v>
      </c>
      <c r="C48" s="1134">
        <f>+[8]A07!B55</f>
        <v>10417</v>
      </c>
      <c r="D48" s="325">
        <f t="shared" si="5"/>
        <v>1491</v>
      </c>
      <c r="E48" s="1134">
        <f>+[8]A07!Y55+[8]A07!AC55</f>
        <v>1256</v>
      </c>
      <c r="F48" s="1134">
        <f>+[8]A07!Z55+[8]A07!AD55</f>
        <v>235</v>
      </c>
      <c r="G48" s="1134">
        <f>+[8]A07!AA55+[8]A07!AE55</f>
        <v>0</v>
      </c>
      <c r="H48" s="1106">
        <f t="shared" si="1"/>
        <v>52.3988318731748</v>
      </c>
      <c r="I48" s="1106">
        <f t="shared" si="2"/>
        <v>14.313141979456656</v>
      </c>
      <c r="J48" s="1106">
        <f t="shared" si="3"/>
        <v>12.057214169146588</v>
      </c>
    </row>
    <row r="49" spans="1:10" s="354" customFormat="1" ht="23.25" customHeight="1">
      <c r="A49" s="591" t="s">
        <v>1090</v>
      </c>
      <c r="B49" s="592">
        <f>+'55'!B49</f>
        <v>1178</v>
      </c>
      <c r="C49" s="1134">
        <f>+[8]A07!B56</f>
        <v>4567</v>
      </c>
      <c r="D49" s="325">
        <f t="shared" si="5"/>
        <v>951</v>
      </c>
      <c r="E49" s="1134">
        <f>+[8]A07!Y56+[8]A07!AC56</f>
        <v>633</v>
      </c>
      <c r="F49" s="1134">
        <f>+[8]A07!Z56+[8]A07!AD56</f>
        <v>318</v>
      </c>
      <c r="G49" s="1134">
        <f>+[8]A07!AA56+[8]A07!AE56</f>
        <v>0</v>
      </c>
      <c r="H49" s="1106">
        <f t="shared" si="1"/>
        <v>53.735144312393892</v>
      </c>
      <c r="I49" s="1106">
        <f t="shared" si="2"/>
        <v>20.823297569520474</v>
      </c>
      <c r="J49" s="1106">
        <f t="shared" si="3"/>
        <v>13.860302167724983</v>
      </c>
    </row>
    <row r="50" spans="1:10" s="354" customFormat="1" ht="23.25" customHeight="1">
      <c r="A50" s="591" t="s">
        <v>1091</v>
      </c>
      <c r="B50" s="592">
        <f>+'55'!B50</f>
        <v>0</v>
      </c>
      <c r="C50" s="1134">
        <f>+[8]A07!B57</f>
        <v>0</v>
      </c>
      <c r="D50" s="325">
        <f t="shared" si="5"/>
        <v>0</v>
      </c>
      <c r="E50" s="1134">
        <f>+[8]A07!Y57+[8]A07!AC57</f>
        <v>0</v>
      </c>
      <c r="F50" s="1134">
        <f>+[8]A07!Z57+[8]A07!AD57</f>
        <v>0</v>
      </c>
      <c r="G50" s="1134">
        <f>+[8]A07!AA57+[8]A07!AE57</f>
        <v>0</v>
      </c>
      <c r="H50" s="1106"/>
      <c r="I50" s="1106"/>
      <c r="J50" s="1106"/>
    </row>
    <row r="51" spans="1:10" ht="23.25" customHeight="1">
      <c r="A51" s="592" t="s">
        <v>535</v>
      </c>
      <c r="B51" s="325">
        <f t="shared" ref="B51:G51" si="6">SUM(B5:B50)</f>
        <v>36093</v>
      </c>
      <c r="C51" s="325">
        <f t="shared" si="6"/>
        <v>131743</v>
      </c>
      <c r="D51" s="325">
        <f t="shared" si="6"/>
        <v>29508</v>
      </c>
      <c r="E51" s="325">
        <f t="shared" si="6"/>
        <v>19870</v>
      </c>
      <c r="F51" s="325">
        <f t="shared" si="6"/>
        <v>9221</v>
      </c>
      <c r="G51" s="325">
        <f t="shared" si="6"/>
        <v>418</v>
      </c>
      <c r="H51" s="1106">
        <f t="shared" si="1"/>
        <v>55.05222619344471</v>
      </c>
      <c r="I51" s="1106">
        <f>+D51/C51*100</f>
        <v>22.398153981615721</v>
      </c>
      <c r="J51" s="1306">
        <f t="shared" si="3"/>
        <v>15.082395269577889</v>
      </c>
    </row>
    <row r="52" spans="1:10">
      <c r="A52" s="594"/>
    </row>
    <row r="53" spans="1:10">
      <c r="A53" s="594"/>
      <c r="B53" s="411"/>
      <c r="C53" s="1056"/>
    </row>
    <row r="54" spans="1:10">
      <c r="A54" s="594"/>
      <c r="B54" s="411"/>
    </row>
    <row r="55" spans="1:10">
      <c r="A55" s="594"/>
    </row>
    <row r="56" spans="1:10">
      <c r="A56" s="594"/>
    </row>
  </sheetData>
  <mergeCells count="3">
    <mergeCell ref="D3:G3"/>
    <mergeCell ref="H3:J3"/>
    <mergeCell ref="A1:J1"/>
  </mergeCells>
  <phoneticPr fontId="19" type="noConversion"/>
  <pageMargins left="0.85" right="0.19685039370078741" top="0.63" bottom="0.78740157480314965" header="0" footer="0"/>
  <pageSetup paperSize="5" scale="80"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
  <sheetViews>
    <sheetView topLeftCell="A49" workbookViewId="0">
      <selection activeCell="C43" sqref="C43"/>
    </sheetView>
  </sheetViews>
  <sheetFormatPr baseColWidth="10" defaultRowHeight="12.75"/>
  <cols>
    <col min="1" max="1" width="24.5703125" customWidth="1"/>
    <col min="2" max="2" width="12.7109375" style="585" customWidth="1"/>
    <col min="3" max="6" width="10" style="585" customWidth="1"/>
    <col min="7" max="10" width="10" customWidth="1"/>
    <col min="12" max="14" width="11.42578125" style="1267"/>
  </cols>
  <sheetData>
    <row r="1" spans="1:15" ht="23.25" customHeight="1">
      <c r="A1" s="1440" t="s">
        <v>1541</v>
      </c>
      <c r="B1" s="1440"/>
      <c r="C1" s="1440"/>
      <c r="D1" s="1440"/>
      <c r="E1" s="1440"/>
      <c r="F1" s="1440"/>
      <c r="G1" s="1440"/>
      <c r="H1" s="1440"/>
      <c r="I1" s="1440"/>
      <c r="J1" s="1440"/>
      <c r="K1" s="1440"/>
      <c r="L1" s="1440"/>
      <c r="M1" s="1440"/>
      <c r="N1" s="1440"/>
      <c r="O1" s="1440"/>
    </row>
    <row r="2" spans="1:15" ht="20.25" customHeight="1" thickBot="1">
      <c r="A2" s="567"/>
    </row>
    <row r="3" spans="1:15" s="354" customFormat="1" ht="24" customHeight="1">
      <c r="A3" s="513" t="s">
        <v>1043</v>
      </c>
      <c r="B3" s="586" t="s">
        <v>1093</v>
      </c>
      <c r="C3" s="1429" t="s">
        <v>1420</v>
      </c>
      <c r="D3" s="1430"/>
      <c r="E3" s="1430"/>
      <c r="F3" s="1435"/>
      <c r="G3" s="1436" t="s">
        <v>1419</v>
      </c>
      <c r="H3" s="1436"/>
      <c r="I3" s="1436"/>
      <c r="J3" s="1437"/>
      <c r="K3" s="1436" t="s">
        <v>1475</v>
      </c>
      <c r="L3" s="1436"/>
      <c r="M3" s="1436"/>
      <c r="N3" s="1436"/>
      <c r="O3" s="1438" t="s">
        <v>529</v>
      </c>
    </row>
    <row r="4" spans="1:15" s="354" customFormat="1" ht="36" customHeight="1" thickBot="1">
      <c r="A4" s="571"/>
      <c r="B4" s="1216" t="s">
        <v>1043</v>
      </c>
      <c r="C4" s="589" t="s">
        <v>535</v>
      </c>
      <c r="D4" s="589" t="s">
        <v>1095</v>
      </c>
      <c r="E4" s="590" t="s">
        <v>1096</v>
      </c>
      <c r="F4" s="1279" t="s">
        <v>1097</v>
      </c>
      <c r="G4" s="1278" t="s">
        <v>535</v>
      </c>
      <c r="H4" s="1218" t="s">
        <v>1095</v>
      </c>
      <c r="I4" s="1219" t="s">
        <v>1096</v>
      </c>
      <c r="J4" s="1279" t="s">
        <v>1097</v>
      </c>
      <c r="K4" s="1278" t="s">
        <v>535</v>
      </c>
      <c r="L4" s="1218" t="s">
        <v>1095</v>
      </c>
      <c r="M4" s="1219" t="s">
        <v>1096</v>
      </c>
      <c r="N4" s="1282" t="s">
        <v>1097</v>
      </c>
      <c r="O4" s="1439"/>
    </row>
    <row r="5" spans="1:15" s="354" customFormat="1" ht="23.25" customHeight="1">
      <c r="A5" s="591" t="s">
        <v>1052</v>
      </c>
      <c r="B5" s="1216">
        <f>+[8]A07!B12</f>
        <v>7035</v>
      </c>
      <c r="C5" s="1277">
        <f>SUM(D5:F5)</f>
        <v>1423</v>
      </c>
      <c r="D5" s="1216">
        <f>+[8]A07!Y12+[8]A07!AC12</f>
        <v>762</v>
      </c>
      <c r="E5" s="1216">
        <f>+[8]A07!Z12+[8]A07!AD12</f>
        <v>609</v>
      </c>
      <c r="F5" s="1280">
        <f>+[8]A07!AA12+[8]A07!AE12</f>
        <v>52</v>
      </c>
      <c r="G5" s="1281">
        <f>SUM(H5:J5)</f>
        <v>1535</v>
      </c>
      <c r="H5" s="1216">
        <v>791</v>
      </c>
      <c r="I5" s="1216">
        <v>673</v>
      </c>
      <c r="J5" s="1280">
        <v>71</v>
      </c>
      <c r="K5" s="1281">
        <f>SUM(L5:N5)</f>
        <v>-112</v>
      </c>
      <c r="L5" s="72">
        <f>+D5-H5</f>
        <v>-29</v>
      </c>
      <c r="M5" s="72">
        <f t="shared" ref="M5:N5" si="0">+E5-I5</f>
        <v>-64</v>
      </c>
      <c r="N5" s="1283">
        <f t="shared" si="0"/>
        <v>-19</v>
      </c>
      <c r="O5" s="1284">
        <f>(+C5-G5)/G5*100</f>
        <v>-7.2964169381107489</v>
      </c>
    </row>
    <row r="6" spans="1:15" s="354" customFormat="1" ht="23.25" customHeight="1">
      <c r="A6" s="591" t="s">
        <v>1053</v>
      </c>
      <c r="B6" s="1216">
        <f>+[8]A07!B13</f>
        <v>24604</v>
      </c>
      <c r="C6" s="1277">
        <f t="shared" ref="C6:C30" si="1">SUM(D6:F6)</f>
        <v>3695</v>
      </c>
      <c r="D6" s="1216">
        <f>+[8]A07!Y13+[8]A07!AC13</f>
        <v>2764</v>
      </c>
      <c r="E6" s="1216">
        <f>+[8]A07!Z13+[8]A07!AD13</f>
        <v>931</v>
      </c>
      <c r="F6" s="1280">
        <f>+[8]A07!AA13+[8]A07!AE13</f>
        <v>0</v>
      </c>
      <c r="G6" s="1281">
        <f t="shared" ref="G6:G51" si="2">SUM(H6:J6)</f>
        <v>3207</v>
      </c>
      <c r="H6" s="1216">
        <v>2668</v>
      </c>
      <c r="I6" s="1216">
        <v>539</v>
      </c>
      <c r="J6" s="1280">
        <v>0</v>
      </c>
      <c r="K6" s="1281">
        <f t="shared" ref="K6" si="3">SUM(L6:N6)</f>
        <v>488</v>
      </c>
      <c r="L6" s="72">
        <f>+D6-H6</f>
        <v>96</v>
      </c>
      <c r="M6" s="72">
        <f t="shared" ref="M6" si="4">+E6-I6</f>
        <v>392</v>
      </c>
      <c r="N6" s="1283">
        <f t="shared" ref="N6" si="5">+F6-J6</f>
        <v>0</v>
      </c>
      <c r="O6" s="1285">
        <f>(+C6-G6)/G6*100</f>
        <v>15.216713439351418</v>
      </c>
    </row>
    <row r="7" spans="1:15" s="354" customFormat="1" ht="23.25" customHeight="1">
      <c r="A7" s="591" t="s">
        <v>1054</v>
      </c>
      <c r="B7" s="1216">
        <f>+[8]A07!B14</f>
        <v>1138</v>
      </c>
      <c r="C7" s="1277">
        <f t="shared" si="1"/>
        <v>0</v>
      </c>
      <c r="D7" s="1216">
        <f>+[8]A07!Y14+[8]A07!AC14</f>
        <v>0</v>
      </c>
      <c r="E7" s="1216">
        <f>+[8]A07!Z14+[8]A07!AD14</f>
        <v>0</v>
      </c>
      <c r="F7" s="1280">
        <f>+[8]A07!AA14+[8]A07!AE14</f>
        <v>0</v>
      </c>
      <c r="G7" s="1281">
        <f t="shared" si="2"/>
        <v>0</v>
      </c>
      <c r="H7" s="1216">
        <v>0</v>
      </c>
      <c r="I7" s="1216">
        <v>0</v>
      </c>
      <c r="J7" s="1280">
        <v>0</v>
      </c>
      <c r="K7" s="1281">
        <f t="shared" ref="K7:K50" si="6">SUM(L7:N7)</f>
        <v>0</v>
      </c>
      <c r="L7" s="72">
        <f t="shared" ref="L7:L50" si="7">+D7-H7</f>
        <v>0</v>
      </c>
      <c r="M7" s="72">
        <f t="shared" ref="M7:M50" si="8">+E7-I7</f>
        <v>0</v>
      </c>
      <c r="N7" s="1283">
        <f t="shared" ref="N7:N50" si="9">+F7-J7</f>
        <v>0</v>
      </c>
      <c r="O7" s="1285"/>
    </row>
    <row r="8" spans="1:15" s="354" customFormat="1" ht="23.25" customHeight="1">
      <c r="A8" s="591" t="s">
        <v>1055</v>
      </c>
      <c r="B8" s="1216">
        <f>+[8]A07!B15</f>
        <v>572</v>
      </c>
      <c r="C8" s="1277">
        <f t="shared" si="1"/>
        <v>57</v>
      </c>
      <c r="D8" s="1216">
        <f>+[8]A07!Y15+[8]A07!AC15</f>
        <v>13</v>
      </c>
      <c r="E8" s="1216">
        <f>+[8]A07!Z15+[8]A07!AD15</f>
        <v>44</v>
      </c>
      <c r="F8" s="1280">
        <f>+[8]A07!AA15+[8]A07!AE15</f>
        <v>0</v>
      </c>
      <c r="G8" s="1281">
        <f t="shared" si="2"/>
        <v>72</v>
      </c>
      <c r="H8" s="1216">
        <v>28</v>
      </c>
      <c r="I8" s="1216">
        <v>44</v>
      </c>
      <c r="J8" s="1280">
        <v>0</v>
      </c>
      <c r="K8" s="1281">
        <f t="shared" si="6"/>
        <v>-15</v>
      </c>
      <c r="L8" s="72">
        <f t="shared" si="7"/>
        <v>-15</v>
      </c>
      <c r="M8" s="72">
        <f t="shared" si="8"/>
        <v>0</v>
      </c>
      <c r="N8" s="1283">
        <f t="shared" si="9"/>
        <v>0</v>
      </c>
      <c r="O8" s="1285">
        <f t="shared" ref="O8:O51" si="10">(+C8-G8)/G8*100</f>
        <v>-20.833333333333336</v>
      </c>
    </row>
    <row r="9" spans="1:15" s="354" customFormat="1" ht="23.25" customHeight="1">
      <c r="A9" s="591" t="s">
        <v>1056</v>
      </c>
      <c r="B9" s="1216">
        <f>+[8]A07!B16</f>
        <v>4832</v>
      </c>
      <c r="C9" s="1277">
        <f t="shared" si="1"/>
        <v>692</v>
      </c>
      <c r="D9" s="1216">
        <f>+[8]A07!Y16+[8]A07!AC16</f>
        <v>137</v>
      </c>
      <c r="E9" s="1216">
        <f>+[8]A07!Z16+[8]A07!AD16</f>
        <v>555</v>
      </c>
      <c r="F9" s="1280">
        <f>+[8]A07!AA16+[8]A07!AE16</f>
        <v>0</v>
      </c>
      <c r="G9" s="1281">
        <f t="shared" si="2"/>
        <v>787</v>
      </c>
      <c r="H9" s="1216">
        <v>218</v>
      </c>
      <c r="I9" s="1216">
        <v>563</v>
      </c>
      <c r="J9" s="1280">
        <v>6</v>
      </c>
      <c r="K9" s="1281">
        <f t="shared" si="6"/>
        <v>-95</v>
      </c>
      <c r="L9" s="72">
        <f t="shared" si="7"/>
        <v>-81</v>
      </c>
      <c r="M9" s="72">
        <f t="shared" si="8"/>
        <v>-8</v>
      </c>
      <c r="N9" s="1283">
        <f t="shared" si="9"/>
        <v>-6</v>
      </c>
      <c r="O9" s="1285">
        <f t="shared" si="10"/>
        <v>-12.07115628970775</v>
      </c>
    </row>
    <row r="10" spans="1:15" s="354" customFormat="1" ht="23.25" customHeight="1">
      <c r="A10" s="591" t="s">
        <v>1057</v>
      </c>
      <c r="B10" s="1216">
        <f>+[8]A07!B17</f>
        <v>1020</v>
      </c>
      <c r="C10" s="1277">
        <f t="shared" si="1"/>
        <v>186</v>
      </c>
      <c r="D10" s="1216">
        <f>+[8]A07!Y17+[8]A07!AC17</f>
        <v>20</v>
      </c>
      <c r="E10" s="1216">
        <f>+[8]A07!Z17+[8]A07!AD17</f>
        <v>166</v>
      </c>
      <c r="F10" s="1280">
        <f>+[8]A07!AA17+[8]A07!AE17</f>
        <v>0</v>
      </c>
      <c r="G10" s="1281">
        <f t="shared" si="2"/>
        <v>116</v>
      </c>
      <c r="H10" s="1216">
        <v>9</v>
      </c>
      <c r="I10" s="1216">
        <v>107</v>
      </c>
      <c r="J10" s="1280">
        <v>0</v>
      </c>
      <c r="K10" s="1281">
        <f t="shared" si="6"/>
        <v>70</v>
      </c>
      <c r="L10" s="72">
        <f t="shared" si="7"/>
        <v>11</v>
      </c>
      <c r="M10" s="72">
        <f t="shared" si="8"/>
        <v>59</v>
      </c>
      <c r="N10" s="1283">
        <f t="shared" si="9"/>
        <v>0</v>
      </c>
      <c r="O10" s="1285">
        <f t="shared" si="10"/>
        <v>60.344827586206897</v>
      </c>
    </row>
    <row r="11" spans="1:15" s="354" customFormat="1" ht="23.25" customHeight="1">
      <c r="A11" s="591" t="s">
        <v>1058</v>
      </c>
      <c r="B11" s="1216">
        <f>+[8]A07!B18</f>
        <v>1235</v>
      </c>
      <c r="C11" s="1277">
        <f t="shared" si="1"/>
        <v>172</v>
      </c>
      <c r="D11" s="1216">
        <f>+[8]A07!Y18+[8]A07!AC18</f>
        <v>17</v>
      </c>
      <c r="E11" s="1216">
        <f>+[8]A07!Z18+[8]A07!AD18</f>
        <v>155</v>
      </c>
      <c r="F11" s="1280">
        <f>+[8]A07!AA18+[8]A07!AE18</f>
        <v>0</v>
      </c>
      <c r="G11" s="1281">
        <f t="shared" si="2"/>
        <v>207</v>
      </c>
      <c r="H11" s="1216">
        <v>46</v>
      </c>
      <c r="I11" s="1216">
        <v>161</v>
      </c>
      <c r="J11" s="1280">
        <v>0</v>
      </c>
      <c r="K11" s="1281">
        <f t="shared" si="6"/>
        <v>-35</v>
      </c>
      <c r="L11" s="72">
        <f t="shared" si="7"/>
        <v>-29</v>
      </c>
      <c r="M11" s="72">
        <f t="shared" si="8"/>
        <v>-6</v>
      </c>
      <c r="N11" s="1283">
        <f t="shared" si="9"/>
        <v>0</v>
      </c>
      <c r="O11" s="1285">
        <f t="shared" si="10"/>
        <v>-16.908212560386474</v>
      </c>
    </row>
    <row r="12" spans="1:15" s="354" customFormat="1" ht="23.25" customHeight="1">
      <c r="A12" s="591" t="s">
        <v>1059</v>
      </c>
      <c r="B12" s="1216">
        <f>+[8]A07!B19</f>
        <v>0</v>
      </c>
      <c r="C12" s="1277">
        <f t="shared" si="1"/>
        <v>0</v>
      </c>
      <c r="D12" s="1216">
        <f>+[8]A07!Y19+[8]A07!AC19</f>
        <v>0</v>
      </c>
      <c r="E12" s="1216">
        <f>+[8]A07!Z19+[8]A07!AD19</f>
        <v>0</v>
      </c>
      <c r="F12" s="1280">
        <f>+[8]A07!AA19+[8]A07!AE19</f>
        <v>0</v>
      </c>
      <c r="G12" s="1281">
        <f t="shared" si="2"/>
        <v>0</v>
      </c>
      <c r="H12" s="1216">
        <v>0</v>
      </c>
      <c r="I12" s="1216">
        <v>0</v>
      </c>
      <c r="J12" s="1280">
        <v>0</v>
      </c>
      <c r="K12" s="1281">
        <f t="shared" si="6"/>
        <v>0</v>
      </c>
      <c r="L12" s="72">
        <f t="shared" si="7"/>
        <v>0</v>
      </c>
      <c r="M12" s="72">
        <f t="shared" si="8"/>
        <v>0</v>
      </c>
      <c r="N12" s="1283">
        <f t="shared" si="9"/>
        <v>0</v>
      </c>
      <c r="O12" s="1285"/>
    </row>
    <row r="13" spans="1:15" s="354" customFormat="1" ht="23.25" customHeight="1">
      <c r="A13" s="591" t="s">
        <v>1060</v>
      </c>
      <c r="B13" s="1216">
        <f>+[8]A07!B20</f>
        <v>385</v>
      </c>
      <c r="C13" s="1277">
        <f t="shared" si="1"/>
        <v>52</v>
      </c>
      <c r="D13" s="1216">
        <f>+[8]A07!Y20+[8]A07!AC20</f>
        <v>1</v>
      </c>
      <c r="E13" s="1216">
        <f>+[8]A07!Z20+[8]A07!AD20</f>
        <v>51</v>
      </c>
      <c r="F13" s="1280">
        <f>+[8]A07!AA20+[8]A07!AE20</f>
        <v>0</v>
      </c>
      <c r="G13" s="1281">
        <f t="shared" si="2"/>
        <v>83</v>
      </c>
      <c r="H13" s="1216">
        <v>22</v>
      </c>
      <c r="I13" s="1216">
        <v>61</v>
      </c>
      <c r="J13" s="1280">
        <v>0</v>
      </c>
      <c r="K13" s="1281">
        <f t="shared" si="6"/>
        <v>-31</v>
      </c>
      <c r="L13" s="72">
        <f t="shared" si="7"/>
        <v>-21</v>
      </c>
      <c r="M13" s="72">
        <f t="shared" si="8"/>
        <v>-10</v>
      </c>
      <c r="N13" s="1283">
        <f t="shared" si="9"/>
        <v>0</v>
      </c>
      <c r="O13" s="1285">
        <f t="shared" si="10"/>
        <v>-37.349397590361441</v>
      </c>
    </row>
    <row r="14" spans="1:15" s="354" customFormat="1" ht="23.25" customHeight="1">
      <c r="A14" s="1048" t="s">
        <v>130</v>
      </c>
      <c r="B14" s="1216">
        <f>+[8]A07!B21</f>
        <v>0</v>
      </c>
      <c r="C14" s="1277">
        <f>SUM(D14:F14)</f>
        <v>0</v>
      </c>
      <c r="D14" s="1216">
        <f>+[8]A07!Y21+[8]A07!AC21</f>
        <v>0</v>
      </c>
      <c r="E14" s="1216">
        <f>+[8]A07!Z21+[8]A07!AD21</f>
        <v>0</v>
      </c>
      <c r="F14" s="1280">
        <f>+[8]A07!AA21+[8]A07!AE21</f>
        <v>0</v>
      </c>
      <c r="G14" s="1281">
        <f t="shared" si="2"/>
        <v>0</v>
      </c>
      <c r="H14" s="1216">
        <v>0</v>
      </c>
      <c r="I14" s="1216">
        <v>0</v>
      </c>
      <c r="J14" s="1280">
        <v>0</v>
      </c>
      <c r="K14" s="1281">
        <f t="shared" si="6"/>
        <v>0</v>
      </c>
      <c r="L14" s="72">
        <f t="shared" si="7"/>
        <v>0</v>
      </c>
      <c r="M14" s="72">
        <f t="shared" si="8"/>
        <v>0</v>
      </c>
      <c r="N14" s="1283">
        <f t="shared" si="9"/>
        <v>0</v>
      </c>
      <c r="O14" s="1285"/>
    </row>
    <row r="15" spans="1:15" s="354" customFormat="1" ht="23.25" customHeight="1">
      <c r="A15" s="591" t="s">
        <v>1061</v>
      </c>
      <c r="B15" s="1216">
        <f>+[8]A07!B22</f>
        <v>854</v>
      </c>
      <c r="C15" s="1277">
        <f t="shared" si="1"/>
        <v>124</v>
      </c>
      <c r="D15" s="1216">
        <f>+[8]A07!Y22+[8]A07!AC22</f>
        <v>45</v>
      </c>
      <c r="E15" s="1216">
        <f>+[8]A07!Z22+[8]A07!AD22</f>
        <v>79</v>
      </c>
      <c r="F15" s="1280">
        <f>+[8]A07!AA22+[8]A07!AE22</f>
        <v>0</v>
      </c>
      <c r="G15" s="1281">
        <f t="shared" si="2"/>
        <v>255</v>
      </c>
      <c r="H15" s="1216">
        <v>195</v>
      </c>
      <c r="I15" s="1216">
        <v>60</v>
      </c>
      <c r="J15" s="1280">
        <v>0</v>
      </c>
      <c r="K15" s="1281">
        <f t="shared" si="6"/>
        <v>-131</v>
      </c>
      <c r="L15" s="72">
        <f t="shared" si="7"/>
        <v>-150</v>
      </c>
      <c r="M15" s="72">
        <f t="shared" si="8"/>
        <v>19</v>
      </c>
      <c r="N15" s="1283">
        <f t="shared" si="9"/>
        <v>0</v>
      </c>
      <c r="O15" s="1285">
        <f t="shared" si="10"/>
        <v>-51.372549019607838</v>
      </c>
    </row>
    <row r="16" spans="1:15" s="354" customFormat="1" ht="23.25" customHeight="1">
      <c r="A16" s="591" t="s">
        <v>1062</v>
      </c>
      <c r="B16" s="1216">
        <f>+[8]A07!B23</f>
        <v>0</v>
      </c>
      <c r="C16" s="1277">
        <f t="shared" si="1"/>
        <v>0</v>
      </c>
      <c r="D16" s="1216">
        <f>+[8]A07!Y23+[8]A07!AC23</f>
        <v>0</v>
      </c>
      <c r="E16" s="1216">
        <f>+[8]A07!Z23+[8]A07!AD23</f>
        <v>0</v>
      </c>
      <c r="F16" s="1280">
        <f>+[8]A07!AA23+[8]A07!AE23</f>
        <v>0</v>
      </c>
      <c r="G16" s="1281">
        <f t="shared" si="2"/>
        <v>0</v>
      </c>
      <c r="H16" s="1216">
        <v>0</v>
      </c>
      <c r="I16" s="1216">
        <v>0</v>
      </c>
      <c r="J16" s="1280">
        <v>0</v>
      </c>
      <c r="K16" s="1281">
        <f t="shared" si="6"/>
        <v>0</v>
      </c>
      <c r="L16" s="72">
        <f t="shared" si="7"/>
        <v>0</v>
      </c>
      <c r="M16" s="72">
        <f t="shared" si="8"/>
        <v>0</v>
      </c>
      <c r="N16" s="1283">
        <f t="shared" si="9"/>
        <v>0</v>
      </c>
      <c r="O16" s="1285"/>
    </row>
    <row r="17" spans="1:15" s="354" customFormat="1" ht="23.25" customHeight="1">
      <c r="A17" s="591" t="s">
        <v>1063</v>
      </c>
      <c r="B17" s="1216">
        <f>+[8]A07!B24</f>
        <v>1969</v>
      </c>
      <c r="C17" s="1277">
        <f t="shared" si="1"/>
        <v>241</v>
      </c>
      <c r="D17" s="1216">
        <f>+[8]A07!Y24+[8]A07!AC24</f>
        <v>143</v>
      </c>
      <c r="E17" s="1216">
        <f>+[8]A07!Z24+[8]A07!AD24</f>
        <v>98</v>
      </c>
      <c r="F17" s="1280">
        <f>+[8]A07!AA24+[8]A07!AE24</f>
        <v>0</v>
      </c>
      <c r="G17" s="1281">
        <f t="shared" si="2"/>
        <v>206</v>
      </c>
      <c r="H17" s="1216">
        <v>104</v>
      </c>
      <c r="I17" s="1216">
        <v>102</v>
      </c>
      <c r="J17" s="1280">
        <v>0</v>
      </c>
      <c r="K17" s="1281">
        <f t="shared" si="6"/>
        <v>35</v>
      </c>
      <c r="L17" s="72">
        <f t="shared" si="7"/>
        <v>39</v>
      </c>
      <c r="M17" s="72">
        <f t="shared" si="8"/>
        <v>-4</v>
      </c>
      <c r="N17" s="1283">
        <f t="shared" si="9"/>
        <v>0</v>
      </c>
      <c r="O17" s="1285">
        <f t="shared" si="10"/>
        <v>16.990291262135923</v>
      </c>
    </row>
    <row r="18" spans="1:15" s="354" customFormat="1" ht="23.25" customHeight="1">
      <c r="A18" s="591" t="s">
        <v>1064</v>
      </c>
      <c r="B18" s="1216">
        <f>+[8]A07!B25</f>
        <v>4008</v>
      </c>
      <c r="C18" s="1277">
        <f t="shared" si="1"/>
        <v>1248</v>
      </c>
      <c r="D18" s="1216">
        <f>+[8]A07!Y25+[8]A07!AC25</f>
        <v>997</v>
      </c>
      <c r="E18" s="1216">
        <f>+[8]A07!Z25+[8]A07!AD25</f>
        <v>251</v>
      </c>
      <c r="F18" s="1280">
        <f>+[8]A07!AA25+[8]A07!AE25</f>
        <v>0</v>
      </c>
      <c r="G18" s="1281">
        <f t="shared" si="2"/>
        <v>1281</v>
      </c>
      <c r="H18" s="1216">
        <v>807</v>
      </c>
      <c r="I18" s="1216">
        <v>474</v>
      </c>
      <c r="J18" s="1280">
        <v>0</v>
      </c>
      <c r="K18" s="1281">
        <f t="shared" si="6"/>
        <v>-33</v>
      </c>
      <c r="L18" s="72">
        <f t="shared" si="7"/>
        <v>190</v>
      </c>
      <c r="M18" s="72">
        <f t="shared" si="8"/>
        <v>-223</v>
      </c>
      <c r="N18" s="1283">
        <f t="shared" si="9"/>
        <v>0</v>
      </c>
      <c r="O18" s="1285">
        <f t="shared" si="10"/>
        <v>-2.5761124121779861</v>
      </c>
    </row>
    <row r="19" spans="1:15" s="354" customFormat="1" ht="23.25" customHeight="1">
      <c r="A19" s="591" t="s">
        <v>1065</v>
      </c>
      <c r="B19" s="1216">
        <f>+[8]A07!B26</f>
        <v>436</v>
      </c>
      <c r="C19" s="1277">
        <f t="shared" si="1"/>
        <v>118</v>
      </c>
      <c r="D19" s="1216">
        <f>+[8]A07!Y26+[8]A07!AC26</f>
        <v>87</v>
      </c>
      <c r="E19" s="1216">
        <f>+[8]A07!Z26+[8]A07!AD26</f>
        <v>31</v>
      </c>
      <c r="F19" s="1280">
        <f>+[8]A07!AA26+[8]A07!AE26</f>
        <v>0</v>
      </c>
      <c r="G19" s="1281">
        <f t="shared" si="2"/>
        <v>116</v>
      </c>
      <c r="H19" s="1216">
        <v>84</v>
      </c>
      <c r="I19" s="1216">
        <v>32</v>
      </c>
      <c r="J19" s="1280">
        <v>0</v>
      </c>
      <c r="K19" s="1281">
        <f t="shared" si="6"/>
        <v>2</v>
      </c>
      <c r="L19" s="72">
        <f t="shared" si="7"/>
        <v>3</v>
      </c>
      <c r="M19" s="72">
        <f t="shared" si="8"/>
        <v>-1</v>
      </c>
      <c r="N19" s="1283">
        <f t="shared" si="9"/>
        <v>0</v>
      </c>
      <c r="O19" s="1285">
        <f t="shared" si="10"/>
        <v>1.7241379310344827</v>
      </c>
    </row>
    <row r="20" spans="1:15" s="354" customFormat="1" ht="23.25" customHeight="1">
      <c r="A20" s="1049" t="s">
        <v>131</v>
      </c>
      <c r="B20" s="1216">
        <f>+[8]A07!B27</f>
        <v>495</v>
      </c>
      <c r="C20" s="1277">
        <f>SUM(D20:F20)</f>
        <v>6</v>
      </c>
      <c r="D20" s="1216">
        <f>+[8]A07!Y27+[8]A07!AC27</f>
        <v>2</v>
      </c>
      <c r="E20" s="1216">
        <f>+[8]A07!Z27+[8]A07!AD27</f>
        <v>4</v>
      </c>
      <c r="F20" s="1280">
        <f>+[8]A07!AA27+[8]A07!AE27</f>
        <v>0</v>
      </c>
      <c r="G20" s="1281">
        <f t="shared" si="2"/>
        <v>5</v>
      </c>
      <c r="H20" s="1216">
        <v>2</v>
      </c>
      <c r="I20" s="1216">
        <v>3</v>
      </c>
      <c r="J20" s="1280">
        <v>0</v>
      </c>
      <c r="K20" s="1281">
        <f t="shared" si="6"/>
        <v>1</v>
      </c>
      <c r="L20" s="72">
        <f t="shared" si="7"/>
        <v>0</v>
      </c>
      <c r="M20" s="72">
        <f t="shared" si="8"/>
        <v>1</v>
      </c>
      <c r="N20" s="1283">
        <f t="shared" si="9"/>
        <v>0</v>
      </c>
      <c r="O20" s="1285">
        <f t="shared" si="10"/>
        <v>20</v>
      </c>
    </row>
    <row r="21" spans="1:15" s="354" customFormat="1" ht="23.25" customHeight="1">
      <c r="A21" s="591" t="s">
        <v>1066</v>
      </c>
      <c r="B21" s="1216">
        <f>+[8]A07!B28</f>
        <v>0</v>
      </c>
      <c r="C21" s="1277">
        <f t="shared" si="1"/>
        <v>0</v>
      </c>
      <c r="D21" s="1216">
        <f>+[8]A07!Y28+[8]A07!AC28</f>
        <v>0</v>
      </c>
      <c r="E21" s="1216">
        <f>+[8]A07!Z28+[8]A07!AD28</f>
        <v>0</v>
      </c>
      <c r="F21" s="1280">
        <f>+[8]A07!AA28+[8]A07!AE28</f>
        <v>0</v>
      </c>
      <c r="G21" s="1281">
        <f t="shared" si="2"/>
        <v>0</v>
      </c>
      <c r="H21" s="1216">
        <v>0</v>
      </c>
      <c r="I21" s="1216">
        <v>0</v>
      </c>
      <c r="J21" s="1280">
        <v>0</v>
      </c>
      <c r="K21" s="1281">
        <f t="shared" si="6"/>
        <v>0</v>
      </c>
      <c r="L21" s="72">
        <f t="shared" si="7"/>
        <v>0</v>
      </c>
      <c r="M21" s="72">
        <f t="shared" si="8"/>
        <v>0</v>
      </c>
      <c r="N21" s="1283">
        <f t="shared" si="9"/>
        <v>0</v>
      </c>
      <c r="O21" s="1285"/>
    </row>
    <row r="22" spans="1:15" s="354" customFormat="1" ht="23.25" customHeight="1">
      <c r="A22" s="591" t="s">
        <v>1067</v>
      </c>
      <c r="B22" s="1216">
        <f>+[8]A07!B29</f>
        <v>954</v>
      </c>
      <c r="C22" s="1277">
        <f t="shared" si="1"/>
        <v>395</v>
      </c>
      <c r="D22" s="1216">
        <f>+[8]A07!Y29+[8]A07!AC29</f>
        <v>57</v>
      </c>
      <c r="E22" s="1216">
        <f>+[8]A07!Z29+[8]A07!AD29</f>
        <v>338</v>
      </c>
      <c r="F22" s="1280">
        <f>+[8]A07!AA29+[8]A07!AE29</f>
        <v>0</v>
      </c>
      <c r="G22" s="1281">
        <f t="shared" si="2"/>
        <v>236</v>
      </c>
      <c r="H22" s="1216">
        <v>48</v>
      </c>
      <c r="I22" s="1216">
        <v>188</v>
      </c>
      <c r="J22" s="1280">
        <v>0</v>
      </c>
      <c r="K22" s="1281">
        <f t="shared" si="6"/>
        <v>159</v>
      </c>
      <c r="L22" s="72">
        <f t="shared" si="7"/>
        <v>9</v>
      </c>
      <c r="M22" s="72">
        <f t="shared" si="8"/>
        <v>150</v>
      </c>
      <c r="N22" s="1283">
        <f t="shared" si="9"/>
        <v>0</v>
      </c>
      <c r="O22" s="1285">
        <f t="shared" si="10"/>
        <v>67.372881355932208</v>
      </c>
    </row>
    <row r="23" spans="1:15" s="354" customFormat="1" ht="23.25" customHeight="1">
      <c r="A23" s="591" t="s">
        <v>1068</v>
      </c>
      <c r="B23" s="1216">
        <f>+[8]A07!B30</f>
        <v>10088</v>
      </c>
      <c r="C23" s="1277">
        <f t="shared" si="1"/>
        <v>2014</v>
      </c>
      <c r="D23" s="1216">
        <f>+[8]A07!Y30+[8]A07!AC30</f>
        <v>1276</v>
      </c>
      <c r="E23" s="1216">
        <f>+[8]A07!Z30+[8]A07!AD30</f>
        <v>726</v>
      </c>
      <c r="F23" s="1280">
        <f>+[8]A07!AA30+[8]A07!AE30</f>
        <v>12</v>
      </c>
      <c r="G23" s="1281">
        <f t="shared" si="2"/>
        <v>1692</v>
      </c>
      <c r="H23" s="1216">
        <v>1121</v>
      </c>
      <c r="I23" s="1216">
        <v>546</v>
      </c>
      <c r="J23" s="1280">
        <v>25</v>
      </c>
      <c r="K23" s="1281">
        <f t="shared" si="6"/>
        <v>322</v>
      </c>
      <c r="L23" s="72">
        <f t="shared" si="7"/>
        <v>155</v>
      </c>
      <c r="M23" s="72">
        <f t="shared" si="8"/>
        <v>180</v>
      </c>
      <c r="N23" s="1283">
        <f t="shared" si="9"/>
        <v>-13</v>
      </c>
      <c r="O23" s="1285">
        <f t="shared" si="10"/>
        <v>19.030732860520093</v>
      </c>
    </row>
    <row r="24" spans="1:15" s="354" customFormat="1" ht="23.25" customHeight="1">
      <c r="A24" s="591" t="s">
        <v>1069</v>
      </c>
      <c r="B24" s="1216">
        <f>+[8]A07!B31</f>
        <v>0</v>
      </c>
      <c r="C24" s="1277">
        <f t="shared" si="1"/>
        <v>0</v>
      </c>
      <c r="D24" s="1216">
        <f>+[8]A07!Y31+[8]A07!AC31</f>
        <v>0</v>
      </c>
      <c r="E24" s="1216">
        <f>+[8]A07!Z31+[8]A07!AD31</f>
        <v>0</v>
      </c>
      <c r="F24" s="1280">
        <f>+[8]A07!AA31+[8]A07!AE31</f>
        <v>0</v>
      </c>
      <c r="G24" s="1281">
        <f t="shared" si="2"/>
        <v>0</v>
      </c>
      <c r="H24" s="1216">
        <v>0</v>
      </c>
      <c r="I24" s="1216">
        <v>0</v>
      </c>
      <c r="J24" s="1280">
        <v>0</v>
      </c>
      <c r="K24" s="1281">
        <f t="shared" si="6"/>
        <v>0</v>
      </c>
      <c r="L24" s="72">
        <f t="shared" si="7"/>
        <v>0</v>
      </c>
      <c r="M24" s="72">
        <f t="shared" si="8"/>
        <v>0</v>
      </c>
      <c r="N24" s="1283">
        <f t="shared" si="9"/>
        <v>0</v>
      </c>
      <c r="O24" s="1285"/>
    </row>
    <row r="25" spans="1:15" s="354" customFormat="1" ht="23.25" customHeight="1">
      <c r="A25" s="591" t="s">
        <v>1070</v>
      </c>
      <c r="B25" s="1216">
        <f>+[8]A07!B32</f>
        <v>3007</v>
      </c>
      <c r="C25" s="1277">
        <f t="shared" si="1"/>
        <v>674</v>
      </c>
      <c r="D25" s="1216">
        <f>+[8]A07!Y32+[8]A07!AC32</f>
        <v>541</v>
      </c>
      <c r="E25" s="1216">
        <f>+[8]A07!Z32+[8]A07!AD32</f>
        <v>70</v>
      </c>
      <c r="F25" s="1280">
        <f>+[8]A07!AA32+[8]A07!AE32</f>
        <v>63</v>
      </c>
      <c r="G25" s="1281">
        <f t="shared" si="2"/>
        <v>820</v>
      </c>
      <c r="H25" s="1216">
        <v>665</v>
      </c>
      <c r="I25" s="1216">
        <v>61</v>
      </c>
      <c r="J25" s="1280">
        <v>94</v>
      </c>
      <c r="K25" s="1281">
        <f t="shared" si="6"/>
        <v>-146</v>
      </c>
      <c r="L25" s="72">
        <f t="shared" si="7"/>
        <v>-124</v>
      </c>
      <c r="M25" s="72">
        <f t="shared" si="8"/>
        <v>9</v>
      </c>
      <c r="N25" s="1283">
        <f t="shared" si="9"/>
        <v>-31</v>
      </c>
      <c r="O25" s="1285">
        <f t="shared" si="10"/>
        <v>-17.804878048780488</v>
      </c>
    </row>
    <row r="26" spans="1:15" s="354" customFormat="1" ht="23.25" customHeight="1">
      <c r="A26" s="591" t="s">
        <v>1071</v>
      </c>
      <c r="B26" s="1216">
        <f>+[8]A07!B33</f>
        <v>0</v>
      </c>
      <c r="C26" s="1277">
        <f t="shared" si="1"/>
        <v>0</v>
      </c>
      <c r="D26" s="1216">
        <f>+[8]A07!Y33+[8]A07!AC33</f>
        <v>0</v>
      </c>
      <c r="E26" s="1216">
        <f>+[8]A07!Z33+[8]A07!AD33</f>
        <v>0</v>
      </c>
      <c r="F26" s="1280">
        <f>+[8]A07!AA33+[8]A07!AE33</f>
        <v>0</v>
      </c>
      <c r="G26" s="1281">
        <f t="shared" si="2"/>
        <v>0</v>
      </c>
      <c r="H26" s="1216">
        <v>0</v>
      </c>
      <c r="I26" s="1216">
        <v>0</v>
      </c>
      <c r="J26" s="1280">
        <v>0</v>
      </c>
      <c r="K26" s="1281">
        <f t="shared" si="6"/>
        <v>0</v>
      </c>
      <c r="L26" s="72">
        <f t="shared" si="7"/>
        <v>0</v>
      </c>
      <c r="M26" s="72">
        <f t="shared" si="8"/>
        <v>0</v>
      </c>
      <c r="N26" s="1283">
        <f t="shared" si="9"/>
        <v>0</v>
      </c>
      <c r="O26" s="1285"/>
    </row>
    <row r="27" spans="1:15" s="354" customFormat="1" ht="23.25" customHeight="1">
      <c r="A27" s="593" t="s">
        <v>1072</v>
      </c>
      <c r="B27" s="1216">
        <f>+[8]A07!B34</f>
        <v>1782</v>
      </c>
      <c r="C27" s="1277">
        <f t="shared" si="1"/>
        <v>750</v>
      </c>
      <c r="D27" s="1216">
        <f>+[8]A07!Y34+[8]A07!AC34</f>
        <v>564</v>
      </c>
      <c r="E27" s="1216">
        <f>+[8]A07!Z34+[8]A07!AD34</f>
        <v>155</v>
      </c>
      <c r="F27" s="1280">
        <f>+[8]A07!AA34+[8]A07!AE34</f>
        <v>31</v>
      </c>
      <c r="G27" s="1281">
        <f t="shared" si="2"/>
        <v>521</v>
      </c>
      <c r="H27" s="1216">
        <v>387</v>
      </c>
      <c r="I27" s="1216">
        <v>119</v>
      </c>
      <c r="J27" s="1280">
        <v>15</v>
      </c>
      <c r="K27" s="1281">
        <f t="shared" si="6"/>
        <v>229</v>
      </c>
      <c r="L27" s="72">
        <f t="shared" si="7"/>
        <v>177</v>
      </c>
      <c r="M27" s="72">
        <f t="shared" si="8"/>
        <v>36</v>
      </c>
      <c r="N27" s="1283">
        <f t="shared" si="9"/>
        <v>16</v>
      </c>
      <c r="O27" s="1285">
        <f t="shared" si="10"/>
        <v>43.953934740882914</v>
      </c>
    </row>
    <row r="28" spans="1:15" s="354" customFormat="1" ht="23.25" customHeight="1">
      <c r="A28" s="593" t="s">
        <v>1073</v>
      </c>
      <c r="B28" s="1216">
        <f>+[8]A07!B35</f>
        <v>14779</v>
      </c>
      <c r="C28" s="1277">
        <f t="shared" si="1"/>
        <v>3035</v>
      </c>
      <c r="D28" s="1216">
        <f>+[8]A07!Y35+[8]A07!AC35</f>
        <v>2506</v>
      </c>
      <c r="E28" s="1216">
        <f>+[8]A07!Z35+[8]A07!AD35</f>
        <v>514</v>
      </c>
      <c r="F28" s="1280">
        <f>+[8]A07!AA35+[8]A07!AE35</f>
        <v>15</v>
      </c>
      <c r="G28" s="1281">
        <f t="shared" si="2"/>
        <v>3042</v>
      </c>
      <c r="H28" s="1216">
        <v>2520</v>
      </c>
      <c r="I28" s="1216">
        <v>514</v>
      </c>
      <c r="J28" s="1280">
        <v>8</v>
      </c>
      <c r="K28" s="1281">
        <f t="shared" si="6"/>
        <v>-7</v>
      </c>
      <c r="L28" s="72">
        <f t="shared" si="7"/>
        <v>-14</v>
      </c>
      <c r="M28" s="72">
        <f t="shared" si="8"/>
        <v>0</v>
      </c>
      <c r="N28" s="1283">
        <f t="shared" si="9"/>
        <v>7</v>
      </c>
      <c r="O28" s="1285">
        <f t="shared" si="10"/>
        <v>-0.23011176857330704</v>
      </c>
    </row>
    <row r="29" spans="1:15" s="354" customFormat="1" ht="23.25" customHeight="1">
      <c r="A29" s="591" t="s">
        <v>1074</v>
      </c>
      <c r="B29" s="1216">
        <f>+[8]A07!B36</f>
        <v>0</v>
      </c>
      <c r="C29" s="1277">
        <f t="shared" si="1"/>
        <v>0</v>
      </c>
      <c r="D29" s="1216">
        <f>+[8]A07!Y36+[8]A07!AC36</f>
        <v>0</v>
      </c>
      <c r="E29" s="1216">
        <f>+[8]A07!Z36+[8]A07!AD36</f>
        <v>0</v>
      </c>
      <c r="F29" s="1280">
        <f>+[8]A07!AA36+[8]A07!AE36</f>
        <v>0</v>
      </c>
      <c r="G29" s="1281">
        <f t="shared" si="2"/>
        <v>0</v>
      </c>
      <c r="H29" s="1216">
        <v>0</v>
      </c>
      <c r="I29" s="1216">
        <v>0</v>
      </c>
      <c r="J29" s="1280">
        <v>0</v>
      </c>
      <c r="K29" s="1281">
        <f t="shared" si="6"/>
        <v>0</v>
      </c>
      <c r="L29" s="72">
        <f t="shared" si="7"/>
        <v>0</v>
      </c>
      <c r="M29" s="72">
        <f t="shared" si="8"/>
        <v>0</v>
      </c>
      <c r="N29" s="1283">
        <f t="shared" si="9"/>
        <v>0</v>
      </c>
      <c r="O29" s="1285"/>
    </row>
    <row r="30" spans="1:15" s="354" customFormat="1" ht="23.25" customHeight="1">
      <c r="A30" s="591" t="s">
        <v>1075</v>
      </c>
      <c r="B30" s="1216">
        <f>+[8]A07!B37</f>
        <v>899</v>
      </c>
      <c r="C30" s="1277">
        <f t="shared" si="1"/>
        <v>65</v>
      </c>
      <c r="D30" s="1216">
        <f>+[8]A07!Y37+[8]A07!AC37</f>
        <v>30</v>
      </c>
      <c r="E30" s="1216">
        <f>+[8]A07!Z37+[8]A07!AD37</f>
        <v>35</v>
      </c>
      <c r="F30" s="1280">
        <f>+[8]A07!AA37+[8]A07!AE37</f>
        <v>0</v>
      </c>
      <c r="G30" s="1281">
        <f t="shared" si="2"/>
        <v>60</v>
      </c>
      <c r="H30" s="1216">
        <v>40</v>
      </c>
      <c r="I30" s="1216">
        <v>20</v>
      </c>
      <c r="J30" s="1280">
        <v>0</v>
      </c>
      <c r="K30" s="1281">
        <f t="shared" si="6"/>
        <v>5</v>
      </c>
      <c r="L30" s="72">
        <f t="shared" si="7"/>
        <v>-10</v>
      </c>
      <c r="M30" s="72">
        <f t="shared" si="8"/>
        <v>15</v>
      </c>
      <c r="N30" s="1283">
        <f t="shared" si="9"/>
        <v>0</v>
      </c>
      <c r="O30" s="1285">
        <f t="shared" si="10"/>
        <v>8.3333333333333321</v>
      </c>
    </row>
    <row r="31" spans="1:15" s="354" customFormat="1" ht="23.25" customHeight="1">
      <c r="A31" s="591" t="s">
        <v>127</v>
      </c>
      <c r="B31" s="1216">
        <f>+[8]A07!B38</f>
        <v>673</v>
      </c>
      <c r="C31" s="1277">
        <f>SUM(D31:F31)</f>
        <v>279</v>
      </c>
      <c r="D31" s="1216">
        <f>+[8]A07!Y38+[8]A07!AC38</f>
        <v>225</v>
      </c>
      <c r="E31" s="1216">
        <f>+[8]A07!Z38+[8]A07!AD38</f>
        <v>54</v>
      </c>
      <c r="F31" s="1280">
        <f>+[8]A07!AA38+[8]A07!AE38</f>
        <v>0</v>
      </c>
      <c r="G31" s="1281">
        <f t="shared" si="2"/>
        <v>328</v>
      </c>
      <c r="H31" s="1216">
        <v>271</v>
      </c>
      <c r="I31" s="1216">
        <v>57</v>
      </c>
      <c r="J31" s="1280">
        <v>0</v>
      </c>
      <c r="K31" s="1281">
        <f t="shared" si="6"/>
        <v>-49</v>
      </c>
      <c r="L31" s="72">
        <f t="shared" si="7"/>
        <v>-46</v>
      </c>
      <c r="M31" s="72">
        <f t="shared" si="8"/>
        <v>-3</v>
      </c>
      <c r="N31" s="1283">
        <f t="shared" si="9"/>
        <v>0</v>
      </c>
      <c r="O31" s="1285">
        <f t="shared" si="10"/>
        <v>-14.939024390243901</v>
      </c>
    </row>
    <row r="32" spans="1:15" s="354" customFormat="1" ht="23.25" customHeight="1">
      <c r="A32" s="591" t="s">
        <v>1076</v>
      </c>
      <c r="B32" s="1216">
        <f>+[8]A07!B39</f>
        <v>0</v>
      </c>
      <c r="C32" s="1277">
        <f>SUM(D32:F32)</f>
        <v>0</v>
      </c>
      <c r="D32" s="1216">
        <f>+[8]A07!Y39+[8]A07!AC39</f>
        <v>0</v>
      </c>
      <c r="E32" s="1216">
        <f>+[8]A07!Z39+[8]A07!AD39</f>
        <v>0</v>
      </c>
      <c r="F32" s="1280">
        <f>+[8]A07!AA39+[8]A07!AE39</f>
        <v>0</v>
      </c>
      <c r="G32" s="1281">
        <f t="shared" si="2"/>
        <v>0</v>
      </c>
      <c r="H32" s="1216">
        <v>0</v>
      </c>
      <c r="I32" s="1216">
        <v>0</v>
      </c>
      <c r="J32" s="1280">
        <v>0</v>
      </c>
      <c r="K32" s="1281">
        <f t="shared" si="6"/>
        <v>0</v>
      </c>
      <c r="L32" s="72">
        <f t="shared" si="7"/>
        <v>0</v>
      </c>
      <c r="M32" s="72">
        <f t="shared" si="8"/>
        <v>0</v>
      </c>
      <c r="N32" s="1283">
        <f t="shared" si="9"/>
        <v>0</v>
      </c>
      <c r="O32" s="1285"/>
    </row>
    <row r="33" spans="1:15" s="354" customFormat="1" ht="23.25" customHeight="1">
      <c r="A33" s="591" t="s">
        <v>1077</v>
      </c>
      <c r="B33" s="1216">
        <f>+[8]A07!B40</f>
        <v>1105</v>
      </c>
      <c r="C33" s="1277">
        <f>SUM(D33:F33)</f>
        <v>50</v>
      </c>
      <c r="D33" s="1216">
        <f>+[8]A07!Y40+[8]A07!AC40</f>
        <v>15</v>
      </c>
      <c r="E33" s="1216">
        <f>+[8]A07!Z40+[8]A07!AD40</f>
        <v>35</v>
      </c>
      <c r="F33" s="1280">
        <f>+[8]A07!AA40+[8]A07!AE40</f>
        <v>0</v>
      </c>
      <c r="G33" s="1281">
        <f t="shared" si="2"/>
        <v>78</v>
      </c>
      <c r="H33" s="1216">
        <v>4</v>
      </c>
      <c r="I33" s="1216">
        <v>74</v>
      </c>
      <c r="J33" s="1280">
        <v>0</v>
      </c>
      <c r="K33" s="1281">
        <f t="shared" si="6"/>
        <v>-28</v>
      </c>
      <c r="L33" s="72">
        <f t="shared" si="7"/>
        <v>11</v>
      </c>
      <c r="M33" s="72">
        <f t="shared" si="8"/>
        <v>-39</v>
      </c>
      <c r="N33" s="1283">
        <f t="shared" si="9"/>
        <v>0</v>
      </c>
      <c r="O33" s="1285">
        <f t="shared" si="10"/>
        <v>-35.897435897435898</v>
      </c>
    </row>
    <row r="34" spans="1:15" s="354" customFormat="1" ht="23.25" customHeight="1">
      <c r="A34" s="591" t="s">
        <v>1078</v>
      </c>
      <c r="B34" s="1216">
        <f>+[8]A07!B41</f>
        <v>0</v>
      </c>
      <c r="C34" s="1277">
        <f t="shared" ref="C34:C41" si="11">SUM(D34:F34)</f>
        <v>0</v>
      </c>
      <c r="D34" s="1216">
        <f>+[8]A07!Y41+[8]A07!AC41</f>
        <v>0</v>
      </c>
      <c r="E34" s="1216">
        <f>+[8]A07!Z41+[8]A07!AD41</f>
        <v>0</v>
      </c>
      <c r="F34" s="1280">
        <f>+[8]A07!AA41+[8]A07!AE41</f>
        <v>0</v>
      </c>
      <c r="G34" s="1281">
        <f t="shared" si="2"/>
        <v>0</v>
      </c>
      <c r="H34" s="1216">
        <v>0</v>
      </c>
      <c r="I34" s="1216">
        <v>0</v>
      </c>
      <c r="J34" s="1280">
        <v>0</v>
      </c>
      <c r="K34" s="1281">
        <f t="shared" si="6"/>
        <v>0</v>
      </c>
      <c r="L34" s="72">
        <f t="shared" si="7"/>
        <v>0</v>
      </c>
      <c r="M34" s="72">
        <f t="shared" si="8"/>
        <v>0</v>
      </c>
      <c r="N34" s="1283">
        <f t="shared" si="9"/>
        <v>0</v>
      </c>
      <c r="O34" s="1285"/>
    </row>
    <row r="35" spans="1:15" s="354" customFormat="1" ht="23.25" customHeight="1">
      <c r="A35" s="591" t="s">
        <v>1079</v>
      </c>
      <c r="B35" s="1216">
        <f>+[8]A07!B42</f>
        <v>0</v>
      </c>
      <c r="C35" s="1277">
        <f t="shared" si="11"/>
        <v>0</v>
      </c>
      <c r="D35" s="1216">
        <f>+[8]A07!Y42+[8]A07!AC42</f>
        <v>0</v>
      </c>
      <c r="E35" s="1216">
        <f>+[8]A07!Z42+[8]A07!AD42</f>
        <v>0</v>
      </c>
      <c r="F35" s="1280">
        <f>+[8]A07!AA42+[8]A07!AE42</f>
        <v>0</v>
      </c>
      <c r="G35" s="1281">
        <f t="shared" si="2"/>
        <v>0</v>
      </c>
      <c r="H35" s="1216">
        <v>0</v>
      </c>
      <c r="I35" s="1216">
        <v>0</v>
      </c>
      <c r="J35" s="1280">
        <v>0</v>
      </c>
      <c r="K35" s="1281">
        <f t="shared" si="6"/>
        <v>0</v>
      </c>
      <c r="L35" s="72">
        <f t="shared" si="7"/>
        <v>0</v>
      </c>
      <c r="M35" s="72">
        <f t="shared" si="8"/>
        <v>0</v>
      </c>
      <c r="N35" s="1283">
        <f t="shared" si="9"/>
        <v>0</v>
      </c>
      <c r="O35" s="1285"/>
    </row>
    <row r="36" spans="1:15" s="354" customFormat="1" ht="23.25" customHeight="1">
      <c r="A36" s="591" t="s">
        <v>1080</v>
      </c>
      <c r="B36" s="1216">
        <f>+[8]A07!B43</f>
        <v>0</v>
      </c>
      <c r="C36" s="1277">
        <f t="shared" si="11"/>
        <v>0</v>
      </c>
      <c r="D36" s="1216">
        <f>+[8]A07!Y43+[8]A07!AC43</f>
        <v>0</v>
      </c>
      <c r="E36" s="1216">
        <f>+[8]A07!Z43+[8]A07!AD43</f>
        <v>0</v>
      </c>
      <c r="F36" s="1280">
        <f>+[8]A07!AA43+[8]A07!AE43</f>
        <v>0</v>
      </c>
      <c r="G36" s="1281">
        <f t="shared" si="2"/>
        <v>0</v>
      </c>
      <c r="H36" s="1216">
        <v>0</v>
      </c>
      <c r="I36" s="1216">
        <v>0</v>
      </c>
      <c r="J36" s="1280">
        <v>0</v>
      </c>
      <c r="K36" s="1281">
        <f t="shared" si="6"/>
        <v>0</v>
      </c>
      <c r="L36" s="72">
        <f t="shared" si="7"/>
        <v>0</v>
      </c>
      <c r="M36" s="72">
        <f t="shared" si="8"/>
        <v>0</v>
      </c>
      <c r="N36" s="1283">
        <f t="shared" si="9"/>
        <v>0</v>
      </c>
      <c r="O36" s="1285"/>
    </row>
    <row r="37" spans="1:15" s="354" customFormat="1" ht="23.25" customHeight="1">
      <c r="A37" s="591" t="s">
        <v>1081</v>
      </c>
      <c r="B37" s="1216">
        <f>+[8]A07!B44</f>
        <v>3069</v>
      </c>
      <c r="C37" s="1277">
        <f t="shared" si="11"/>
        <v>847</v>
      </c>
      <c r="D37" s="1216">
        <f>+[8]A07!Y44+[8]A07!AC44</f>
        <v>583</v>
      </c>
      <c r="E37" s="1216">
        <f>+[8]A07!Z44+[8]A07!AD44</f>
        <v>256</v>
      </c>
      <c r="F37" s="1280">
        <f>+[8]A07!AA44+[8]A07!AE44</f>
        <v>8</v>
      </c>
      <c r="G37" s="1281">
        <f t="shared" si="2"/>
        <v>716</v>
      </c>
      <c r="H37" s="1216">
        <v>560</v>
      </c>
      <c r="I37" s="1216">
        <v>153</v>
      </c>
      <c r="J37" s="1280">
        <v>3</v>
      </c>
      <c r="K37" s="1281">
        <f t="shared" si="6"/>
        <v>131</v>
      </c>
      <c r="L37" s="72">
        <f t="shared" si="7"/>
        <v>23</v>
      </c>
      <c r="M37" s="72">
        <f t="shared" si="8"/>
        <v>103</v>
      </c>
      <c r="N37" s="1283">
        <f t="shared" si="9"/>
        <v>5</v>
      </c>
      <c r="O37" s="1285">
        <f t="shared" si="10"/>
        <v>18.296089385474858</v>
      </c>
    </row>
    <row r="38" spans="1:15" s="354" customFormat="1" ht="23.25" customHeight="1">
      <c r="A38" s="591" t="s">
        <v>1082</v>
      </c>
      <c r="B38" s="1216">
        <f>+[8]A07!B45</f>
        <v>0</v>
      </c>
      <c r="C38" s="1277">
        <f t="shared" si="11"/>
        <v>0</v>
      </c>
      <c r="D38" s="1216">
        <f>+[8]A07!Y45+[8]A07!AC45</f>
        <v>0</v>
      </c>
      <c r="E38" s="1216">
        <f>+[8]A07!Z45+[8]A07!AD45</f>
        <v>0</v>
      </c>
      <c r="F38" s="1280">
        <f>+[8]A07!AA45+[8]A07!AE45</f>
        <v>0</v>
      </c>
      <c r="G38" s="1281">
        <f t="shared" si="2"/>
        <v>0</v>
      </c>
      <c r="H38" s="1216">
        <v>0</v>
      </c>
      <c r="I38" s="1216">
        <v>0</v>
      </c>
      <c r="J38" s="1280">
        <v>0</v>
      </c>
      <c r="K38" s="1281">
        <f t="shared" si="6"/>
        <v>0</v>
      </c>
      <c r="L38" s="72">
        <f t="shared" si="7"/>
        <v>0</v>
      </c>
      <c r="M38" s="72">
        <f t="shared" si="8"/>
        <v>0</v>
      </c>
      <c r="N38" s="1283">
        <f t="shared" si="9"/>
        <v>0</v>
      </c>
      <c r="O38" s="1285"/>
    </row>
    <row r="39" spans="1:15" s="354" customFormat="1" ht="23.25" customHeight="1">
      <c r="A39" s="591" t="s">
        <v>1083</v>
      </c>
      <c r="B39" s="1216">
        <f>+[8]A07!B46</f>
        <v>0</v>
      </c>
      <c r="C39" s="1277">
        <f t="shared" si="11"/>
        <v>0</v>
      </c>
      <c r="D39" s="1216">
        <f>+[8]A07!Y46+[8]A07!AC46</f>
        <v>0</v>
      </c>
      <c r="E39" s="1216">
        <f>+[8]A07!Z46+[8]A07!AD46</f>
        <v>0</v>
      </c>
      <c r="F39" s="1280">
        <f>+[8]A07!AA46+[8]A07!AE46</f>
        <v>0</v>
      </c>
      <c r="G39" s="1281">
        <f t="shared" si="2"/>
        <v>0</v>
      </c>
      <c r="H39" s="1216">
        <v>0</v>
      </c>
      <c r="I39" s="1216">
        <v>0</v>
      </c>
      <c r="J39" s="1280">
        <v>0</v>
      </c>
      <c r="K39" s="1281">
        <f t="shared" si="6"/>
        <v>0</v>
      </c>
      <c r="L39" s="72">
        <f t="shared" si="7"/>
        <v>0</v>
      </c>
      <c r="M39" s="72">
        <f t="shared" si="8"/>
        <v>0</v>
      </c>
      <c r="N39" s="1283">
        <f t="shared" si="9"/>
        <v>0</v>
      </c>
      <c r="O39" s="1285"/>
    </row>
    <row r="40" spans="1:15" s="354" customFormat="1" ht="23.25" customHeight="1">
      <c r="A40" s="591" t="s">
        <v>1084</v>
      </c>
      <c r="B40" s="1216">
        <f>+[8]A07!B47</f>
        <v>7124</v>
      </c>
      <c r="C40" s="1277">
        <f t="shared" si="11"/>
        <v>1735</v>
      </c>
      <c r="D40" s="1216">
        <f>+[8]A07!Y47+[8]A07!AC47</f>
        <v>1546</v>
      </c>
      <c r="E40" s="1216">
        <f>+[8]A07!Z47+[8]A07!AD47</f>
        <v>188</v>
      </c>
      <c r="F40" s="1280">
        <f>+[8]A07!AA47+[8]A07!AE47</f>
        <v>1</v>
      </c>
      <c r="G40" s="1281">
        <f t="shared" si="2"/>
        <v>1424</v>
      </c>
      <c r="H40" s="1216">
        <v>1328</v>
      </c>
      <c r="I40" s="1216">
        <v>94</v>
      </c>
      <c r="J40" s="1280">
        <v>2</v>
      </c>
      <c r="K40" s="1281">
        <f t="shared" si="6"/>
        <v>311</v>
      </c>
      <c r="L40" s="72">
        <f t="shared" si="7"/>
        <v>218</v>
      </c>
      <c r="M40" s="72">
        <f t="shared" si="8"/>
        <v>94</v>
      </c>
      <c r="N40" s="1283">
        <f t="shared" si="9"/>
        <v>-1</v>
      </c>
      <c r="O40" s="1285">
        <f t="shared" si="10"/>
        <v>21.839887640449437</v>
      </c>
    </row>
    <row r="41" spans="1:15" s="354" customFormat="1" ht="23.25" customHeight="1">
      <c r="A41" s="591" t="s">
        <v>1085</v>
      </c>
      <c r="B41" s="1216">
        <f>+[8]A07!B48</f>
        <v>2805</v>
      </c>
      <c r="C41" s="1277">
        <f t="shared" si="11"/>
        <v>713</v>
      </c>
      <c r="D41" s="1216">
        <f>+[8]A07!Y48+[8]A07!AC48</f>
        <v>623</v>
      </c>
      <c r="E41" s="1216">
        <f>+[8]A07!Z48+[8]A07!AD48</f>
        <v>90</v>
      </c>
      <c r="F41" s="1280">
        <f>+[8]A07!AA48+[8]A07!AE48</f>
        <v>0</v>
      </c>
      <c r="G41" s="1281">
        <f t="shared" si="2"/>
        <v>706</v>
      </c>
      <c r="H41" s="1216">
        <v>605</v>
      </c>
      <c r="I41" s="1216">
        <v>101</v>
      </c>
      <c r="J41" s="1280">
        <v>0</v>
      </c>
      <c r="K41" s="1281">
        <f t="shared" si="6"/>
        <v>7</v>
      </c>
      <c r="L41" s="72">
        <f t="shared" si="7"/>
        <v>18</v>
      </c>
      <c r="M41" s="72">
        <f t="shared" si="8"/>
        <v>-11</v>
      </c>
      <c r="N41" s="1283">
        <f t="shared" si="9"/>
        <v>0</v>
      </c>
      <c r="O41" s="1285">
        <f t="shared" si="10"/>
        <v>0.99150141643059486</v>
      </c>
    </row>
    <row r="42" spans="1:15" s="354" customFormat="1" ht="23.25" customHeight="1">
      <c r="A42" s="591" t="s">
        <v>128</v>
      </c>
      <c r="B42" s="1216">
        <f>+[8]A07!B49</f>
        <v>5367</v>
      </c>
      <c r="C42" s="1277">
        <f>SUM(D42:F42)</f>
        <v>1407</v>
      </c>
      <c r="D42" s="1216">
        <f>+[8]A07!Y49+[8]A07!AC49</f>
        <v>1216</v>
      </c>
      <c r="E42" s="1216">
        <f>+[8]A07!Z49+[8]A07!AD49</f>
        <v>189</v>
      </c>
      <c r="F42" s="1280">
        <f>+[8]A07!AA49+[8]A07!AE49</f>
        <v>2</v>
      </c>
      <c r="G42" s="1281">
        <f t="shared" si="2"/>
        <v>1341</v>
      </c>
      <c r="H42" s="1216">
        <v>1155</v>
      </c>
      <c r="I42" s="1216">
        <v>186</v>
      </c>
      <c r="J42" s="1280">
        <v>0</v>
      </c>
      <c r="K42" s="1281">
        <f t="shared" si="6"/>
        <v>66</v>
      </c>
      <c r="L42" s="72">
        <f t="shared" si="7"/>
        <v>61</v>
      </c>
      <c r="M42" s="72">
        <f t="shared" si="8"/>
        <v>3</v>
      </c>
      <c r="N42" s="1283">
        <f t="shared" si="9"/>
        <v>2</v>
      </c>
      <c r="O42" s="1285">
        <f t="shared" si="10"/>
        <v>4.9217002237136462</v>
      </c>
    </row>
    <row r="43" spans="1:15" s="354" customFormat="1" ht="23.25" customHeight="1">
      <c r="A43" s="1139" t="s">
        <v>1328</v>
      </c>
      <c r="B43" s="1216">
        <f>+[8]A07!B50</f>
        <v>600</v>
      </c>
      <c r="C43" s="1277">
        <f>SUM(D43:F43)</f>
        <v>1</v>
      </c>
      <c r="D43" s="1216">
        <f>+[8]A07!Y50+[8]A07!AC50</f>
        <v>0</v>
      </c>
      <c r="E43" s="1216">
        <f>+[8]A07!Z50+[8]A07!AD50</f>
        <v>1</v>
      </c>
      <c r="F43" s="1280">
        <f>+[8]A07!AA50+[8]A07!AE50</f>
        <v>0</v>
      </c>
      <c r="G43" s="1281">
        <f t="shared" si="2"/>
        <v>0</v>
      </c>
      <c r="H43" s="1216">
        <v>0</v>
      </c>
      <c r="I43" s="1216">
        <v>0</v>
      </c>
      <c r="J43" s="1280">
        <v>0</v>
      </c>
      <c r="K43" s="1281">
        <f t="shared" si="6"/>
        <v>1</v>
      </c>
      <c r="L43" s="72">
        <f t="shared" si="7"/>
        <v>0</v>
      </c>
      <c r="M43" s="72">
        <f t="shared" si="8"/>
        <v>1</v>
      </c>
      <c r="N43" s="1283">
        <f t="shared" si="9"/>
        <v>0</v>
      </c>
      <c r="O43" s="1285"/>
    </row>
    <row r="44" spans="1:15" s="354" customFormat="1" ht="23.25" customHeight="1">
      <c r="A44" s="591" t="s">
        <v>1086</v>
      </c>
      <c r="B44" s="1216">
        <f>+[8]A07!B51</f>
        <v>6890</v>
      </c>
      <c r="C44" s="1277">
        <f>SUM(D44:F44)</f>
        <v>3355</v>
      </c>
      <c r="D44" s="1216">
        <f>+[8]A07!Y51+[8]A07!AC51</f>
        <v>1574</v>
      </c>
      <c r="E44" s="1216">
        <f>+[8]A07!Z51+[8]A07!AD51</f>
        <v>1558</v>
      </c>
      <c r="F44" s="1280">
        <f>+[8]A07!AA51+[8]A07!AE51</f>
        <v>223</v>
      </c>
      <c r="G44" s="1281">
        <f t="shared" si="2"/>
        <v>1064</v>
      </c>
      <c r="H44" s="1216">
        <v>429</v>
      </c>
      <c r="I44" s="1216">
        <v>298</v>
      </c>
      <c r="J44" s="1280">
        <v>337</v>
      </c>
      <c r="K44" s="1281">
        <f t="shared" si="6"/>
        <v>2291</v>
      </c>
      <c r="L44" s="72">
        <f t="shared" si="7"/>
        <v>1145</v>
      </c>
      <c r="M44" s="72">
        <f t="shared" si="8"/>
        <v>1260</v>
      </c>
      <c r="N44" s="1283">
        <f t="shared" si="9"/>
        <v>-114</v>
      </c>
      <c r="O44" s="1285">
        <f t="shared" si="10"/>
        <v>215.31954887218046</v>
      </c>
    </row>
    <row r="45" spans="1:15" s="354" customFormat="1" ht="23.25" customHeight="1">
      <c r="A45" s="591" t="s">
        <v>129</v>
      </c>
      <c r="B45" s="1216">
        <f>+[8]A07!B52</f>
        <v>1912</v>
      </c>
      <c r="C45" s="1277">
        <f t="shared" ref="C45:C50" si="12">SUM(D45:F45)</f>
        <v>0</v>
      </c>
      <c r="D45" s="1216">
        <f>+[8]A07!Y52+[8]A07!AC52</f>
        <v>0</v>
      </c>
      <c r="E45" s="1216">
        <f>+[8]A07!Z52+[8]A07!AD52</f>
        <v>0</v>
      </c>
      <c r="F45" s="1280">
        <f>+[8]A07!AA52+[8]A07!AE52</f>
        <v>0</v>
      </c>
      <c r="G45" s="1281">
        <f t="shared" si="2"/>
        <v>0</v>
      </c>
      <c r="H45" s="1216">
        <v>0</v>
      </c>
      <c r="I45" s="1216">
        <v>0</v>
      </c>
      <c r="J45" s="1280">
        <v>0</v>
      </c>
      <c r="K45" s="1281">
        <f t="shared" si="6"/>
        <v>0</v>
      </c>
      <c r="L45" s="72">
        <f t="shared" si="7"/>
        <v>0</v>
      </c>
      <c r="M45" s="72">
        <f t="shared" si="8"/>
        <v>0</v>
      </c>
      <c r="N45" s="1283">
        <f t="shared" si="9"/>
        <v>0</v>
      </c>
      <c r="O45" s="1285"/>
    </row>
    <row r="46" spans="1:15" s="354" customFormat="1" ht="23.25" customHeight="1">
      <c r="A46" s="591" t="s">
        <v>1087</v>
      </c>
      <c r="B46" s="1216">
        <f>+[8]A07!B53</f>
        <v>7122</v>
      </c>
      <c r="C46" s="1277">
        <f t="shared" si="12"/>
        <v>3733</v>
      </c>
      <c r="D46" s="1216">
        <f>+[8]A07!Y53+[8]A07!AC53</f>
        <v>2237</v>
      </c>
      <c r="E46" s="1216">
        <f>+[8]A07!Z53+[8]A07!AD53</f>
        <v>1485</v>
      </c>
      <c r="F46" s="1280">
        <f>+[8]A07!AA53+[8]A07!AE53</f>
        <v>11</v>
      </c>
      <c r="G46" s="1281">
        <f t="shared" si="2"/>
        <v>888</v>
      </c>
      <c r="H46" s="1216">
        <v>129</v>
      </c>
      <c r="I46" s="1216">
        <v>335</v>
      </c>
      <c r="J46" s="1280">
        <v>424</v>
      </c>
      <c r="K46" s="1281">
        <f t="shared" si="6"/>
        <v>2845</v>
      </c>
      <c r="L46" s="72">
        <f t="shared" si="7"/>
        <v>2108</v>
      </c>
      <c r="M46" s="72">
        <f t="shared" si="8"/>
        <v>1150</v>
      </c>
      <c r="N46" s="1283">
        <f t="shared" si="9"/>
        <v>-413</v>
      </c>
      <c r="O46" s="1285">
        <f t="shared" si="10"/>
        <v>320.38288288288288</v>
      </c>
    </row>
    <row r="47" spans="1:15" s="354" customFormat="1" ht="23.25" customHeight="1">
      <c r="A47" s="591" t="s">
        <v>1088</v>
      </c>
      <c r="B47" s="1216">
        <f>+[8]A07!B54</f>
        <v>0</v>
      </c>
      <c r="C47" s="1277">
        <f t="shared" si="12"/>
        <v>0</v>
      </c>
      <c r="D47" s="1216">
        <f>+[8]A07!Y54+[8]A07!AC54</f>
        <v>0</v>
      </c>
      <c r="E47" s="1216">
        <f>+[8]A07!Z54+[8]A07!AD54</f>
        <v>0</v>
      </c>
      <c r="F47" s="1280">
        <f>+[8]A07!AA54+[8]A07!AE54</f>
        <v>0</v>
      </c>
      <c r="G47" s="1281">
        <f t="shared" si="2"/>
        <v>0</v>
      </c>
      <c r="H47" s="1216">
        <v>0</v>
      </c>
      <c r="I47" s="1216">
        <v>0</v>
      </c>
      <c r="J47" s="1280">
        <v>0</v>
      </c>
      <c r="K47" s="1281">
        <f t="shared" si="6"/>
        <v>0</v>
      </c>
      <c r="L47" s="72">
        <f t="shared" si="7"/>
        <v>0</v>
      </c>
      <c r="M47" s="72">
        <f t="shared" si="8"/>
        <v>0</v>
      </c>
      <c r="N47" s="1283">
        <f t="shared" si="9"/>
        <v>0</v>
      </c>
      <c r="O47" s="1285"/>
    </row>
    <row r="48" spans="1:15" s="354" customFormat="1" ht="23.25" customHeight="1">
      <c r="A48" s="591" t="s">
        <v>1089</v>
      </c>
      <c r="B48" s="1216">
        <f>+[8]A07!B55</f>
        <v>10417</v>
      </c>
      <c r="C48" s="1277">
        <f t="shared" si="12"/>
        <v>1491</v>
      </c>
      <c r="D48" s="1216">
        <f>+[8]A07!Y55+[8]A07!AC55</f>
        <v>1256</v>
      </c>
      <c r="E48" s="1216">
        <f>+[8]A07!Z55+[8]A07!AD55</f>
        <v>235</v>
      </c>
      <c r="F48" s="1280">
        <f>+[8]A07!AA55+[8]A07!AE55</f>
        <v>0</v>
      </c>
      <c r="G48" s="1281">
        <f t="shared" si="2"/>
        <v>1590</v>
      </c>
      <c r="H48" s="1216">
        <v>1085</v>
      </c>
      <c r="I48" s="1216">
        <v>493</v>
      </c>
      <c r="J48" s="1280">
        <v>12</v>
      </c>
      <c r="K48" s="1281">
        <f t="shared" si="6"/>
        <v>-99</v>
      </c>
      <c r="L48" s="72">
        <f t="shared" si="7"/>
        <v>171</v>
      </c>
      <c r="M48" s="72">
        <f t="shared" si="8"/>
        <v>-258</v>
      </c>
      <c r="N48" s="1283">
        <f t="shared" si="9"/>
        <v>-12</v>
      </c>
      <c r="O48" s="1285">
        <f t="shared" si="10"/>
        <v>-6.2264150943396226</v>
      </c>
    </row>
    <row r="49" spans="1:15" s="354" customFormat="1" ht="23.25" customHeight="1">
      <c r="A49" s="591" t="s">
        <v>1090</v>
      </c>
      <c r="B49" s="1216">
        <f>+[8]A07!B56</f>
        <v>4567</v>
      </c>
      <c r="C49" s="1277">
        <f t="shared" si="12"/>
        <v>951</v>
      </c>
      <c r="D49" s="1216">
        <f>+[8]A07!Y56+[8]A07!AC56</f>
        <v>633</v>
      </c>
      <c r="E49" s="1216">
        <f>+[8]A07!Z56+[8]A07!AD56</f>
        <v>318</v>
      </c>
      <c r="F49" s="1280">
        <f>+[8]A07!AA56+[8]A07!AE56</f>
        <v>0</v>
      </c>
      <c r="G49" s="1281">
        <f t="shared" si="2"/>
        <v>744</v>
      </c>
      <c r="H49" s="1216">
        <v>454</v>
      </c>
      <c r="I49" s="1216">
        <v>288</v>
      </c>
      <c r="J49" s="1280">
        <v>2</v>
      </c>
      <c r="K49" s="1281">
        <f t="shared" si="6"/>
        <v>207</v>
      </c>
      <c r="L49" s="72">
        <f t="shared" si="7"/>
        <v>179</v>
      </c>
      <c r="M49" s="72">
        <f t="shared" si="8"/>
        <v>30</v>
      </c>
      <c r="N49" s="1283">
        <f t="shared" si="9"/>
        <v>-2</v>
      </c>
      <c r="O49" s="1285">
        <f t="shared" si="10"/>
        <v>27.822580645161288</v>
      </c>
    </row>
    <row r="50" spans="1:15" s="354" customFormat="1" ht="23.25" customHeight="1">
      <c r="A50" s="591" t="s">
        <v>1091</v>
      </c>
      <c r="B50" s="1216">
        <f>+[8]A07!B57</f>
        <v>0</v>
      </c>
      <c r="C50" s="1277">
        <f t="shared" si="12"/>
        <v>0</v>
      </c>
      <c r="D50" s="1216">
        <f>+[8]A07!Y57+[8]A07!AC57</f>
        <v>0</v>
      </c>
      <c r="E50" s="1216">
        <f>+[8]A07!Z57+[8]A07!AD57</f>
        <v>0</v>
      </c>
      <c r="F50" s="1280">
        <f>+[8]A07!AA57+[8]A07!AE57</f>
        <v>0</v>
      </c>
      <c r="G50" s="1281">
        <f t="shared" si="2"/>
        <v>0</v>
      </c>
      <c r="H50" s="1216">
        <v>0</v>
      </c>
      <c r="I50" s="1216">
        <v>0</v>
      </c>
      <c r="J50" s="1280">
        <v>0</v>
      </c>
      <c r="K50" s="1281">
        <f t="shared" si="6"/>
        <v>0</v>
      </c>
      <c r="L50" s="72">
        <f t="shared" si="7"/>
        <v>0</v>
      </c>
      <c r="M50" s="72">
        <f t="shared" si="8"/>
        <v>0</v>
      </c>
      <c r="N50" s="1283">
        <f t="shared" si="9"/>
        <v>0</v>
      </c>
      <c r="O50" s="1285"/>
    </row>
    <row r="51" spans="1:15" ht="23.25" customHeight="1" thickBot="1">
      <c r="A51" s="592" t="s">
        <v>535</v>
      </c>
      <c r="B51" s="1216">
        <f t="shared" ref="B51:F51" si="13">SUM(B5:B50)</f>
        <v>131743</v>
      </c>
      <c r="C51" s="1277">
        <f>SUM(C5:C50)</f>
        <v>29509</v>
      </c>
      <c r="D51" s="1216">
        <f t="shared" si="13"/>
        <v>19870</v>
      </c>
      <c r="E51" s="1216">
        <f t="shared" si="13"/>
        <v>9221</v>
      </c>
      <c r="F51" s="1280">
        <f t="shared" si="13"/>
        <v>418</v>
      </c>
      <c r="G51" s="1281">
        <f t="shared" si="2"/>
        <v>23120</v>
      </c>
      <c r="H51" s="1216">
        <f t="shared" ref="H51:N51" si="14">SUM(H5:H50)</f>
        <v>15775</v>
      </c>
      <c r="I51" s="1216">
        <f t="shared" si="14"/>
        <v>6346</v>
      </c>
      <c r="J51" s="1280">
        <f t="shared" si="14"/>
        <v>999</v>
      </c>
      <c r="K51" s="1281">
        <f t="shared" si="14"/>
        <v>6389</v>
      </c>
      <c r="L51" s="1272">
        <f t="shared" si="14"/>
        <v>4095</v>
      </c>
      <c r="M51" s="1272">
        <f t="shared" si="14"/>
        <v>2875</v>
      </c>
      <c r="N51" s="1273">
        <f t="shared" si="14"/>
        <v>-581</v>
      </c>
      <c r="O51" s="1286">
        <f t="shared" si="10"/>
        <v>27.634083044982699</v>
      </c>
    </row>
    <row r="52" spans="1:15">
      <c r="A52" s="594"/>
    </row>
    <row r="53" spans="1:15">
      <c r="A53" s="594"/>
      <c r="B53" s="1056"/>
    </row>
    <row r="54" spans="1:15">
      <c r="A54" s="594"/>
    </row>
    <row r="55" spans="1:15">
      <c r="A55" s="594"/>
    </row>
    <row r="56" spans="1:15">
      <c r="A56" s="594"/>
    </row>
  </sheetData>
  <mergeCells count="5">
    <mergeCell ref="C3:F3"/>
    <mergeCell ref="G3:J3"/>
    <mergeCell ref="K3:N3"/>
    <mergeCell ref="O3:O4"/>
    <mergeCell ref="A1:O1"/>
  </mergeCells>
  <pageMargins left="0.85" right="0.19685039370078741" top="0.63" bottom="0.78740157480314965" header="0" footer="0"/>
  <pageSetup paperSize="5" scale="80" orientation="portrait" horizontalDpi="300"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topLeftCell="A10" workbookViewId="0">
      <selection activeCell="F11" sqref="F11"/>
    </sheetView>
  </sheetViews>
  <sheetFormatPr baseColWidth="10" defaultRowHeight="12.75"/>
  <cols>
    <col min="1" max="1" width="21" style="431" customWidth="1"/>
    <col min="2" max="2" width="16.7109375" style="585" customWidth="1"/>
    <col min="3" max="3" width="15" style="585" customWidth="1"/>
    <col min="4" max="4" width="13.85546875" style="585" customWidth="1"/>
    <col min="5" max="5" width="14.42578125" style="585" customWidth="1"/>
    <col min="6" max="6" width="13" customWidth="1"/>
    <col min="7" max="7" width="13.140625" customWidth="1"/>
  </cols>
  <sheetData>
    <row r="1" spans="1:8" ht="30" customHeight="1">
      <c r="A1" s="1441" t="s">
        <v>1416</v>
      </c>
      <c r="B1" s="1377"/>
      <c r="C1" s="1377"/>
      <c r="D1" s="1377"/>
      <c r="E1" s="1377"/>
      <c r="F1" s="1377"/>
      <c r="G1" s="1377"/>
    </row>
    <row r="2" spans="1:8">
      <c r="A2"/>
      <c r="B2"/>
      <c r="C2"/>
      <c r="D2"/>
      <c r="E2"/>
    </row>
    <row r="3" spans="1:8" ht="13.5" thickBot="1">
      <c r="A3"/>
      <c r="B3"/>
      <c r="C3"/>
      <c r="D3"/>
      <c r="E3"/>
    </row>
    <row r="4" spans="1:8" ht="20.25" customHeight="1" thickBot="1">
      <c r="A4" s="1079"/>
      <c r="B4" s="1442" t="s">
        <v>956</v>
      </c>
      <c r="C4" s="1442"/>
      <c r="D4" s="1443"/>
      <c r="E4" s="1444" t="s">
        <v>1257</v>
      </c>
      <c r="F4" s="1442"/>
      <c r="G4" s="1443"/>
    </row>
    <row r="5" spans="1:8" s="354" customFormat="1" ht="24" customHeight="1" thickBot="1">
      <c r="A5" s="1081" t="s">
        <v>866</v>
      </c>
      <c r="B5" s="1080" t="s">
        <v>1255</v>
      </c>
      <c r="C5" s="1077" t="s">
        <v>1258</v>
      </c>
      <c r="D5" s="1078" t="s">
        <v>1256</v>
      </c>
      <c r="E5" s="1076" t="s">
        <v>1255</v>
      </c>
      <c r="F5" s="1077" t="s">
        <v>1259</v>
      </c>
      <c r="G5" s="1078" t="s">
        <v>1256</v>
      </c>
      <c r="H5" s="587"/>
    </row>
    <row r="6" spans="1:8" s="354" customFormat="1" ht="23.25" customHeight="1">
      <c r="A6" s="491" t="s">
        <v>827</v>
      </c>
      <c r="B6" s="1083">
        <f>+'55'!E51+'55'!F51</f>
        <v>3624</v>
      </c>
      <c r="C6" s="1084">
        <f>+'61'!H9</f>
        <v>23282</v>
      </c>
      <c r="D6" s="1085">
        <f>(1-B6/C6)*100</f>
        <v>84.434326947856704</v>
      </c>
      <c r="E6" s="1071">
        <f>+'55'!F$65</f>
        <v>636</v>
      </c>
      <c r="F6" s="1084">
        <f>+[9]A09!$D$11+[9]A09!$D$13+[10]A09!$D$11+[10]A09!$D$13+[11]A09!$D$11+[11]A09!$D$13</f>
        <v>2950</v>
      </c>
      <c r="G6" s="1085">
        <f>(1-E6/F6)*100</f>
        <v>78.440677966101703</v>
      </c>
      <c r="H6" s="1082"/>
    </row>
    <row r="7" spans="1:8" s="354" customFormat="1" ht="23.25" customHeight="1">
      <c r="A7" s="491" t="s">
        <v>828</v>
      </c>
      <c r="B7" s="1071">
        <f>+'55'!G51+'55'!H51</f>
        <v>2664</v>
      </c>
      <c r="C7" s="332">
        <f>+'61'!H10</f>
        <v>13482</v>
      </c>
      <c r="D7" s="1072">
        <f>(1-B7/C7)*100</f>
        <v>80.240320427236313</v>
      </c>
      <c r="E7" s="1071">
        <f>+'55'!H$65</f>
        <v>762</v>
      </c>
      <c r="F7" s="332">
        <f>+[12]A09!$D$11+[12]A09!$D$13</f>
        <v>6573</v>
      </c>
      <c r="G7" s="1072">
        <f>(1-E7/F7)*100</f>
        <v>88.407120036513007</v>
      </c>
    </row>
    <row r="8" spans="1:8" s="354" customFormat="1" ht="23.25" customHeight="1">
      <c r="A8" s="491" t="s">
        <v>830</v>
      </c>
      <c r="B8" s="1071">
        <f>+'55'!M51+'55'!N51</f>
        <v>1947</v>
      </c>
      <c r="C8" s="332">
        <f>+'61'!H12</f>
        <v>15488</v>
      </c>
      <c r="D8" s="1072">
        <f t="shared" ref="D8:D19" si="0">(1-B8/C8)*100</f>
        <v>87.428977272727266</v>
      </c>
      <c r="E8" s="1071">
        <f>+'55'!N$65</f>
        <v>412</v>
      </c>
      <c r="F8" s="332">
        <f>+[13]A09!$D$11+[13]A09!$D$13+[14]A09!$D$11+[14]A09!$D$13+[15]A09!$D$11+[15]A09!$D$13</f>
        <v>3712</v>
      </c>
      <c r="G8" s="1072">
        <f t="shared" ref="G8:G19" si="1">(1-E8/F8)*100</f>
        <v>88.900862068965509</v>
      </c>
    </row>
    <row r="9" spans="1:8" s="354" customFormat="1" ht="23.25" customHeight="1">
      <c r="A9" s="491" t="s">
        <v>832</v>
      </c>
      <c r="B9" s="1071">
        <f>+'55'!I51+'55'!J51</f>
        <v>2012</v>
      </c>
      <c r="C9" s="332">
        <f>+'61'!H13</f>
        <v>12556</v>
      </c>
      <c r="D9" s="1072">
        <f t="shared" si="0"/>
        <v>83.975788467664856</v>
      </c>
      <c r="E9" s="1071">
        <f>+'55'!J$65</f>
        <v>307</v>
      </c>
      <c r="F9" s="332">
        <f>+[16]A09!$D$11+[16]A09!$D$13+[17]A09!$D$11+[17]A09!$D$13</f>
        <v>1487</v>
      </c>
      <c r="G9" s="1072">
        <f t="shared" si="1"/>
        <v>79.354404841963685</v>
      </c>
    </row>
    <row r="10" spans="1:8" s="354" customFormat="1" ht="23.25" customHeight="1">
      <c r="A10" s="491" t="s">
        <v>833</v>
      </c>
      <c r="B10" s="1071">
        <f>+'55'!K51+'55'!L51</f>
        <v>1965</v>
      </c>
      <c r="C10" s="332">
        <f>+'61'!H14</f>
        <v>13929</v>
      </c>
      <c r="D10" s="1072">
        <f t="shared" si="0"/>
        <v>85.892741761791953</v>
      </c>
      <c r="E10" s="1071">
        <f>+'55'!L$65</f>
        <v>473</v>
      </c>
      <c r="F10" s="332">
        <f>+[18]A09!$D$11+[18]A09!$D$13</f>
        <v>4914</v>
      </c>
      <c r="G10" s="1072">
        <f t="shared" si="1"/>
        <v>90.374440374440383</v>
      </c>
    </row>
    <row r="11" spans="1:8" s="354" customFormat="1" ht="23.25" customHeight="1">
      <c r="A11" s="491" t="s">
        <v>835</v>
      </c>
      <c r="B11" s="1071">
        <f>+'55'!Q51+'55'!R51</f>
        <v>3923</v>
      </c>
      <c r="C11" s="332">
        <f>+'61'!H16</f>
        <v>22451</v>
      </c>
      <c r="D11" s="1072">
        <f t="shared" si="0"/>
        <v>82.526390806645594</v>
      </c>
      <c r="E11" s="1071">
        <f>+'55'!R$65</f>
        <v>783</v>
      </c>
      <c r="F11" s="332">
        <f>+[19]A09!$D$11+[19]A09!$D$13</f>
        <v>4989</v>
      </c>
      <c r="G11" s="1072">
        <f t="shared" si="1"/>
        <v>84.305472038484666</v>
      </c>
    </row>
    <row r="12" spans="1:8" s="354" customFormat="1" ht="23.25" customHeight="1">
      <c r="A12" s="491" t="s">
        <v>836</v>
      </c>
      <c r="B12" s="1071">
        <f>+'55'!S51+'55'!T51</f>
        <v>6437</v>
      </c>
      <c r="C12" s="332">
        <f>+'61'!H17</f>
        <v>37121</v>
      </c>
      <c r="D12" s="1072">
        <f t="shared" si="0"/>
        <v>82.659411115002285</v>
      </c>
      <c r="E12" s="1071">
        <f>+'55'!T$65</f>
        <v>1132</v>
      </c>
      <c r="F12" s="332">
        <f>+[20]A09!$D$11+[20]A09!$D$13+[21]A09!$D$11+[21]A09!$D$13</f>
        <v>6433</v>
      </c>
      <c r="G12" s="1072">
        <f t="shared" si="1"/>
        <v>82.403233328151714</v>
      </c>
    </row>
    <row r="13" spans="1:8" s="354" customFormat="1" ht="23.25" customHeight="1">
      <c r="A13" s="491" t="s">
        <v>837</v>
      </c>
      <c r="B13" s="1071">
        <f>+'55'!O51+'55'!P51</f>
        <v>868</v>
      </c>
      <c r="C13" s="332">
        <f>+'61'!H18</f>
        <v>7027</v>
      </c>
      <c r="D13" s="1072">
        <f t="shared" si="0"/>
        <v>87.647644798633834</v>
      </c>
      <c r="E13" s="1071">
        <f>+'55'!P$65</f>
        <v>221</v>
      </c>
      <c r="F13" s="332">
        <f>+[22]A09!$D$11+[22]A09!$D$13</f>
        <v>1689</v>
      </c>
      <c r="G13" s="1072">
        <f t="shared" si="1"/>
        <v>86.915334517465965</v>
      </c>
    </row>
    <row r="14" spans="1:8" s="354" customFormat="1" ht="23.25" customHeight="1">
      <c r="A14" s="491" t="s">
        <v>838</v>
      </c>
      <c r="B14" s="1071">
        <f>+'55'!AA51+'55'!AB51</f>
        <v>3044</v>
      </c>
      <c r="C14" s="332">
        <f>+'61'!H20</f>
        <v>17657</v>
      </c>
      <c r="D14" s="1072">
        <f t="shared" si="0"/>
        <v>82.760378320212951</v>
      </c>
      <c r="E14" s="1071">
        <f>+'55'!AB$65</f>
        <v>334</v>
      </c>
      <c r="F14" s="332">
        <f>+[23]A09!$D$11+[23]A09!$D$13+[24]A09!$D$11+[24]A09!$D$13</f>
        <v>4158</v>
      </c>
      <c r="G14" s="1072">
        <f t="shared" si="1"/>
        <v>91.96729196729197</v>
      </c>
    </row>
    <row r="15" spans="1:8" s="354" customFormat="1" ht="23.25" customHeight="1">
      <c r="A15" s="491" t="s">
        <v>839</v>
      </c>
      <c r="B15" s="1071">
        <f>+'55'!AC51+'55'!AD51</f>
        <v>2676</v>
      </c>
      <c r="C15" s="332">
        <f>+'61'!H23</f>
        <v>20428</v>
      </c>
      <c r="D15" s="1072">
        <f t="shared" si="0"/>
        <v>86.900332876444097</v>
      </c>
      <c r="E15" s="1071">
        <f>+'55'!AD$65</f>
        <v>319</v>
      </c>
      <c r="F15" s="332">
        <f>+[25]A09!$D$11+[25]A09!$D$13+[26]A09!$D$11+[26]A09!$D$13+[27]A09!$D$11+[27]A09!$D$13</f>
        <v>2352</v>
      </c>
      <c r="G15" s="1072">
        <f t="shared" si="1"/>
        <v>86.437074829931973</v>
      </c>
    </row>
    <row r="16" spans="1:8" s="354" customFormat="1" ht="23.25" customHeight="1">
      <c r="A16" s="491" t="s">
        <v>841</v>
      </c>
      <c r="B16" s="1071">
        <f>+'55'!Y51+'55'!Z51</f>
        <v>1230</v>
      </c>
      <c r="C16" s="332">
        <f>+'61'!H24</f>
        <v>10175</v>
      </c>
      <c r="D16" s="1072">
        <f t="shared" si="0"/>
        <v>87.911547911547913</v>
      </c>
      <c r="E16" s="1071">
        <f>+'55'!Z$65</f>
        <v>99</v>
      </c>
      <c r="F16" s="332">
        <f>+[25]A09!$D$11+[25]A09!$D$13</f>
        <v>2130</v>
      </c>
      <c r="G16" s="1072">
        <f t="shared" si="1"/>
        <v>95.352112676056336</v>
      </c>
    </row>
    <row r="17" spans="1:7" s="354" customFormat="1" ht="23.25" customHeight="1">
      <c r="A17" s="491" t="s">
        <v>1254</v>
      </c>
      <c r="B17" s="1071">
        <f>+'55'!W51+'55'!X51</f>
        <v>3401</v>
      </c>
      <c r="C17" s="332">
        <f>+'61'!H25</f>
        <v>23264</v>
      </c>
      <c r="D17" s="1072">
        <f t="shared" si="0"/>
        <v>85.380845942228333</v>
      </c>
      <c r="E17" s="1071">
        <f>+'55'!X$65</f>
        <v>529</v>
      </c>
      <c r="F17" s="332">
        <f>+[28]A09!$D$11+[28]A09!$D$13</f>
        <v>2563</v>
      </c>
      <c r="G17" s="1072">
        <f t="shared" si="1"/>
        <v>79.360124853687083</v>
      </c>
    </row>
    <row r="18" spans="1:7" s="354" customFormat="1" ht="23.25" customHeight="1">
      <c r="A18" s="491" t="s">
        <v>843</v>
      </c>
      <c r="B18" s="1071">
        <f>+'55'!U51+'55'!V51</f>
        <v>2302</v>
      </c>
      <c r="C18" s="332">
        <f>+'61'!H27</f>
        <v>17399</v>
      </c>
      <c r="D18" s="1072">
        <f t="shared" si="0"/>
        <v>86.769354560606928</v>
      </c>
      <c r="E18" s="1071">
        <f>+'55'!V$65</f>
        <v>224</v>
      </c>
      <c r="F18" s="332">
        <f>+[29]A09!$D$11+[29]A09!$D$13+[30]A09!$D$11+[30]A09!$D$13</f>
        <v>3251</v>
      </c>
      <c r="G18" s="1072">
        <f t="shared" si="1"/>
        <v>93.109812365426023</v>
      </c>
    </row>
    <row r="19" spans="1:7" s="354" customFormat="1" ht="23.25" customHeight="1" thickBot="1">
      <c r="A19" s="1070" t="s">
        <v>535</v>
      </c>
      <c r="B19" s="1073">
        <f>SUM(B6:B18)</f>
        <v>36093</v>
      </c>
      <c r="C19" s="1074">
        <f>SUM(C6:C18)</f>
        <v>234259</v>
      </c>
      <c r="D19" s="1075">
        <f t="shared" si="0"/>
        <v>84.592694410887091</v>
      </c>
      <c r="E19" s="1073">
        <f>SUM(E6:E18)</f>
        <v>6231</v>
      </c>
      <c r="F19" s="1074">
        <f>SUM(F6:F18)</f>
        <v>47201</v>
      </c>
      <c r="G19" s="1075">
        <f t="shared" si="1"/>
        <v>86.799008495582726</v>
      </c>
    </row>
    <row r="20" spans="1:7" s="354" customFormat="1" ht="23.25" customHeight="1">
      <c r="A20" s="1088" t="s">
        <v>1260</v>
      </c>
      <c r="B20" s="332"/>
      <c r="C20" s="332"/>
      <c r="D20" s="1087"/>
      <c r="E20" s="332"/>
      <c r="F20" s="332"/>
      <c r="G20" s="1087"/>
    </row>
    <row r="21" spans="1:7" s="354" customFormat="1" ht="23.25" customHeight="1">
      <c r="A21" s="1086"/>
      <c r="B21" s="332"/>
      <c r="C21" s="332"/>
      <c r="D21" s="1087"/>
      <c r="E21" s="332"/>
      <c r="F21" s="332"/>
      <c r="G21" s="1087"/>
    </row>
    <row r="22" spans="1:7" s="354" customFormat="1" ht="23.25" customHeight="1">
      <c r="A22"/>
      <c r="B22"/>
      <c r="C22" s="118"/>
      <c r="D22"/>
      <c r="E22"/>
      <c r="F22"/>
    </row>
    <row r="23" spans="1:7" s="354" customFormat="1" ht="23.25" customHeight="1">
      <c r="A23"/>
      <c r="B23"/>
      <c r="C23"/>
      <c r="D23"/>
      <c r="E23"/>
      <c r="F23"/>
    </row>
    <row r="24" spans="1:7" s="354" customFormat="1" ht="23.25" customHeight="1">
      <c r="A24"/>
      <c r="B24"/>
      <c r="C24"/>
      <c r="D24"/>
      <c r="E24"/>
      <c r="F24"/>
    </row>
    <row r="25" spans="1:7" s="354" customFormat="1" ht="23.25" customHeight="1">
      <c r="A25"/>
      <c r="B25"/>
      <c r="C25"/>
      <c r="D25"/>
      <c r="E25"/>
      <c r="F25"/>
    </row>
    <row r="26" spans="1:7" s="354" customFormat="1" ht="23.25" customHeight="1">
      <c r="A26"/>
      <c r="B26"/>
      <c r="C26"/>
      <c r="D26"/>
      <c r="E26"/>
      <c r="F26"/>
    </row>
    <row r="27" spans="1:7" s="354" customFormat="1" ht="23.25" customHeight="1">
      <c r="A27"/>
      <c r="B27"/>
      <c r="C27"/>
      <c r="D27"/>
      <c r="E27"/>
      <c r="F27"/>
    </row>
    <row r="28" spans="1:7" s="354" customFormat="1" ht="23.25" customHeight="1">
      <c r="A28"/>
      <c r="B28"/>
      <c r="C28"/>
      <c r="D28"/>
      <c r="E28"/>
      <c r="F28"/>
    </row>
    <row r="29" spans="1:7" s="354" customFormat="1" ht="23.25" customHeight="1">
      <c r="A29"/>
      <c r="B29"/>
      <c r="C29"/>
      <c r="D29"/>
      <c r="E29"/>
      <c r="F29"/>
    </row>
    <row r="30" spans="1:7" s="354" customFormat="1" ht="23.25" customHeight="1">
      <c r="A30"/>
      <c r="B30"/>
      <c r="C30"/>
      <c r="D30"/>
      <c r="E30"/>
      <c r="F30"/>
    </row>
    <row r="31" spans="1:7" s="354" customFormat="1" ht="23.25" customHeight="1">
      <c r="A31"/>
      <c r="B31"/>
      <c r="C31"/>
      <c r="D31"/>
      <c r="E31"/>
      <c r="F31"/>
    </row>
    <row r="32" spans="1:7" s="354" customFormat="1" ht="23.25" customHeight="1">
      <c r="A32"/>
      <c r="B32"/>
      <c r="C32"/>
      <c r="D32"/>
      <c r="E32"/>
      <c r="F32"/>
    </row>
    <row r="33" spans="1:6" s="354" customFormat="1" ht="23.25" customHeight="1">
      <c r="A33"/>
      <c r="B33"/>
      <c r="C33"/>
      <c r="D33"/>
      <c r="E33"/>
      <c r="F33"/>
    </row>
    <row r="34" spans="1:6" s="354" customFormat="1" ht="23.25" customHeight="1">
      <c r="A34"/>
      <c r="B34"/>
      <c r="C34"/>
      <c r="D34"/>
      <c r="E34"/>
      <c r="F34"/>
    </row>
    <row r="35" spans="1:6" s="354" customFormat="1" ht="23.25" customHeight="1">
      <c r="A35"/>
      <c r="B35"/>
      <c r="C35"/>
      <c r="D35"/>
      <c r="E35"/>
      <c r="F35"/>
    </row>
    <row r="36" spans="1:6" s="354" customFormat="1" ht="23.25" customHeight="1">
      <c r="A36"/>
      <c r="B36"/>
      <c r="C36"/>
      <c r="D36"/>
      <c r="E36"/>
      <c r="F36"/>
    </row>
    <row r="37" spans="1:6" s="354" customFormat="1" ht="23.25" customHeight="1">
      <c r="A37"/>
      <c r="B37"/>
      <c r="C37"/>
      <c r="D37"/>
      <c r="E37"/>
      <c r="F37"/>
    </row>
    <row r="38" spans="1:6" s="354" customFormat="1" ht="23.25" customHeight="1">
      <c r="A38"/>
      <c r="B38"/>
      <c r="C38"/>
      <c r="D38"/>
      <c r="E38"/>
      <c r="F38"/>
    </row>
    <row r="39" spans="1:6" ht="23.25" customHeight="1">
      <c r="A39"/>
      <c r="B39"/>
      <c r="C39"/>
      <c r="D39"/>
      <c r="E39"/>
    </row>
    <row r="40" spans="1:6">
      <c r="A40"/>
      <c r="B40"/>
      <c r="C40"/>
      <c r="D40"/>
      <c r="E40"/>
    </row>
    <row r="41" spans="1:6">
      <c r="A41"/>
      <c r="B41"/>
      <c r="C41"/>
      <c r="D41"/>
      <c r="E41"/>
    </row>
    <row r="42" spans="1:6">
      <c r="A42"/>
      <c r="B42"/>
      <c r="C42"/>
      <c r="D42"/>
      <c r="E42"/>
    </row>
    <row r="43" spans="1:6">
      <c r="A43"/>
      <c r="B43"/>
      <c r="C43"/>
      <c r="D43"/>
      <c r="E43"/>
    </row>
    <row r="44" spans="1:6">
      <c r="A44"/>
      <c r="B44"/>
      <c r="C44"/>
      <c r="D44"/>
      <c r="E44"/>
    </row>
    <row r="45" spans="1:6">
      <c r="A45"/>
      <c r="C45"/>
      <c r="D45"/>
      <c r="E45"/>
    </row>
    <row r="46" spans="1:6">
      <c r="C46"/>
    </row>
  </sheetData>
  <mergeCells count="3">
    <mergeCell ref="A1:G1"/>
    <mergeCell ref="B4:D4"/>
    <mergeCell ref="E4:G4"/>
  </mergeCells>
  <pageMargins left="0.78740157480314965" right="0.78740157480314965" top="1.2204724409448819" bottom="0.78740157480314965" header="0" footer="0"/>
  <pageSetup paperSize="5" scale="80" orientation="portrait" horizontalDpi="300" verticalDpi="300"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2"/>
  <sheetViews>
    <sheetView zoomScale="75" workbookViewId="0">
      <selection activeCell="I8" sqref="I8"/>
    </sheetView>
  </sheetViews>
  <sheetFormatPr baseColWidth="10" defaultRowHeight="12.75"/>
  <cols>
    <col min="1" max="1" width="69.5703125" customWidth="1"/>
    <col min="2" max="2" width="17.140625" customWidth="1"/>
    <col min="7" max="8" width="12.140625" customWidth="1"/>
  </cols>
  <sheetData>
    <row r="1" spans="1:10" ht="15.75">
      <c r="A1" s="1377" t="s">
        <v>1417</v>
      </c>
      <c r="B1" s="1377"/>
      <c r="C1" s="1377"/>
      <c r="D1" s="1377"/>
      <c r="E1" s="1377"/>
      <c r="F1" s="1377"/>
      <c r="G1" s="1377"/>
      <c r="H1" s="1377"/>
    </row>
    <row r="2" spans="1:10" ht="15.75">
      <c r="A2" s="1377" t="s">
        <v>1098</v>
      </c>
      <c r="B2" s="1377"/>
      <c r="C2" s="1377"/>
      <c r="D2" s="1377"/>
      <c r="E2" s="1377"/>
      <c r="F2" s="1377"/>
      <c r="G2" s="1377"/>
      <c r="H2" s="1377"/>
    </row>
    <row r="3" spans="1:10">
      <c r="A3" s="595"/>
      <c r="B3" s="595"/>
      <c r="C3" s="595"/>
      <c r="D3" s="595"/>
      <c r="E3" s="595"/>
      <c r="F3" s="595"/>
      <c r="G3" s="595"/>
      <c r="H3" s="595"/>
    </row>
    <row r="4" spans="1:10" hidden="1">
      <c r="A4" s="84"/>
      <c r="B4" s="84"/>
      <c r="C4" s="84"/>
      <c r="D4" s="1445" t="s">
        <v>866</v>
      </c>
      <c r="E4" s="1446"/>
      <c r="F4" s="1446"/>
      <c r="G4" s="1446"/>
      <c r="H4" s="1446"/>
    </row>
    <row r="5" spans="1:10">
      <c r="A5" s="182"/>
      <c r="B5" s="182"/>
      <c r="C5" s="1447" t="s">
        <v>1099</v>
      </c>
      <c r="D5" s="1448"/>
      <c r="E5" s="1448"/>
      <c r="F5" s="1448"/>
      <c r="G5" s="1448"/>
      <c r="H5" s="1448"/>
    </row>
    <row r="6" spans="1:10" ht="31.5" customHeight="1">
      <c r="A6" s="596" t="s">
        <v>1100</v>
      </c>
      <c r="B6" s="597" t="s">
        <v>1101</v>
      </c>
      <c r="C6" s="598" t="s">
        <v>535</v>
      </c>
      <c r="D6" s="599" t="s">
        <v>1102</v>
      </c>
      <c r="E6" s="599" t="s">
        <v>1103</v>
      </c>
      <c r="F6" s="599" t="s">
        <v>1104</v>
      </c>
      <c r="G6" s="599" t="s">
        <v>1105</v>
      </c>
      <c r="H6" s="599" t="s">
        <v>1106</v>
      </c>
    </row>
    <row r="7" spans="1:10" ht="15.75">
      <c r="A7" s="600"/>
      <c r="B7" s="601">
        <f>SUM(B8:B91)</f>
        <v>22654</v>
      </c>
      <c r="C7" s="602">
        <f t="shared" ref="C7:H7" si="0">SUM(C8:C91)</f>
        <v>80039</v>
      </c>
      <c r="D7" s="602">
        <f t="shared" si="0"/>
        <v>40392</v>
      </c>
      <c r="E7" s="602">
        <f t="shared" si="0"/>
        <v>32553</v>
      </c>
      <c r="F7" s="602">
        <f t="shared" si="0"/>
        <v>1071</v>
      </c>
      <c r="G7" s="602">
        <f t="shared" si="0"/>
        <v>5871</v>
      </c>
      <c r="H7" s="602">
        <f t="shared" si="0"/>
        <v>152</v>
      </c>
    </row>
    <row r="8" spans="1:10" s="6" customFormat="1" ht="23.25" customHeight="1">
      <c r="A8" s="603" t="s">
        <v>1107</v>
      </c>
      <c r="B8" s="604">
        <v>357</v>
      </c>
      <c r="C8" s="605">
        <f t="shared" ref="C8:C39" si="1">SUM(D8:H8)</f>
        <v>9042</v>
      </c>
      <c r="D8" s="606">
        <f>+[31]HOSCA!$E$15</f>
        <v>8431</v>
      </c>
      <c r="E8" s="606">
        <f>+[31]HOSLA!$E$15</f>
        <v>611</v>
      </c>
      <c r="F8" s="606"/>
      <c r="G8" s="606"/>
      <c r="H8" s="606"/>
      <c r="I8" s="6">
        <v>93</v>
      </c>
      <c r="J8" s="6">
        <f>+B8+I8</f>
        <v>450</v>
      </c>
    </row>
    <row r="9" spans="1:10" s="6" customFormat="1" ht="23.25" customHeight="1">
      <c r="A9" s="607" t="s">
        <v>1108</v>
      </c>
      <c r="B9" s="608">
        <v>102</v>
      </c>
      <c r="C9" s="609">
        <f t="shared" si="1"/>
        <v>101</v>
      </c>
      <c r="D9" s="610">
        <f>+[31]HOSCA!$E$48</f>
        <v>101</v>
      </c>
      <c r="E9" s="610">
        <f>+[31]HOSLA!$E$48</f>
        <v>0</v>
      </c>
      <c r="F9" s="610"/>
      <c r="G9" s="610"/>
      <c r="H9" s="610"/>
      <c r="I9" s="6">
        <v>2</v>
      </c>
      <c r="J9" s="6">
        <f>+B9+I9</f>
        <v>104</v>
      </c>
    </row>
    <row r="10" spans="1:10" s="6" customFormat="1" ht="23.25" customHeight="1">
      <c r="A10" s="607" t="s">
        <v>1109</v>
      </c>
      <c r="B10" s="608">
        <v>614</v>
      </c>
      <c r="C10" s="609">
        <f t="shared" si="1"/>
        <v>1005</v>
      </c>
      <c r="D10" s="610">
        <f>+[31]HOSCA!$E$71</f>
        <v>580</v>
      </c>
      <c r="E10" s="610">
        <f>+[31]HOSLA!$E$71</f>
        <v>425</v>
      </c>
      <c r="F10" s="610"/>
      <c r="G10" s="610"/>
      <c r="H10" s="610"/>
    </row>
    <row r="11" spans="1:10" s="6" customFormat="1" ht="23.25" customHeight="1">
      <c r="A11" s="607" t="s">
        <v>1110</v>
      </c>
      <c r="B11" s="608">
        <v>450</v>
      </c>
      <c r="C11" s="609">
        <f t="shared" si="1"/>
        <v>1940</v>
      </c>
      <c r="D11" s="610">
        <f>+[31]HOSCA!$E$91</f>
        <v>765</v>
      </c>
      <c r="E11" s="610">
        <f>+[31]HOSLA!$E$91</f>
        <v>859</v>
      </c>
      <c r="F11" s="610">
        <f>+'[31]LLAY LLAY'!$E$91</f>
        <v>316</v>
      </c>
      <c r="G11" s="610"/>
      <c r="H11" s="610"/>
    </row>
    <row r="12" spans="1:10" s="6" customFormat="1" ht="23.25" customHeight="1">
      <c r="A12" s="607" t="s">
        <v>1111</v>
      </c>
      <c r="B12" s="608">
        <v>2332</v>
      </c>
      <c r="C12" s="609">
        <f t="shared" si="1"/>
        <v>6619</v>
      </c>
      <c r="D12" s="610">
        <f>+[31]HOSCA!$E$94</f>
        <v>3146</v>
      </c>
      <c r="E12" s="610">
        <f>+[31]HOSLA!$E$94</f>
        <v>2566</v>
      </c>
      <c r="F12" s="610">
        <f>+'[31]LLAY LLAY'!$E$94</f>
        <v>755</v>
      </c>
      <c r="G12" s="610"/>
      <c r="H12" s="610">
        <f>+[31]HPUT!$E$94</f>
        <v>152</v>
      </c>
    </row>
    <row r="13" spans="1:10" s="6" customFormat="1" ht="22.5" customHeight="1">
      <c r="A13" s="607" t="s">
        <v>1112</v>
      </c>
      <c r="B13" s="608">
        <v>280</v>
      </c>
      <c r="C13" s="609">
        <f t="shared" si="1"/>
        <v>2977</v>
      </c>
      <c r="D13" s="610">
        <f>+[31]HOSCA!$E$101</f>
        <v>1510</v>
      </c>
      <c r="E13" s="610">
        <f>+[31]HOSLA!$E$101</f>
        <v>1467</v>
      </c>
      <c r="F13" s="610"/>
      <c r="G13" s="610"/>
      <c r="H13" s="610"/>
    </row>
    <row r="14" spans="1:10" s="6" customFormat="1" ht="22.5" customHeight="1">
      <c r="A14" s="607" t="s">
        <v>1113</v>
      </c>
      <c r="B14" s="608">
        <v>1599</v>
      </c>
      <c r="C14" s="609">
        <f t="shared" si="1"/>
        <v>7975</v>
      </c>
      <c r="D14" s="610">
        <f>+[31]HOSCA!$E$110</f>
        <v>2883</v>
      </c>
      <c r="E14" s="610">
        <f>+[31]HOSLA!$E$110</f>
        <v>5092</v>
      </c>
      <c r="F14" s="610"/>
      <c r="G14" s="610"/>
      <c r="H14" s="610"/>
    </row>
    <row r="15" spans="1:10" s="6" customFormat="1" ht="22.5" customHeight="1">
      <c r="A15" s="607" t="s">
        <v>1114</v>
      </c>
      <c r="B15" s="608">
        <v>589</v>
      </c>
      <c r="C15" s="609">
        <f t="shared" si="1"/>
        <v>3452</v>
      </c>
      <c r="D15" s="610">
        <f>+[31]HOSCA!$E$115</f>
        <v>1863</v>
      </c>
      <c r="E15" s="610">
        <f>+[31]HOSLA!$E$115</f>
        <v>1589</v>
      </c>
      <c r="F15" s="610"/>
      <c r="G15" s="610"/>
      <c r="H15" s="610"/>
    </row>
    <row r="16" spans="1:10" s="6" customFormat="1" ht="22.5" customHeight="1">
      <c r="A16" s="607" t="s">
        <v>1115</v>
      </c>
      <c r="B16" s="608">
        <v>11</v>
      </c>
      <c r="C16" s="609">
        <f t="shared" si="1"/>
        <v>6</v>
      </c>
      <c r="D16" s="610">
        <f>+[31]HOSCA!$E$136</f>
        <v>6</v>
      </c>
      <c r="E16" s="610">
        <f>+[31]HOSLA!$E$136</f>
        <v>0</v>
      </c>
      <c r="F16" s="610"/>
      <c r="G16" s="610"/>
      <c r="H16" s="610"/>
    </row>
    <row r="17" spans="1:10" s="6" customFormat="1" ht="22.5" customHeight="1">
      <c r="A17" s="607" t="s">
        <v>1116</v>
      </c>
      <c r="B17" s="608"/>
      <c r="C17" s="609">
        <f t="shared" si="1"/>
        <v>0</v>
      </c>
      <c r="D17" s="610">
        <f>+[31]HOSCA!$E$146</f>
        <v>0</v>
      </c>
      <c r="E17" s="610">
        <f>+[31]HOSLA!$E$146</f>
        <v>0</v>
      </c>
      <c r="F17" s="610"/>
      <c r="G17" s="610"/>
      <c r="H17" s="610"/>
    </row>
    <row r="18" spans="1:10" s="6" customFormat="1" ht="22.5" customHeight="1">
      <c r="A18" s="607" t="s">
        <v>1117</v>
      </c>
      <c r="B18" s="608">
        <v>1361</v>
      </c>
      <c r="C18" s="609">
        <f t="shared" si="1"/>
        <v>2117</v>
      </c>
      <c r="D18" s="610">
        <f>+[31]HOSCA!$E$152</f>
        <v>2117</v>
      </c>
      <c r="E18" s="610">
        <f>+[31]HOSLA!$E$152</f>
        <v>0</v>
      </c>
      <c r="F18" s="610"/>
      <c r="G18" s="610"/>
      <c r="H18" s="610"/>
      <c r="I18" s="6">
        <v>394</v>
      </c>
      <c r="J18" s="6">
        <f t="shared" ref="J18:J70" si="2">+B18+I18</f>
        <v>1755</v>
      </c>
    </row>
    <row r="19" spans="1:10" s="6" customFormat="1" ht="22.5" customHeight="1">
      <c r="A19" s="607" t="s">
        <v>1118</v>
      </c>
      <c r="B19" s="608">
        <v>108</v>
      </c>
      <c r="C19" s="609">
        <f t="shared" si="1"/>
        <v>224</v>
      </c>
      <c r="D19" s="610">
        <f>+[31]HOSCA!$E$157</f>
        <v>0</v>
      </c>
      <c r="E19" s="610">
        <f>+[31]HOSLA!$E$157</f>
        <v>224</v>
      </c>
      <c r="F19" s="610"/>
      <c r="G19" s="610"/>
      <c r="H19" s="610"/>
    </row>
    <row r="20" spans="1:10" s="6" customFormat="1" ht="22.5" customHeight="1">
      <c r="A20" s="607" t="s">
        <v>1119</v>
      </c>
      <c r="B20" s="608">
        <v>23</v>
      </c>
      <c r="C20" s="609">
        <f t="shared" si="1"/>
        <v>21</v>
      </c>
      <c r="D20" s="610">
        <f>+[31]HOSCA!$E$162</f>
        <v>2</v>
      </c>
      <c r="E20" s="610">
        <f>+[31]HOSLA!$E$162</f>
        <v>19</v>
      </c>
      <c r="F20" s="610"/>
      <c r="G20" s="610"/>
      <c r="H20" s="610"/>
    </row>
    <row r="21" spans="1:10" s="6" customFormat="1" ht="22.5" customHeight="1">
      <c r="A21" s="607" t="s">
        <v>1120</v>
      </c>
      <c r="B21" s="608"/>
      <c r="C21" s="609">
        <f t="shared" si="1"/>
        <v>0</v>
      </c>
      <c r="D21" s="610">
        <f>+[31]HOSCA!$E$174</f>
        <v>0</v>
      </c>
      <c r="E21" s="610">
        <f>+[31]HOSLA!$E$174</f>
        <v>0</v>
      </c>
      <c r="F21" s="610"/>
      <c r="G21" s="610"/>
      <c r="H21" s="610"/>
    </row>
    <row r="22" spans="1:10" s="6" customFormat="1" ht="22.5" customHeight="1">
      <c r="A22" s="607" t="s">
        <v>1121</v>
      </c>
      <c r="B22" s="608">
        <v>113</v>
      </c>
      <c r="C22" s="609">
        <f t="shared" si="1"/>
        <v>645</v>
      </c>
      <c r="D22" s="610">
        <f>+[31]HOSCA!$E$188</f>
        <v>0</v>
      </c>
      <c r="E22" s="610">
        <f>+[31]HOSLA!$E$188</f>
        <v>0</v>
      </c>
      <c r="F22" s="610"/>
      <c r="G22" s="610">
        <f>+[31]PSIQ!$E$188</f>
        <v>645</v>
      </c>
      <c r="H22" s="610"/>
    </row>
    <row r="23" spans="1:10" s="6" customFormat="1" ht="25.5" customHeight="1">
      <c r="A23" s="607" t="s">
        <v>1122</v>
      </c>
      <c r="B23" s="608">
        <v>59</v>
      </c>
      <c r="C23" s="609">
        <f t="shared" si="1"/>
        <v>108</v>
      </c>
      <c r="D23" s="610">
        <f>+[31]HOSCA!$E$194</f>
        <v>0</v>
      </c>
      <c r="E23" s="610">
        <f>+[31]HOSLA!$E$194</f>
        <v>108</v>
      </c>
      <c r="F23" s="610"/>
      <c r="G23" s="610"/>
      <c r="H23" s="610"/>
      <c r="I23" s="6">
        <v>1</v>
      </c>
      <c r="J23" s="6">
        <f t="shared" si="2"/>
        <v>60</v>
      </c>
    </row>
    <row r="24" spans="1:10" s="6" customFormat="1" ht="25.5" customHeight="1">
      <c r="A24" s="607" t="s">
        <v>1123</v>
      </c>
      <c r="B24" s="608">
        <v>31</v>
      </c>
      <c r="C24" s="609">
        <f t="shared" si="1"/>
        <v>46</v>
      </c>
      <c r="D24" s="610">
        <f>+[31]HOSCA!$E$210</f>
        <v>26</v>
      </c>
      <c r="E24" s="610">
        <f>+[31]HOSLA!$E$210</f>
        <v>20</v>
      </c>
      <c r="F24" s="610"/>
      <c r="G24" s="610"/>
      <c r="H24" s="610"/>
    </row>
    <row r="25" spans="1:10" s="6" customFormat="1" ht="25.5" customHeight="1">
      <c r="A25" s="607" t="s">
        <v>1124</v>
      </c>
      <c r="B25" s="608">
        <v>389</v>
      </c>
      <c r="C25" s="609">
        <f t="shared" si="1"/>
        <v>2099</v>
      </c>
      <c r="D25" s="610">
        <f>+[31]HOSCA!$E$221</f>
        <v>569</v>
      </c>
      <c r="E25" s="610">
        <f>+[31]HOSLA!$E$221</f>
        <v>1530</v>
      </c>
      <c r="F25" s="610"/>
      <c r="G25" s="610"/>
      <c r="H25" s="610"/>
    </row>
    <row r="26" spans="1:10" s="6" customFormat="1" ht="25.5" customHeight="1">
      <c r="A26" s="607" t="s">
        <v>1125</v>
      </c>
      <c r="B26" s="608"/>
      <c r="C26" s="609">
        <f t="shared" si="1"/>
        <v>0</v>
      </c>
      <c r="D26" s="610"/>
      <c r="E26" s="610"/>
      <c r="F26" s="610"/>
      <c r="G26" s="610"/>
      <c r="H26" s="610"/>
    </row>
    <row r="27" spans="1:10" s="6" customFormat="1" ht="25.5" customHeight="1">
      <c r="A27" s="607" t="s">
        <v>1126</v>
      </c>
      <c r="B27" s="608"/>
      <c r="C27" s="609">
        <f t="shared" si="1"/>
        <v>0</v>
      </c>
      <c r="D27" s="610"/>
      <c r="E27" s="610"/>
      <c r="F27" s="610"/>
      <c r="G27" s="610"/>
      <c r="H27" s="610"/>
    </row>
    <row r="28" spans="1:10" s="6" customFormat="1" ht="25.5" customHeight="1">
      <c r="A28" s="607" t="s">
        <v>1127</v>
      </c>
      <c r="B28" s="608"/>
      <c r="C28" s="609">
        <f t="shared" si="1"/>
        <v>0</v>
      </c>
      <c r="D28" s="610"/>
      <c r="E28" s="610"/>
      <c r="F28" s="610"/>
      <c r="G28" s="610"/>
      <c r="H28" s="610"/>
    </row>
    <row r="29" spans="1:10" s="6" customFormat="1" ht="25.5" customHeight="1">
      <c r="A29" s="607" t="s">
        <v>1128</v>
      </c>
      <c r="B29" s="608">
        <v>54</v>
      </c>
      <c r="C29" s="609">
        <f t="shared" si="1"/>
        <v>99</v>
      </c>
      <c r="D29" s="610">
        <f>+[31]HOSCA!$E$228</f>
        <v>99</v>
      </c>
      <c r="E29" s="610">
        <f>+[31]HOSLA!$E$228</f>
        <v>0</v>
      </c>
      <c r="F29" s="610"/>
      <c r="G29" s="610"/>
      <c r="H29" s="610"/>
    </row>
    <row r="30" spans="1:10" s="6" customFormat="1" ht="25.5" customHeight="1">
      <c r="A30" s="607" t="s">
        <v>1129</v>
      </c>
      <c r="B30" s="608">
        <v>1</v>
      </c>
      <c r="C30" s="609">
        <f t="shared" si="1"/>
        <v>0</v>
      </c>
      <c r="D30" s="610"/>
      <c r="E30" s="610"/>
      <c r="F30" s="610"/>
      <c r="G30" s="610"/>
      <c r="H30" s="610"/>
    </row>
    <row r="31" spans="1:10" s="6" customFormat="1" ht="25.5" customHeight="1">
      <c r="A31" s="607" t="s">
        <v>1130</v>
      </c>
      <c r="B31" s="608"/>
      <c r="C31" s="609">
        <f t="shared" si="1"/>
        <v>0</v>
      </c>
      <c r="D31" s="610"/>
      <c r="E31" s="610"/>
      <c r="F31" s="610"/>
      <c r="G31" s="610"/>
      <c r="H31" s="610"/>
    </row>
    <row r="32" spans="1:10" s="6" customFormat="1" ht="25.5" customHeight="1">
      <c r="A32" s="607" t="s">
        <v>1131</v>
      </c>
      <c r="B32" s="608"/>
      <c r="C32" s="609">
        <f t="shared" si="1"/>
        <v>0</v>
      </c>
      <c r="D32" s="610"/>
      <c r="E32" s="610"/>
      <c r="F32" s="610"/>
      <c r="G32" s="610"/>
      <c r="H32" s="610"/>
    </row>
    <row r="33" spans="1:10" s="6" customFormat="1" ht="25.5" customHeight="1">
      <c r="A33" s="607" t="s">
        <v>1132</v>
      </c>
      <c r="B33" s="608">
        <v>345</v>
      </c>
      <c r="C33" s="609">
        <f t="shared" si="1"/>
        <v>869</v>
      </c>
      <c r="D33" s="610">
        <f>+[31]HOSCA!$E$233</f>
        <v>433</v>
      </c>
      <c r="E33" s="610">
        <f>+[31]HOSLA!$E$233</f>
        <v>436</v>
      </c>
      <c r="F33" s="610"/>
      <c r="G33" s="610"/>
      <c r="H33" s="610"/>
    </row>
    <row r="34" spans="1:10" s="6" customFormat="1" ht="25.5" customHeight="1">
      <c r="A34" s="607" t="s">
        <v>1133</v>
      </c>
      <c r="B34" s="608"/>
      <c r="C34" s="609">
        <f t="shared" si="1"/>
        <v>0</v>
      </c>
      <c r="D34" s="610"/>
      <c r="E34" s="610"/>
      <c r="F34" s="610"/>
      <c r="G34" s="610"/>
      <c r="H34" s="610"/>
      <c r="I34" s="6">
        <v>10</v>
      </c>
      <c r="J34" s="6">
        <f t="shared" si="2"/>
        <v>10</v>
      </c>
    </row>
    <row r="35" spans="1:10" s="6" customFormat="1" ht="25.5" customHeight="1">
      <c r="A35" s="607" t="s">
        <v>1134</v>
      </c>
      <c r="B35" s="608">
        <v>260</v>
      </c>
      <c r="C35" s="609">
        <f t="shared" si="1"/>
        <v>541</v>
      </c>
      <c r="D35" s="610">
        <f>+[31]HOSCA!$E$238</f>
        <v>507</v>
      </c>
      <c r="E35" s="610">
        <f>+[31]HOSLA!$E$238</f>
        <v>34</v>
      </c>
      <c r="F35" s="610"/>
      <c r="G35" s="610"/>
      <c r="H35" s="610"/>
      <c r="I35" s="6">
        <v>88</v>
      </c>
      <c r="J35" s="6">
        <f t="shared" si="2"/>
        <v>348</v>
      </c>
    </row>
    <row r="36" spans="1:10" s="6" customFormat="1" ht="25.5" customHeight="1">
      <c r="A36" s="607" t="s">
        <v>1135</v>
      </c>
      <c r="B36" s="608">
        <v>274</v>
      </c>
      <c r="C36" s="609">
        <f t="shared" si="1"/>
        <v>288</v>
      </c>
      <c r="D36" s="610">
        <f>+[31]HOSCA!$E$248</f>
        <v>158</v>
      </c>
      <c r="E36" s="610">
        <f>+[31]HOSLA!$E$248</f>
        <v>130</v>
      </c>
      <c r="F36" s="610"/>
      <c r="G36" s="610"/>
      <c r="H36" s="610"/>
    </row>
    <row r="37" spans="1:10" s="6" customFormat="1" ht="25.5" customHeight="1">
      <c r="A37" s="607" t="s">
        <v>1137</v>
      </c>
      <c r="B37" s="608">
        <v>83</v>
      </c>
      <c r="C37" s="609">
        <f t="shared" si="1"/>
        <v>123</v>
      </c>
      <c r="D37" s="610">
        <f>+[31]HOSCA!$E$252</f>
        <v>66</v>
      </c>
      <c r="E37" s="610">
        <f>+[31]HOSLA!$E$252</f>
        <v>57</v>
      </c>
      <c r="F37" s="610"/>
      <c r="G37" s="610"/>
      <c r="H37" s="610"/>
    </row>
    <row r="38" spans="1:10" s="6" customFormat="1" ht="25.5" customHeight="1">
      <c r="A38" s="607" t="s">
        <v>1138</v>
      </c>
      <c r="B38" s="608">
        <v>387</v>
      </c>
      <c r="C38" s="609">
        <f t="shared" si="1"/>
        <v>1599</v>
      </c>
      <c r="D38" s="610">
        <f>+[31]HOSCA!$E$261</f>
        <v>0</v>
      </c>
      <c r="E38" s="610">
        <f>+[31]HOSLA!$E$261</f>
        <v>1599</v>
      </c>
      <c r="F38" s="610"/>
      <c r="G38" s="610"/>
      <c r="H38" s="610"/>
      <c r="I38" s="6">
        <v>17</v>
      </c>
      <c r="J38" s="6">
        <f t="shared" si="2"/>
        <v>404</v>
      </c>
    </row>
    <row r="39" spans="1:10" s="6" customFormat="1" ht="25.5" customHeight="1">
      <c r="A39" s="607" t="s">
        <v>1139</v>
      </c>
      <c r="B39" s="608">
        <v>2378</v>
      </c>
      <c r="C39" s="609">
        <f t="shared" si="1"/>
        <v>6271</v>
      </c>
      <c r="D39" s="610">
        <f>+[31]HOSCA!$E$272</f>
        <v>6271</v>
      </c>
      <c r="E39" s="610">
        <f>+[31]HOSLA!$E$272</f>
        <v>0</v>
      </c>
      <c r="F39" s="610"/>
      <c r="G39" s="610"/>
      <c r="H39" s="610"/>
      <c r="I39" s="6">
        <v>1783</v>
      </c>
      <c r="J39" s="6">
        <f t="shared" si="2"/>
        <v>4161</v>
      </c>
    </row>
    <row r="40" spans="1:10" s="6" customFormat="1" ht="25.5" customHeight="1">
      <c r="A40" s="607" t="s">
        <v>1140</v>
      </c>
      <c r="B40" s="608">
        <v>131</v>
      </c>
      <c r="C40" s="609">
        <f t="shared" ref="C40:C71" si="3">SUM(D40:H40)</f>
        <v>138</v>
      </c>
      <c r="D40" s="610">
        <f>+[31]HOSCA!$E$276</f>
        <v>138</v>
      </c>
      <c r="E40" s="610">
        <f>+[31]HOSLA!$E$276</f>
        <v>0</v>
      </c>
      <c r="F40" s="610"/>
      <c r="G40" s="610"/>
      <c r="H40" s="610"/>
      <c r="I40" s="6">
        <v>8</v>
      </c>
      <c r="J40" s="6">
        <f t="shared" si="2"/>
        <v>139</v>
      </c>
    </row>
    <row r="41" spans="1:10" s="6" customFormat="1" ht="25.5" customHeight="1">
      <c r="A41" s="607" t="s">
        <v>1141</v>
      </c>
      <c r="B41" s="608">
        <v>273</v>
      </c>
      <c r="C41" s="609">
        <f t="shared" si="3"/>
        <v>410</v>
      </c>
      <c r="D41" s="610">
        <f>+[31]HOSCA!$E$281</f>
        <v>410</v>
      </c>
      <c r="E41" s="610">
        <f>+[31]HOSLA!$E$281</f>
        <v>0</v>
      </c>
      <c r="F41" s="610"/>
      <c r="G41" s="610"/>
      <c r="H41" s="610"/>
      <c r="I41" s="6">
        <v>61</v>
      </c>
      <c r="J41" s="6">
        <f t="shared" si="2"/>
        <v>334</v>
      </c>
    </row>
    <row r="42" spans="1:10" s="6" customFormat="1" ht="25.5" customHeight="1">
      <c r="A42" s="607" t="s">
        <v>1142</v>
      </c>
      <c r="B42" s="608">
        <v>42</v>
      </c>
      <c r="C42" s="609">
        <f t="shared" si="3"/>
        <v>56</v>
      </c>
      <c r="D42" s="610">
        <f>+[31]HOSCA!$E$286</f>
        <v>56</v>
      </c>
      <c r="E42" s="610">
        <f>+[31]HOSLA!$E$286</f>
        <v>0</v>
      </c>
      <c r="F42" s="610"/>
      <c r="G42" s="610"/>
      <c r="H42" s="610"/>
      <c r="I42" s="6">
        <v>13</v>
      </c>
      <c r="J42" s="6">
        <f t="shared" si="2"/>
        <v>55</v>
      </c>
    </row>
    <row r="43" spans="1:10" s="6" customFormat="1" ht="25.5" customHeight="1">
      <c r="A43" s="607" t="s">
        <v>1143</v>
      </c>
      <c r="B43" s="608">
        <v>6</v>
      </c>
      <c r="C43" s="609">
        <f t="shared" si="3"/>
        <v>0</v>
      </c>
      <c r="D43" s="610">
        <f>+[31]HOSCA!$E$291</f>
        <v>0</v>
      </c>
      <c r="E43" s="610">
        <f>+[31]HOSLA!$E$291</f>
        <v>0</v>
      </c>
      <c r="F43" s="610"/>
      <c r="G43" s="610"/>
      <c r="H43" s="610"/>
    </row>
    <row r="44" spans="1:10" s="6" customFormat="1" ht="25.5" customHeight="1">
      <c r="A44" s="607" t="s">
        <v>1144</v>
      </c>
      <c r="B44" s="608">
        <v>695</v>
      </c>
      <c r="C44" s="609">
        <f t="shared" si="3"/>
        <v>4783</v>
      </c>
      <c r="D44" s="610">
        <f>+[31]HOSCA!$E$297</f>
        <v>0</v>
      </c>
      <c r="E44" s="610">
        <f>+[31]HOSLA!$E$297</f>
        <v>0</v>
      </c>
      <c r="F44" s="610"/>
      <c r="G44" s="610">
        <f>+[31]PSIQ!$E$297</f>
        <v>4783</v>
      </c>
      <c r="H44" s="610"/>
    </row>
    <row r="45" spans="1:10" s="6" customFormat="1" ht="25.5" customHeight="1">
      <c r="A45" s="607" t="s">
        <v>1145</v>
      </c>
      <c r="B45" s="608">
        <v>367</v>
      </c>
      <c r="C45" s="609">
        <f t="shared" si="3"/>
        <v>2005</v>
      </c>
      <c r="D45" s="610">
        <f>+[31]HOSCA!$E$302</f>
        <v>0</v>
      </c>
      <c r="E45" s="610">
        <f>+[31]HOSLA!$E$302</f>
        <v>2005</v>
      </c>
      <c r="F45" s="610"/>
      <c r="G45" s="610"/>
      <c r="H45" s="610"/>
    </row>
    <row r="46" spans="1:10" s="6" customFormat="1" ht="25.5" customHeight="1">
      <c r="A46" s="607" t="s">
        <v>1146</v>
      </c>
      <c r="B46" s="608">
        <v>1615</v>
      </c>
      <c r="C46" s="609">
        <f t="shared" si="3"/>
        <v>3876</v>
      </c>
      <c r="D46" s="610">
        <f>+[31]HOSCA!$E$307</f>
        <v>2055</v>
      </c>
      <c r="E46" s="610">
        <f>+[31]HOSLA!$E$307</f>
        <v>1821</v>
      </c>
      <c r="F46" s="610"/>
      <c r="G46" s="610"/>
      <c r="H46" s="610"/>
    </row>
    <row r="47" spans="1:10" s="6" customFormat="1" ht="25.5" customHeight="1">
      <c r="A47" s="607" t="s">
        <v>1147</v>
      </c>
      <c r="B47" s="608">
        <v>676</v>
      </c>
      <c r="C47" s="609">
        <f t="shared" si="3"/>
        <v>2751</v>
      </c>
      <c r="D47" s="610">
        <f>+[31]HOSCA!$E$316</f>
        <v>1036</v>
      </c>
      <c r="E47" s="610">
        <f>+[31]HOSLA!$E$316</f>
        <v>1715</v>
      </c>
      <c r="F47" s="610"/>
      <c r="G47" s="610"/>
      <c r="H47" s="610"/>
    </row>
    <row r="48" spans="1:10" s="6" customFormat="1" ht="25.5" customHeight="1">
      <c r="A48" s="607" t="s">
        <v>1148</v>
      </c>
      <c r="B48" s="608">
        <v>436</v>
      </c>
      <c r="C48" s="609">
        <f t="shared" si="3"/>
        <v>1378</v>
      </c>
      <c r="D48" s="610">
        <f>+[31]HOSCA!$E$321</f>
        <v>779</v>
      </c>
      <c r="E48" s="610">
        <f>+[31]HOSLA!$E$321</f>
        <v>599</v>
      </c>
      <c r="F48" s="610"/>
      <c r="G48" s="610"/>
      <c r="H48" s="610"/>
    </row>
    <row r="49" spans="1:8" s="6" customFormat="1" ht="25.5" customHeight="1">
      <c r="A49" s="1163" t="s">
        <v>1149</v>
      </c>
      <c r="B49" s="608">
        <v>444</v>
      </c>
      <c r="C49" s="609">
        <f t="shared" si="3"/>
        <v>1121</v>
      </c>
      <c r="D49" s="610">
        <f>+[31]HOSCA!$E$324</f>
        <v>539</v>
      </c>
      <c r="E49" s="610">
        <f>+[31]HOSLA!$E$324</f>
        <v>582</v>
      </c>
      <c r="F49" s="610"/>
      <c r="G49" s="610"/>
      <c r="H49" s="610"/>
    </row>
    <row r="50" spans="1:8" s="6" customFormat="1" ht="25.5" customHeight="1">
      <c r="A50" s="1165" t="s">
        <v>1150</v>
      </c>
      <c r="B50" s="1162">
        <v>28</v>
      </c>
      <c r="C50" s="609">
        <f t="shared" si="3"/>
        <v>28</v>
      </c>
      <c r="D50" s="610">
        <f>+[31]HOSCA!$E$328</f>
        <v>28</v>
      </c>
      <c r="E50" s="610">
        <f>+[31]HOSLA!$E$328</f>
        <v>0</v>
      </c>
      <c r="F50" s="610"/>
      <c r="G50" s="610"/>
      <c r="H50" s="610"/>
    </row>
    <row r="51" spans="1:8" s="6" customFormat="1" ht="25.5" customHeight="1">
      <c r="A51" s="1164" t="s">
        <v>1151</v>
      </c>
      <c r="B51" s="608">
        <v>78</v>
      </c>
      <c r="C51" s="609">
        <f t="shared" si="3"/>
        <v>75</v>
      </c>
      <c r="D51" s="610">
        <f>+[31]HOSCA!$E$337</f>
        <v>0</v>
      </c>
      <c r="E51" s="610">
        <f>+[31]HOSLA!$E$337</f>
        <v>75</v>
      </c>
      <c r="F51" s="610"/>
      <c r="G51" s="610"/>
      <c r="H51" s="610"/>
    </row>
    <row r="52" spans="1:8" s="6" customFormat="1" ht="25.5" customHeight="1">
      <c r="A52" s="612" t="s">
        <v>1152</v>
      </c>
      <c r="B52" s="608">
        <v>2</v>
      </c>
      <c r="C52" s="609">
        <f t="shared" si="3"/>
        <v>1</v>
      </c>
      <c r="D52" s="610">
        <f>+[31]HOSCA!$E$340</f>
        <v>1</v>
      </c>
      <c r="E52" s="610">
        <f>+[31]HOSLA!$E$340</f>
        <v>0</v>
      </c>
      <c r="F52" s="610"/>
      <c r="G52" s="610"/>
      <c r="H52" s="610"/>
    </row>
    <row r="53" spans="1:8" s="6" customFormat="1" ht="25.5" customHeight="1">
      <c r="A53" s="612" t="s">
        <v>1153</v>
      </c>
      <c r="B53" s="608">
        <v>12</v>
      </c>
      <c r="C53" s="609">
        <f t="shared" si="3"/>
        <v>12</v>
      </c>
      <c r="D53" s="610">
        <f>+[31]HOSCA!$E$347</f>
        <v>10</v>
      </c>
      <c r="E53" s="610">
        <f>+[31]HOSLA!$E$347</f>
        <v>2</v>
      </c>
      <c r="F53" s="610"/>
      <c r="G53" s="610"/>
      <c r="H53" s="610"/>
    </row>
    <row r="54" spans="1:8" s="6" customFormat="1" ht="25.5" customHeight="1">
      <c r="A54" s="607" t="s">
        <v>1154</v>
      </c>
      <c r="B54" s="608">
        <v>33</v>
      </c>
      <c r="C54" s="609">
        <f t="shared" si="3"/>
        <v>62</v>
      </c>
      <c r="D54" s="610">
        <f>+[31]HOSCA!$E$357</f>
        <v>62</v>
      </c>
      <c r="E54" s="610">
        <f>+[31]HOSLA!$E$357</f>
        <v>0</v>
      </c>
      <c r="F54" s="610"/>
      <c r="G54" s="610"/>
      <c r="H54" s="610"/>
    </row>
    <row r="55" spans="1:8" s="6" customFormat="1" ht="25.5" customHeight="1">
      <c r="A55" s="607" t="s">
        <v>1155</v>
      </c>
      <c r="B55" s="608">
        <v>17</v>
      </c>
      <c r="C55" s="609">
        <f t="shared" si="3"/>
        <v>22</v>
      </c>
      <c r="D55" s="610">
        <f>+[31]HOSCA!$E$361</f>
        <v>22</v>
      </c>
      <c r="E55" s="610">
        <f>+[31]HOSLA!$E$361</f>
        <v>0</v>
      </c>
      <c r="F55" s="610"/>
      <c r="G55" s="610"/>
      <c r="H55" s="610"/>
    </row>
    <row r="56" spans="1:8" s="6" customFormat="1" ht="25.5" customHeight="1">
      <c r="A56" s="607" t="s">
        <v>1156</v>
      </c>
      <c r="B56" s="608"/>
      <c r="C56" s="609">
        <f t="shared" si="3"/>
        <v>329</v>
      </c>
      <c r="D56" s="610">
        <f>+[31]HOSCA!$E$381</f>
        <v>328</v>
      </c>
      <c r="E56" s="610">
        <f>+[31]HOSLA!$E$381</f>
        <v>1</v>
      </c>
      <c r="F56" s="610"/>
      <c r="G56" s="610"/>
      <c r="H56" s="610"/>
    </row>
    <row r="57" spans="1:8" s="6" customFormat="1" ht="25.5" customHeight="1">
      <c r="A57" s="607" t="s">
        <v>1157</v>
      </c>
      <c r="B57" s="608"/>
      <c r="C57" s="609">
        <f t="shared" si="3"/>
        <v>0</v>
      </c>
      <c r="D57" s="610">
        <f>+[31]HOSCA!$E$389</f>
        <v>0</v>
      </c>
      <c r="E57" s="610">
        <f>+[31]HOSLA!$E$389</f>
        <v>0</v>
      </c>
      <c r="F57" s="610"/>
      <c r="G57" s="610"/>
      <c r="H57" s="610"/>
    </row>
    <row r="58" spans="1:8" s="6" customFormat="1" ht="25.5" customHeight="1">
      <c r="A58" s="607" t="s">
        <v>1158</v>
      </c>
      <c r="B58" s="608"/>
      <c r="C58" s="609">
        <f t="shared" si="3"/>
        <v>0</v>
      </c>
      <c r="D58" s="610">
        <f>+[31]HOSCA!$E$394</f>
        <v>0</v>
      </c>
      <c r="E58" s="610">
        <f>+[31]HOSLA!$E$394</f>
        <v>0</v>
      </c>
      <c r="F58" s="610"/>
      <c r="G58" s="610"/>
      <c r="H58" s="610"/>
    </row>
    <row r="59" spans="1:8" s="6" customFormat="1" ht="25.5" customHeight="1">
      <c r="A59" s="607" t="s">
        <v>1159</v>
      </c>
      <c r="B59" s="608">
        <v>5</v>
      </c>
      <c r="C59" s="609">
        <f t="shared" si="3"/>
        <v>4</v>
      </c>
      <c r="D59" s="610">
        <f>+[31]HOSCA!$E$393</f>
        <v>2</v>
      </c>
      <c r="E59" s="610">
        <f>+[31]HOSLA!$E$393</f>
        <v>2</v>
      </c>
      <c r="F59" s="610"/>
      <c r="G59" s="610"/>
      <c r="H59" s="610"/>
    </row>
    <row r="60" spans="1:8" s="6" customFormat="1" ht="25.5" customHeight="1">
      <c r="A60" s="612" t="s">
        <v>1160</v>
      </c>
      <c r="B60" s="608">
        <v>18</v>
      </c>
      <c r="C60" s="609">
        <f t="shared" si="3"/>
        <v>33</v>
      </c>
      <c r="D60" s="610">
        <f>+[31]HOSCA!$E$396</f>
        <v>32</v>
      </c>
      <c r="E60" s="610">
        <f>+[31]HOSLA!$E$396</f>
        <v>1</v>
      </c>
      <c r="F60" s="610"/>
      <c r="G60" s="610"/>
      <c r="H60" s="610"/>
    </row>
    <row r="61" spans="1:8" s="6" customFormat="1" ht="25.5" customHeight="1">
      <c r="A61" s="607" t="s">
        <v>1161</v>
      </c>
      <c r="B61" s="608">
        <v>5</v>
      </c>
      <c r="C61" s="609">
        <f t="shared" si="3"/>
        <v>4</v>
      </c>
      <c r="D61" s="610">
        <f>+[31]HOSCA!$E$400</f>
        <v>4</v>
      </c>
      <c r="E61" s="610">
        <f>+[31]HOSLA!$E$400</f>
        <v>0</v>
      </c>
      <c r="F61" s="610"/>
      <c r="G61" s="610"/>
      <c r="H61" s="610"/>
    </row>
    <row r="62" spans="1:8" s="6" customFormat="1" ht="25.5" customHeight="1">
      <c r="A62" s="607" t="s">
        <v>1162</v>
      </c>
      <c r="B62" s="608"/>
      <c r="C62" s="609">
        <f t="shared" si="3"/>
        <v>0</v>
      </c>
      <c r="D62" s="610">
        <f>+[31]HOSCA!$E$406</f>
        <v>0</v>
      </c>
      <c r="E62" s="610">
        <f>+[31]HOSLA!$E$406</f>
        <v>0</v>
      </c>
      <c r="F62" s="610"/>
      <c r="G62" s="610"/>
      <c r="H62" s="610"/>
    </row>
    <row r="63" spans="1:8" s="6" customFormat="1" ht="25.5" customHeight="1">
      <c r="A63" s="607" t="s">
        <v>1163</v>
      </c>
      <c r="B63" s="608">
        <v>642</v>
      </c>
      <c r="C63" s="609">
        <f t="shared" si="3"/>
        <v>5238</v>
      </c>
      <c r="D63" s="610">
        <f>+[31]HOSCA!$E$414</f>
        <v>0</v>
      </c>
      <c r="E63" s="610">
        <f>+[31]HOSLA!$E$414</f>
        <v>5238</v>
      </c>
      <c r="F63" s="610"/>
      <c r="G63" s="610"/>
      <c r="H63" s="610"/>
    </row>
    <row r="64" spans="1:8" s="6" customFormat="1" ht="25.5" customHeight="1">
      <c r="A64" s="612" t="s">
        <v>1164</v>
      </c>
      <c r="B64" s="608">
        <v>1</v>
      </c>
      <c r="C64" s="609">
        <f t="shared" si="3"/>
        <v>0</v>
      </c>
      <c r="D64" s="610">
        <f>+[31]HOSCA!$E$417</f>
        <v>0</v>
      </c>
      <c r="E64" s="610">
        <f>+[31]HOSLA!$E$417</f>
        <v>0</v>
      </c>
      <c r="F64" s="610"/>
      <c r="G64" s="610"/>
      <c r="H64" s="610"/>
    </row>
    <row r="65" spans="1:10" s="6" customFormat="1" ht="25.5" customHeight="1">
      <c r="A65" s="607" t="s">
        <v>1165</v>
      </c>
      <c r="B65" s="608">
        <v>1099</v>
      </c>
      <c r="C65" s="609">
        <f t="shared" si="3"/>
        <v>1109</v>
      </c>
      <c r="D65" s="610">
        <f>+[31]HOSCA!$E$422</f>
        <v>690</v>
      </c>
      <c r="E65" s="610">
        <f>+[31]HOSLA!$E$422</f>
        <v>419</v>
      </c>
      <c r="F65" s="610"/>
      <c r="G65" s="610"/>
      <c r="H65" s="610"/>
    </row>
    <row r="66" spans="1:10" s="6" customFormat="1" ht="25.5" customHeight="1">
      <c r="A66" s="607" t="s">
        <v>1166</v>
      </c>
      <c r="B66" s="608"/>
      <c r="C66" s="609">
        <f t="shared" si="3"/>
        <v>0</v>
      </c>
      <c r="D66" s="610">
        <f>+[31]HOSCA!$E$425</f>
        <v>0</v>
      </c>
      <c r="E66" s="610">
        <f>+[31]HOSLA!$E$425</f>
        <v>0</v>
      </c>
      <c r="F66" s="610"/>
      <c r="G66" s="610"/>
      <c r="H66" s="610"/>
    </row>
    <row r="67" spans="1:10" s="6" customFormat="1" ht="24.75" customHeight="1">
      <c r="A67" s="614" t="s">
        <v>1167</v>
      </c>
      <c r="B67" s="608">
        <v>617</v>
      </c>
      <c r="C67" s="610">
        <f t="shared" si="3"/>
        <v>1500</v>
      </c>
      <c r="D67" s="613">
        <f>+[31]HOSCA!$E$451</f>
        <v>1500</v>
      </c>
      <c r="E67" s="613">
        <f>+[31]HOSLA!$E$451</f>
        <v>0</v>
      </c>
      <c r="F67" s="613"/>
      <c r="G67" s="613"/>
      <c r="H67" s="613"/>
      <c r="I67" s="6">
        <v>727</v>
      </c>
      <c r="J67" s="6">
        <f t="shared" si="2"/>
        <v>1344</v>
      </c>
    </row>
    <row r="68" spans="1:10" ht="24.75" customHeight="1">
      <c r="A68" s="614" t="s">
        <v>730</v>
      </c>
      <c r="B68" s="608">
        <v>29</v>
      </c>
      <c r="C68" s="610">
        <f t="shared" si="3"/>
        <v>29</v>
      </c>
      <c r="D68" s="610">
        <f>+[31]HOSCA!$E$454</f>
        <v>29</v>
      </c>
      <c r="E68" s="610">
        <f>+[31]HOSLA!$E$454</f>
        <v>0</v>
      </c>
      <c r="F68" s="610"/>
      <c r="G68" s="611"/>
      <c r="H68" s="610"/>
      <c r="J68" s="6"/>
    </row>
    <row r="69" spans="1:10" ht="24.75" customHeight="1">
      <c r="A69" s="614" t="s">
        <v>730</v>
      </c>
      <c r="B69" s="608">
        <v>20</v>
      </c>
      <c r="C69" s="610">
        <f t="shared" si="3"/>
        <v>27</v>
      </c>
      <c r="D69" s="610">
        <f>+[31]HOSCA!$E$462</f>
        <v>27</v>
      </c>
      <c r="E69" s="610">
        <f>+[31]HOSLA!$E$462</f>
        <v>0</v>
      </c>
      <c r="F69" s="610"/>
      <c r="G69" s="610"/>
      <c r="H69" s="610"/>
      <c r="J69" s="6"/>
    </row>
    <row r="70" spans="1:10" ht="24.75" customHeight="1">
      <c r="A70" s="614" t="s">
        <v>731</v>
      </c>
      <c r="B70" s="608">
        <v>29</v>
      </c>
      <c r="C70" s="610">
        <f t="shared" si="3"/>
        <v>28</v>
      </c>
      <c r="D70" s="610">
        <f>+[31]HOSCA!$E$467</f>
        <v>28</v>
      </c>
      <c r="E70" s="610">
        <f>+[31]HOSLA!$E$467</f>
        <v>0</v>
      </c>
      <c r="F70" s="610"/>
      <c r="G70" s="610"/>
      <c r="H70" s="610"/>
      <c r="I70" s="6">
        <v>1</v>
      </c>
      <c r="J70" s="6">
        <f t="shared" si="2"/>
        <v>30</v>
      </c>
    </row>
    <row r="71" spans="1:10" ht="24.75" customHeight="1">
      <c r="A71" s="614" t="s">
        <v>724</v>
      </c>
      <c r="B71" s="608">
        <v>362</v>
      </c>
      <c r="C71" s="610">
        <f t="shared" si="3"/>
        <v>505</v>
      </c>
      <c r="D71" s="610">
        <f>+[31]HOSCA!$E$475</f>
        <v>505</v>
      </c>
      <c r="E71" s="610">
        <f>+[31]HOSLA!$E$475</f>
        <v>0</v>
      </c>
      <c r="F71" s="610"/>
      <c r="G71" s="610"/>
      <c r="H71" s="610"/>
      <c r="J71" s="6"/>
    </row>
    <row r="72" spans="1:10" ht="24.75" customHeight="1">
      <c r="A72" s="614" t="s">
        <v>725</v>
      </c>
      <c r="B72" s="608">
        <v>359</v>
      </c>
      <c r="C72" s="609">
        <f t="shared" ref="C72:C91" si="4">SUM(D72:H72)</f>
        <v>1813</v>
      </c>
      <c r="D72" s="610">
        <f>+[31]HOSCA!$E$478</f>
        <v>588</v>
      </c>
      <c r="E72" s="610">
        <f>+[31]HOSLA!$E$478</f>
        <v>1225</v>
      </c>
      <c r="F72" s="610"/>
      <c r="G72" s="610"/>
      <c r="H72" s="610"/>
      <c r="J72" s="6"/>
    </row>
    <row r="73" spans="1:10" ht="24.75" customHeight="1">
      <c r="A73" s="614" t="s">
        <v>726</v>
      </c>
      <c r="B73" s="608">
        <v>276</v>
      </c>
      <c r="C73" s="609">
        <f t="shared" si="4"/>
        <v>440</v>
      </c>
      <c r="D73" s="610">
        <f>+[31]HOSCA!$E$482</f>
        <v>440</v>
      </c>
      <c r="E73" s="610">
        <f>+[31]HOSLA!$E$482</f>
        <v>0</v>
      </c>
      <c r="F73" s="610"/>
      <c r="G73" s="610"/>
      <c r="H73" s="610"/>
      <c r="J73" s="6"/>
    </row>
    <row r="74" spans="1:10" ht="24.75" customHeight="1">
      <c r="A74" s="614" t="s">
        <v>727</v>
      </c>
      <c r="B74" s="608">
        <v>6</v>
      </c>
      <c r="C74" s="609">
        <f t="shared" si="4"/>
        <v>4</v>
      </c>
      <c r="D74" s="610">
        <f>+[31]HOSCA!$E$486</f>
        <v>0</v>
      </c>
      <c r="E74" s="610">
        <f>+[31]HOSLA!$E$486</f>
        <v>4</v>
      </c>
      <c r="F74" s="610"/>
      <c r="G74" s="610"/>
      <c r="H74" s="610"/>
      <c r="J74" s="6"/>
    </row>
    <row r="75" spans="1:10" ht="24.75" customHeight="1">
      <c r="A75" s="614" t="s">
        <v>728</v>
      </c>
      <c r="B75" s="608">
        <v>813</v>
      </c>
      <c r="C75" s="609">
        <f t="shared" si="4"/>
        <v>787</v>
      </c>
      <c r="D75" s="610">
        <f>+[31]HOSCA!$E$490</f>
        <v>700</v>
      </c>
      <c r="E75" s="610">
        <f>+[31]HOSLA!$E$490</f>
        <v>87</v>
      </c>
      <c r="F75" s="610"/>
      <c r="G75" s="610"/>
      <c r="H75" s="610"/>
      <c r="J75" s="6"/>
    </row>
    <row r="76" spans="1:10" ht="24.75" customHeight="1">
      <c r="A76" s="614" t="s">
        <v>729</v>
      </c>
      <c r="B76" s="608">
        <v>636</v>
      </c>
      <c r="C76" s="609">
        <f t="shared" si="4"/>
        <v>568</v>
      </c>
      <c r="D76" s="610">
        <f>+[31]HOSCA!$E$493</f>
        <v>0</v>
      </c>
      <c r="E76" s="610">
        <f>+[31]HOSLA!$E$493</f>
        <v>568</v>
      </c>
      <c r="F76" s="610"/>
      <c r="G76" s="610"/>
      <c r="H76" s="610"/>
      <c r="J76" s="6"/>
    </row>
    <row r="77" spans="1:10" ht="24.75" customHeight="1">
      <c r="A77" s="614" t="s">
        <v>720</v>
      </c>
      <c r="B77" s="608">
        <v>103</v>
      </c>
      <c r="C77" s="609">
        <f t="shared" si="4"/>
        <v>130</v>
      </c>
      <c r="D77" s="610">
        <f>+[31]HOSCA!$E$497</f>
        <v>130</v>
      </c>
      <c r="E77" s="610">
        <f>+[31]HOSLA!$E$497</f>
        <v>0</v>
      </c>
      <c r="F77" s="610"/>
      <c r="G77" s="610"/>
      <c r="H77" s="610"/>
      <c r="J77" s="6"/>
    </row>
    <row r="78" spans="1:10" ht="24.75" customHeight="1">
      <c r="A78" s="614" t="s">
        <v>721</v>
      </c>
      <c r="B78" s="608">
        <v>15</v>
      </c>
      <c r="C78" s="609">
        <f t="shared" si="4"/>
        <v>120</v>
      </c>
      <c r="D78" s="610">
        <f>+[31]HOSCA!$E$500</f>
        <v>120</v>
      </c>
      <c r="E78" s="610">
        <f>+[31]HOSLA!$E$500</f>
        <v>0</v>
      </c>
      <c r="F78" s="610"/>
      <c r="G78" s="610"/>
      <c r="H78" s="610"/>
      <c r="I78" s="6">
        <v>13</v>
      </c>
      <c r="J78" s="6">
        <f t="shared" ref="J78:J88" si="5">+B78+I78</f>
        <v>28</v>
      </c>
    </row>
    <row r="79" spans="1:10" ht="25.5" customHeight="1">
      <c r="A79" s="614" t="s">
        <v>722</v>
      </c>
      <c r="B79" s="608">
        <v>8</v>
      </c>
      <c r="C79" s="609">
        <f t="shared" si="4"/>
        <v>5</v>
      </c>
      <c r="D79" s="610">
        <f>+[31]HOSCA!$E$506</f>
        <v>2</v>
      </c>
      <c r="E79" s="610">
        <f>+[31]HOSLA!$E$506</f>
        <v>3</v>
      </c>
      <c r="F79" s="610"/>
      <c r="G79" s="610"/>
      <c r="H79" s="610"/>
      <c r="J79" s="6"/>
    </row>
    <row r="80" spans="1:10" ht="25.5" customHeight="1">
      <c r="A80" s="614" t="s">
        <v>723</v>
      </c>
      <c r="B80" s="608">
        <v>12</v>
      </c>
      <c r="C80" s="609">
        <f t="shared" si="4"/>
        <v>33</v>
      </c>
      <c r="D80" s="610">
        <f>+[31]HOSCA!$E$512</f>
        <v>17</v>
      </c>
      <c r="E80" s="610">
        <f>+[31]HOSLA!$E$512</f>
        <v>16</v>
      </c>
      <c r="F80" s="610"/>
      <c r="G80" s="610"/>
      <c r="H80" s="610"/>
      <c r="J80" s="6"/>
    </row>
    <row r="81" spans="1:10" ht="25.5" customHeight="1">
      <c r="A81" s="1113" t="s">
        <v>1303</v>
      </c>
      <c r="B81" s="608">
        <v>93</v>
      </c>
      <c r="C81" s="609">
        <f t="shared" si="4"/>
        <v>181</v>
      </c>
      <c r="D81" s="610">
        <f>+[31]HOSCA!$E$517</f>
        <v>109</v>
      </c>
      <c r="E81" s="610">
        <f>+[31]HOSLA!$E$517</f>
        <v>72</v>
      </c>
      <c r="F81" s="610"/>
      <c r="G81" s="610"/>
      <c r="H81" s="610"/>
      <c r="J81" s="6"/>
    </row>
    <row r="82" spans="1:10" ht="25.5" customHeight="1">
      <c r="A82" s="1113" t="s">
        <v>1304</v>
      </c>
      <c r="B82" s="608">
        <v>1</v>
      </c>
      <c r="C82" s="609">
        <f t="shared" si="4"/>
        <v>0</v>
      </c>
      <c r="D82" s="610">
        <f>+[31]HOSCA!$E$527</f>
        <v>0</v>
      </c>
      <c r="E82" s="610">
        <f>+[31]HOSLA!$E$527</f>
        <v>0</v>
      </c>
      <c r="F82" s="610"/>
      <c r="G82" s="610"/>
      <c r="H82" s="610"/>
      <c r="J82" s="6"/>
    </row>
    <row r="83" spans="1:10" ht="25.5" customHeight="1">
      <c r="A83" s="1113" t="s">
        <v>1576</v>
      </c>
      <c r="B83" s="608">
        <v>26</v>
      </c>
      <c r="C83" s="609">
        <f t="shared" si="4"/>
        <v>47</v>
      </c>
      <c r="D83" s="610">
        <f>+[31]HOSCA!$E$538</f>
        <v>0</v>
      </c>
      <c r="E83" s="610">
        <f>+[31]HOSLA!$E$538</f>
        <v>47</v>
      </c>
      <c r="F83" s="610"/>
      <c r="G83" s="610"/>
      <c r="H83" s="610"/>
      <c r="J83" s="6"/>
    </row>
    <row r="84" spans="1:10" ht="25.5" customHeight="1">
      <c r="A84" s="1113" t="s">
        <v>1305</v>
      </c>
      <c r="B84" s="608"/>
      <c r="C84" s="609">
        <f t="shared" si="4"/>
        <v>0</v>
      </c>
      <c r="D84" s="610">
        <f>+[31]HOSCA!$E$554</f>
        <v>0</v>
      </c>
      <c r="E84" s="610">
        <f>+[31]HOSLA!$E$554</f>
        <v>0</v>
      </c>
      <c r="F84" s="610"/>
      <c r="G84" s="610"/>
      <c r="H84" s="610"/>
      <c r="J84" s="6"/>
    </row>
    <row r="85" spans="1:10" ht="34.5" customHeight="1">
      <c r="A85" s="1113" t="s">
        <v>1572</v>
      </c>
      <c r="B85" s="608">
        <v>46</v>
      </c>
      <c r="C85" s="609">
        <f t="shared" si="4"/>
        <v>280</v>
      </c>
      <c r="D85" s="610">
        <f>+[31]HOSCA!$E$562</f>
        <v>280</v>
      </c>
      <c r="E85" s="610">
        <f>+[31]HOSLA!$E$562</f>
        <v>0</v>
      </c>
      <c r="F85" s="610"/>
      <c r="G85" s="610"/>
      <c r="H85" s="610"/>
      <c r="J85" s="6"/>
    </row>
    <row r="86" spans="1:10" ht="26.25" customHeight="1">
      <c r="A86" s="1113" t="s">
        <v>1306</v>
      </c>
      <c r="B86" s="608">
        <v>173</v>
      </c>
      <c r="C86" s="609">
        <f t="shared" si="4"/>
        <v>443</v>
      </c>
      <c r="D86" s="610">
        <f>+[31]HOSCA!$E$569</f>
        <v>0</v>
      </c>
      <c r="E86" s="610">
        <f>+[31]HOSLA!$E$569</f>
        <v>0</v>
      </c>
      <c r="F86" s="610"/>
      <c r="G86" s="610">
        <f>+[31]PSIQ!$E$569</f>
        <v>443</v>
      </c>
      <c r="H86" s="610"/>
      <c r="J86" s="6"/>
    </row>
    <row r="87" spans="1:10" ht="26.25" customHeight="1">
      <c r="A87" s="1113" t="s">
        <v>1307</v>
      </c>
      <c r="B87" s="608">
        <v>2</v>
      </c>
      <c r="C87" s="609">
        <f t="shared" si="4"/>
        <v>0</v>
      </c>
      <c r="D87" s="610">
        <f>+[31]HOSCA!$E$573</f>
        <v>0</v>
      </c>
      <c r="E87" s="610">
        <f>+[31]HOSLA!$E$573</f>
        <v>0</v>
      </c>
      <c r="F87" s="610"/>
      <c r="G87" s="610"/>
      <c r="H87" s="610"/>
      <c r="J87" s="6"/>
    </row>
    <row r="88" spans="1:10" ht="36" customHeight="1">
      <c r="A88" s="1113" t="s">
        <v>1574</v>
      </c>
      <c r="B88" s="608">
        <v>1</v>
      </c>
      <c r="C88" s="609">
        <f t="shared" si="4"/>
        <v>2</v>
      </c>
      <c r="D88" s="610">
        <f>+[31]HOSCA!$E$577</f>
        <v>2</v>
      </c>
      <c r="E88" s="610">
        <f>+[31]HOSLA!$E$577</f>
        <v>0</v>
      </c>
      <c r="F88" s="610"/>
      <c r="G88" s="610"/>
      <c r="H88" s="610"/>
      <c r="I88">
        <v>1</v>
      </c>
      <c r="J88" s="6">
        <f t="shared" si="5"/>
        <v>2</v>
      </c>
    </row>
    <row r="89" spans="1:10" ht="29.25" customHeight="1">
      <c r="A89" s="1113" t="s">
        <v>1575</v>
      </c>
      <c r="B89" s="608">
        <v>165</v>
      </c>
      <c r="C89" s="609">
        <f t="shared" si="4"/>
        <v>1305</v>
      </c>
      <c r="D89" s="610">
        <f>+[31]HOSCA!$E$584</f>
        <v>2</v>
      </c>
      <c r="E89" s="610">
        <f>+[31]HOSLA!$E$584</f>
        <v>1303</v>
      </c>
      <c r="F89" s="610"/>
      <c r="G89" s="610"/>
      <c r="H89" s="610"/>
    </row>
    <row r="90" spans="1:10" ht="38.25" customHeight="1">
      <c r="A90" s="1113" t="s">
        <v>1573</v>
      </c>
      <c r="B90" s="608">
        <v>29</v>
      </c>
      <c r="C90" s="609">
        <f t="shared" si="4"/>
        <v>183</v>
      </c>
      <c r="D90" s="610">
        <f>+[31]HOSCA!$E$593</f>
        <v>183</v>
      </c>
      <c r="E90" s="610">
        <f>+[31]HOSLA!$E$593</f>
        <v>0</v>
      </c>
      <c r="F90" s="610"/>
      <c r="G90" s="610"/>
      <c r="H90" s="610"/>
    </row>
    <row r="91" spans="1:10" ht="38.25" customHeight="1">
      <c r="A91" s="1113" t="s">
        <v>1577</v>
      </c>
      <c r="B91" s="608">
        <v>8</v>
      </c>
      <c r="C91" s="615">
        <f t="shared" si="4"/>
        <v>7</v>
      </c>
      <c r="D91" s="616">
        <f>+[31]HOSCA!$E$600</f>
        <v>5</v>
      </c>
      <c r="E91" s="616">
        <f>+[31]HOSLA!$E$600</f>
        <v>2</v>
      </c>
      <c r="F91" s="616"/>
      <c r="G91" s="616"/>
      <c r="H91" s="616"/>
    </row>
    <row r="92" spans="1:10" ht="21" customHeight="1">
      <c r="A92" s="2" t="s">
        <v>1578</v>
      </c>
    </row>
  </sheetData>
  <mergeCells count="4">
    <mergeCell ref="D4:H4"/>
    <mergeCell ref="A1:H1"/>
    <mergeCell ref="A2:H2"/>
    <mergeCell ref="C5:H5"/>
  </mergeCells>
  <phoneticPr fontId="19" type="noConversion"/>
  <pageMargins left="0.98425196850393704" right="0.59055118110236227" top="0.39370078740157483" bottom="0.59055118110236227" header="0" footer="0"/>
  <pageSetup paperSize="5" scale="55"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4"/>
  <sheetViews>
    <sheetView workbookViewId="0">
      <selection activeCell="F43" sqref="F43:F44"/>
    </sheetView>
  </sheetViews>
  <sheetFormatPr baseColWidth="10" defaultRowHeight="12.75"/>
  <cols>
    <col min="1" max="1" width="14.85546875" customWidth="1"/>
    <col min="2" max="2" width="3.85546875" customWidth="1"/>
    <col min="3" max="3" width="5.140625" customWidth="1"/>
    <col min="4" max="4" width="13" customWidth="1"/>
    <col min="5" max="5" width="8.7109375" customWidth="1"/>
    <col min="6" max="6" width="14" customWidth="1"/>
    <col min="7" max="7" width="5.42578125" customWidth="1"/>
    <col min="8" max="8" width="2.42578125" customWidth="1"/>
    <col min="9" max="9" width="7.5703125" customWidth="1"/>
    <col min="10" max="10" width="19.7109375" customWidth="1"/>
    <col min="11" max="11" width="6.140625" customWidth="1"/>
    <col min="12" max="12" width="2.7109375" customWidth="1"/>
    <col min="13" max="13" width="10.7109375" customWidth="1"/>
    <col min="14" max="14" width="3.42578125" customWidth="1"/>
    <col min="15" max="15" width="2.7109375" customWidth="1"/>
    <col min="16" max="16" width="6.85546875" customWidth="1"/>
    <col min="17" max="17" width="10.85546875" customWidth="1"/>
    <col min="18" max="18" width="3.5703125" customWidth="1"/>
    <col min="19" max="19" width="3.28515625" customWidth="1"/>
    <col min="20" max="20" width="3.7109375" customWidth="1"/>
    <col min="21" max="21" width="3.140625" customWidth="1"/>
    <col min="22" max="22" width="17.28515625" customWidth="1"/>
  </cols>
  <sheetData>
    <row r="1" spans="1:22" ht="18" customHeight="1">
      <c r="A1" s="18" t="s">
        <v>418</v>
      </c>
      <c r="B1" s="18"/>
      <c r="C1" s="18"/>
      <c r="D1" s="18"/>
      <c r="E1" s="18"/>
      <c r="F1" s="18"/>
      <c r="G1" s="18"/>
      <c r="H1" s="18"/>
      <c r="I1" s="18"/>
      <c r="J1" s="18"/>
      <c r="K1" s="18"/>
      <c r="L1" s="18"/>
      <c r="M1" s="18"/>
      <c r="N1" s="9"/>
      <c r="O1" s="9"/>
      <c r="P1" s="9"/>
      <c r="Q1" s="9"/>
      <c r="R1" s="5"/>
      <c r="S1" s="5"/>
      <c r="T1" s="5"/>
      <c r="U1" s="5"/>
      <c r="V1" s="5"/>
    </row>
    <row r="2" spans="1:22" ht="19.5" customHeight="1">
      <c r="A2" s="18" t="s">
        <v>419</v>
      </c>
      <c r="B2" s="18"/>
      <c r="C2" s="18"/>
      <c r="D2" s="18"/>
      <c r="E2" s="18"/>
      <c r="F2" s="18"/>
      <c r="G2" s="18"/>
      <c r="H2" s="18"/>
      <c r="I2" s="18"/>
      <c r="J2" s="18"/>
      <c r="K2" s="18"/>
      <c r="L2" s="18"/>
      <c r="M2" s="18"/>
      <c r="N2" s="9"/>
      <c r="O2" s="9"/>
      <c r="P2" s="9"/>
      <c r="Q2" s="9"/>
      <c r="R2" s="5"/>
      <c r="S2" s="5"/>
      <c r="T2" s="5"/>
      <c r="U2" s="5"/>
      <c r="V2" s="5"/>
    </row>
    <row r="3" spans="1:22">
      <c r="A3" s="6"/>
      <c r="B3" s="6"/>
      <c r="C3" s="6"/>
      <c r="D3" s="6"/>
      <c r="E3" s="6"/>
      <c r="F3" s="6"/>
      <c r="G3" s="6"/>
      <c r="H3" s="6"/>
      <c r="I3" s="6"/>
      <c r="J3" s="6"/>
      <c r="K3" s="6"/>
      <c r="L3" s="6"/>
      <c r="M3" s="6"/>
      <c r="N3" s="6"/>
      <c r="O3" s="6"/>
      <c r="P3" s="6"/>
      <c r="Q3" s="6"/>
      <c r="R3" s="6"/>
      <c r="S3" s="6"/>
      <c r="T3" s="6"/>
      <c r="U3" s="6"/>
      <c r="V3" s="6"/>
    </row>
    <row r="4" spans="1:22">
      <c r="A4" s="6"/>
      <c r="B4" s="6"/>
      <c r="C4" s="6"/>
      <c r="D4" s="6"/>
      <c r="E4" s="6"/>
      <c r="F4" s="6"/>
      <c r="G4" s="6"/>
      <c r="H4" s="6"/>
      <c r="I4" s="6"/>
      <c r="J4" s="6"/>
      <c r="K4" s="6"/>
      <c r="L4" s="6"/>
      <c r="M4" s="6"/>
      <c r="N4" s="6"/>
      <c r="O4" s="6"/>
      <c r="P4" s="6"/>
      <c r="Q4" s="6"/>
      <c r="R4" s="6"/>
      <c r="S4" s="6"/>
      <c r="T4" s="6"/>
      <c r="U4" s="6"/>
      <c r="V4" s="6"/>
    </row>
    <row r="5" spans="1:22">
      <c r="A5" s="6"/>
      <c r="B5" s="6"/>
      <c r="C5" s="6"/>
      <c r="D5" s="6"/>
      <c r="E5" s="6"/>
      <c r="F5" s="6"/>
      <c r="G5" s="6"/>
      <c r="H5" s="6"/>
      <c r="I5" s="6"/>
      <c r="J5" s="6"/>
      <c r="K5" s="6"/>
      <c r="L5" s="6"/>
      <c r="M5" s="6"/>
      <c r="N5" s="6"/>
      <c r="O5" s="6"/>
      <c r="P5" s="6"/>
      <c r="Q5" s="6"/>
      <c r="R5" s="6"/>
      <c r="S5" s="6"/>
      <c r="T5" s="6"/>
      <c r="U5" s="6"/>
      <c r="V5" s="6"/>
    </row>
    <row r="6" spans="1:22">
      <c r="A6" s="6"/>
      <c r="B6" s="6"/>
      <c r="C6" s="6"/>
      <c r="D6" s="6"/>
      <c r="E6" s="6"/>
      <c r="F6" s="6"/>
      <c r="G6" s="6"/>
      <c r="H6" s="6"/>
      <c r="I6" s="6"/>
      <c r="J6" s="6"/>
      <c r="K6" s="6"/>
      <c r="L6" s="6"/>
      <c r="M6" s="6"/>
      <c r="N6" s="6"/>
      <c r="O6" s="6"/>
      <c r="P6" s="6"/>
      <c r="Q6" s="6"/>
      <c r="R6" s="6"/>
      <c r="S6" s="6"/>
      <c r="T6" s="6"/>
      <c r="U6" s="6"/>
      <c r="V6" s="6"/>
    </row>
    <row r="7" spans="1:22">
      <c r="A7" s="19" t="s">
        <v>420</v>
      </c>
      <c r="B7" s="20"/>
      <c r="C7" s="20"/>
      <c r="D7" s="19" t="s">
        <v>678</v>
      </c>
      <c r="E7" s="20"/>
      <c r="F7" s="19" t="s">
        <v>181</v>
      </c>
      <c r="G7" s="20"/>
      <c r="H7" s="20"/>
      <c r="I7" s="20"/>
      <c r="J7" s="19" t="s">
        <v>182</v>
      </c>
      <c r="K7" s="20"/>
      <c r="L7" s="20"/>
      <c r="M7" s="19" t="s">
        <v>421</v>
      </c>
      <c r="N7" s="20"/>
      <c r="O7" s="20"/>
      <c r="P7" s="20"/>
      <c r="Q7" s="19" t="s">
        <v>422</v>
      </c>
      <c r="R7" s="20"/>
      <c r="S7" s="20"/>
      <c r="T7" s="20"/>
      <c r="U7" s="20"/>
      <c r="V7" s="19" t="s">
        <v>423</v>
      </c>
    </row>
    <row r="8" spans="1:22">
      <c r="A8" s="6"/>
      <c r="B8" s="6"/>
      <c r="C8" s="6"/>
      <c r="D8" s="6"/>
      <c r="E8" s="6"/>
      <c r="F8" s="8"/>
      <c r="G8" s="6"/>
      <c r="H8" s="6"/>
      <c r="I8" s="6"/>
      <c r="J8" s="6"/>
      <c r="K8" s="6"/>
      <c r="L8" s="6"/>
      <c r="M8" s="6"/>
      <c r="N8" s="6"/>
      <c r="O8" s="6"/>
      <c r="P8" s="6"/>
      <c r="Q8" s="6"/>
      <c r="R8" s="6"/>
      <c r="S8" s="6"/>
      <c r="T8" s="6"/>
      <c r="U8" s="6"/>
      <c r="V8" s="6"/>
    </row>
    <row r="9" spans="1:22">
      <c r="A9" s="22" t="s">
        <v>424</v>
      </c>
      <c r="B9" s="1151">
        <v>10</v>
      </c>
      <c r="C9" s="6"/>
      <c r="D9" s="32"/>
      <c r="E9" s="5"/>
      <c r="F9" s="22"/>
      <c r="G9" s="6"/>
      <c r="H9" s="11"/>
      <c r="I9" s="6"/>
      <c r="J9" s="22"/>
      <c r="K9" s="6"/>
      <c r="L9" s="6"/>
      <c r="M9" s="16"/>
      <c r="N9" s="6"/>
      <c r="O9" s="6"/>
      <c r="P9" s="6"/>
      <c r="Q9" s="16"/>
      <c r="R9" s="6"/>
      <c r="S9" s="6"/>
      <c r="T9" s="6"/>
      <c r="U9" s="6"/>
      <c r="V9" s="6"/>
    </row>
    <row r="10" spans="1:22">
      <c r="A10" s="22" t="s">
        <v>425</v>
      </c>
      <c r="B10" s="1151">
        <v>8</v>
      </c>
      <c r="C10" s="6"/>
      <c r="D10" s="27"/>
      <c r="E10" s="6"/>
      <c r="F10" s="22" t="s">
        <v>411</v>
      </c>
      <c r="G10" s="10"/>
      <c r="H10" s="27">
        <v>0</v>
      </c>
      <c r="I10" s="6"/>
      <c r="J10" s="22"/>
      <c r="K10" s="6"/>
      <c r="L10" s="6"/>
      <c r="M10" s="23" t="s">
        <v>411</v>
      </c>
      <c r="N10" s="10"/>
      <c r="O10" s="27">
        <v>15</v>
      </c>
      <c r="P10" s="6"/>
      <c r="Q10" s="16"/>
      <c r="R10" s="6"/>
      <c r="S10" s="6"/>
      <c r="T10" s="6"/>
      <c r="U10" s="6"/>
      <c r="V10" s="6"/>
    </row>
    <row r="11" spans="1:22">
      <c r="A11" s="22" t="s">
        <v>426</v>
      </c>
      <c r="B11" s="1151">
        <v>10</v>
      </c>
      <c r="C11" s="6"/>
      <c r="D11" s="32"/>
      <c r="E11" s="5"/>
      <c r="F11" s="22"/>
      <c r="G11" s="6"/>
      <c r="H11" s="30"/>
      <c r="I11" s="6"/>
      <c r="J11" s="22"/>
      <c r="K11" s="6"/>
      <c r="L11" s="6"/>
      <c r="M11" s="16"/>
      <c r="N11" s="6"/>
      <c r="O11" s="28"/>
      <c r="P11" s="6"/>
      <c r="Q11" s="16"/>
      <c r="R11" s="6"/>
      <c r="S11" s="6"/>
      <c r="T11" s="6"/>
      <c r="U11" s="6"/>
      <c r="V11" s="6"/>
    </row>
    <row r="12" spans="1:22">
      <c r="A12" s="22" t="s">
        <v>427</v>
      </c>
      <c r="B12" s="1151">
        <v>12</v>
      </c>
      <c r="C12" s="6"/>
      <c r="D12" s="32"/>
      <c r="E12" s="5"/>
      <c r="F12" s="22"/>
      <c r="G12" s="6"/>
      <c r="H12" s="30"/>
      <c r="I12" s="6"/>
      <c r="J12" s="22"/>
      <c r="K12" s="6"/>
      <c r="L12" s="6"/>
      <c r="M12" s="16"/>
      <c r="N12" s="6"/>
      <c r="O12" s="28"/>
      <c r="P12" s="6"/>
      <c r="Q12" s="24" t="s">
        <v>412</v>
      </c>
      <c r="R12" s="6"/>
      <c r="S12" s="27">
        <v>143</v>
      </c>
      <c r="T12" s="6"/>
      <c r="U12" s="6"/>
      <c r="V12" s="6"/>
    </row>
    <row r="13" spans="1:22">
      <c r="A13" s="22"/>
      <c r="B13" s="30"/>
      <c r="C13" s="6"/>
      <c r="D13" s="30"/>
      <c r="E13" s="6"/>
      <c r="F13" s="22"/>
      <c r="G13" s="6"/>
      <c r="H13" s="30"/>
      <c r="I13" s="6"/>
      <c r="J13" s="22"/>
      <c r="K13" s="6"/>
      <c r="L13" s="6"/>
      <c r="M13" s="16"/>
      <c r="N13" s="6"/>
      <c r="O13" s="28"/>
      <c r="P13" s="6"/>
      <c r="Q13" s="16"/>
      <c r="R13" s="6"/>
      <c r="S13" s="28"/>
      <c r="T13" s="6"/>
      <c r="U13" s="6"/>
      <c r="V13" s="6"/>
    </row>
    <row r="14" spans="1:22">
      <c r="A14" s="22"/>
      <c r="B14" s="30"/>
      <c r="C14" s="6"/>
      <c r="D14" s="30"/>
      <c r="E14" s="6"/>
      <c r="F14" s="22"/>
      <c r="G14" s="6"/>
      <c r="H14" s="30"/>
      <c r="I14" s="6"/>
      <c r="J14" s="22"/>
      <c r="K14" s="6"/>
      <c r="L14" s="6"/>
      <c r="M14" s="16"/>
      <c r="N14" s="6"/>
      <c r="O14" s="28"/>
      <c r="P14" s="6"/>
      <c r="Q14" s="16"/>
      <c r="R14" s="6"/>
      <c r="S14" s="28"/>
      <c r="T14" s="6"/>
      <c r="U14" s="6"/>
      <c r="V14" s="6"/>
    </row>
    <row r="15" spans="1:22">
      <c r="A15" s="22" t="s">
        <v>428</v>
      </c>
      <c r="B15" s="1151">
        <v>10</v>
      </c>
      <c r="C15" s="10"/>
      <c r="D15" s="32"/>
      <c r="E15" s="6"/>
      <c r="F15" s="22" t="s">
        <v>429</v>
      </c>
      <c r="G15" s="10"/>
      <c r="H15" s="27">
        <v>8</v>
      </c>
      <c r="I15" s="6"/>
      <c r="J15" s="22"/>
      <c r="K15" s="6"/>
      <c r="L15" s="6"/>
      <c r="M15" s="16"/>
      <c r="N15" s="6"/>
      <c r="O15" s="28"/>
      <c r="P15" s="6"/>
      <c r="Q15" s="25">
        <v>16</v>
      </c>
      <c r="R15" s="6"/>
      <c r="S15" s="28"/>
      <c r="T15" s="6"/>
      <c r="U15" s="6"/>
      <c r="V15" s="6"/>
    </row>
    <row r="16" spans="1:22">
      <c r="A16" s="22"/>
      <c r="B16" s="32"/>
      <c r="C16" s="10"/>
      <c r="D16" s="22" t="s">
        <v>430</v>
      </c>
      <c r="E16" s="32">
        <v>12</v>
      </c>
      <c r="F16" s="22"/>
      <c r="G16" s="10"/>
      <c r="H16" s="27"/>
      <c r="I16" s="6"/>
      <c r="J16" s="22"/>
      <c r="K16" s="6"/>
      <c r="L16" s="6"/>
      <c r="M16" s="16"/>
      <c r="N16" s="6"/>
      <c r="O16" s="28"/>
      <c r="P16" s="6"/>
      <c r="Q16" s="26"/>
      <c r="R16" s="6"/>
      <c r="S16" s="28"/>
      <c r="T16" s="6"/>
      <c r="U16" s="6"/>
      <c r="V16" s="6"/>
    </row>
    <row r="17" spans="1:22">
      <c r="A17" s="22"/>
      <c r="B17" s="30"/>
      <c r="C17" s="6"/>
      <c r="D17" s="30"/>
      <c r="E17" s="6"/>
      <c r="F17" s="22" t="s">
        <v>431</v>
      </c>
      <c r="G17" s="10"/>
      <c r="H17" s="27">
        <v>6</v>
      </c>
      <c r="I17" s="6"/>
      <c r="J17" s="22"/>
      <c r="K17" s="6"/>
      <c r="L17" s="6"/>
      <c r="M17" s="16"/>
      <c r="N17" s="6"/>
      <c r="O17" s="28"/>
      <c r="P17" s="6"/>
      <c r="Q17" s="16"/>
      <c r="R17" s="6"/>
      <c r="S17" s="28"/>
      <c r="T17" s="6"/>
      <c r="U17" s="6"/>
      <c r="V17" s="6"/>
    </row>
    <row r="18" spans="1:22">
      <c r="A18" s="22"/>
      <c r="B18" s="30"/>
      <c r="C18" s="6"/>
      <c r="D18" s="30"/>
      <c r="E18" s="6"/>
      <c r="F18" s="17"/>
      <c r="H18" s="31"/>
      <c r="I18" s="6"/>
      <c r="J18" s="22" t="s">
        <v>1423</v>
      </c>
      <c r="K18" s="7"/>
      <c r="L18" s="27">
        <v>1</v>
      </c>
      <c r="M18" s="16"/>
      <c r="N18" s="6"/>
      <c r="O18" s="28"/>
      <c r="P18" s="6"/>
      <c r="Q18" s="22" t="s">
        <v>432</v>
      </c>
      <c r="R18" s="6"/>
      <c r="S18" s="27">
        <v>127</v>
      </c>
      <c r="T18" s="6"/>
      <c r="U18" s="6"/>
      <c r="V18" s="21" t="s">
        <v>433</v>
      </c>
    </row>
    <row r="19" spans="1:22">
      <c r="A19" s="22"/>
      <c r="B19" s="30"/>
      <c r="C19" s="6"/>
      <c r="D19" s="24" t="s">
        <v>427</v>
      </c>
      <c r="E19" s="32">
        <v>10</v>
      </c>
      <c r="F19" s="235"/>
      <c r="H19" s="31"/>
      <c r="I19" s="6"/>
      <c r="J19" s="22"/>
      <c r="K19" s="7"/>
      <c r="L19" s="27"/>
      <c r="M19" s="16"/>
      <c r="N19" s="6"/>
      <c r="O19" s="28"/>
      <c r="P19" s="6"/>
      <c r="Q19" s="22"/>
      <c r="R19" s="6"/>
      <c r="S19" s="27"/>
      <c r="T19" s="6"/>
      <c r="U19" s="6"/>
      <c r="V19" s="21"/>
    </row>
    <row r="20" spans="1:22">
      <c r="A20" s="22"/>
      <c r="B20" s="30"/>
      <c r="C20" s="6"/>
      <c r="D20" s="30"/>
      <c r="E20" s="6"/>
      <c r="F20" s="22"/>
      <c r="G20" s="6"/>
      <c r="H20" s="30"/>
      <c r="I20" s="6"/>
      <c r="J20" s="22" t="s">
        <v>1424</v>
      </c>
      <c r="K20" s="6"/>
      <c r="L20" s="27">
        <v>2</v>
      </c>
      <c r="M20" s="16"/>
      <c r="N20" s="6"/>
      <c r="O20" s="28"/>
      <c r="P20" s="6"/>
      <c r="Q20" s="16"/>
      <c r="R20" s="6"/>
      <c r="S20" s="30"/>
      <c r="T20" s="6"/>
      <c r="U20" s="6"/>
      <c r="V20" s="6"/>
    </row>
    <row r="21" spans="1:22">
      <c r="A21" s="22"/>
      <c r="B21" s="30"/>
      <c r="C21" s="6"/>
      <c r="D21" s="30"/>
      <c r="E21" s="6"/>
      <c r="F21" s="22" t="s">
        <v>434</v>
      </c>
      <c r="G21" s="10"/>
      <c r="H21" s="32">
        <v>12</v>
      </c>
      <c r="I21" s="6"/>
      <c r="J21" s="22"/>
      <c r="K21" s="6"/>
      <c r="L21" s="29"/>
      <c r="M21" s="16"/>
      <c r="N21" s="6"/>
      <c r="O21" s="28"/>
      <c r="P21" s="6"/>
      <c r="Q21" s="16"/>
      <c r="R21" s="6"/>
      <c r="S21" s="30"/>
      <c r="T21" s="6"/>
      <c r="U21" s="6"/>
      <c r="V21" s="6"/>
    </row>
    <row r="22" spans="1:22">
      <c r="A22" s="22"/>
      <c r="B22" s="30"/>
      <c r="C22" s="6"/>
      <c r="D22" s="30"/>
      <c r="E22" s="6"/>
      <c r="F22" s="22"/>
      <c r="G22" s="6"/>
      <c r="H22" s="29"/>
      <c r="I22" s="6"/>
      <c r="J22" s="22"/>
      <c r="K22" s="6"/>
      <c r="L22" s="29"/>
      <c r="M22" s="16"/>
      <c r="N22" s="6"/>
      <c r="O22" s="28"/>
      <c r="P22" s="6"/>
      <c r="Q22" s="16"/>
      <c r="R22" s="6"/>
      <c r="S22" s="30"/>
      <c r="T22" s="6"/>
      <c r="U22" s="6"/>
      <c r="V22" s="6"/>
    </row>
    <row r="23" spans="1:22">
      <c r="A23" s="22"/>
      <c r="B23" s="30"/>
      <c r="C23" s="6"/>
      <c r="D23" s="30"/>
      <c r="E23" s="6"/>
      <c r="F23" s="22"/>
      <c r="G23" s="6"/>
      <c r="H23" s="30"/>
      <c r="I23" s="6"/>
      <c r="J23" s="22"/>
      <c r="K23" s="6"/>
      <c r="L23" s="29"/>
      <c r="M23" s="16"/>
      <c r="N23" s="6"/>
      <c r="O23" s="28"/>
      <c r="P23" s="6"/>
      <c r="Q23" s="16"/>
      <c r="R23" s="6"/>
      <c r="S23" s="30"/>
      <c r="T23" s="6"/>
      <c r="U23" s="6"/>
      <c r="V23" s="6"/>
    </row>
    <row r="24" spans="1:22">
      <c r="A24" s="22"/>
      <c r="B24" s="32"/>
      <c r="C24" s="6"/>
      <c r="D24" s="22" t="s">
        <v>435</v>
      </c>
      <c r="E24" s="32">
        <v>13</v>
      </c>
      <c r="F24" s="22" t="s">
        <v>436</v>
      </c>
      <c r="G24" s="10"/>
      <c r="H24" s="27">
        <v>8</v>
      </c>
      <c r="I24" s="10"/>
      <c r="J24" s="22" t="s">
        <v>437</v>
      </c>
      <c r="K24" s="10"/>
      <c r="L24" s="27">
        <v>0</v>
      </c>
      <c r="M24" s="22" t="s">
        <v>437</v>
      </c>
      <c r="N24" s="10"/>
      <c r="O24" s="27">
        <v>30</v>
      </c>
      <c r="P24" s="6"/>
      <c r="Q24" s="16"/>
      <c r="R24" s="6"/>
      <c r="S24" s="27">
        <v>100</v>
      </c>
      <c r="T24" s="6"/>
      <c r="U24" s="6"/>
      <c r="V24" s="6"/>
    </row>
    <row r="25" spans="1:22">
      <c r="A25" s="22"/>
      <c r="B25" s="30"/>
      <c r="C25" s="6"/>
      <c r="D25" s="30"/>
      <c r="E25" s="6"/>
      <c r="F25" s="22"/>
      <c r="G25" s="6"/>
      <c r="H25" s="30"/>
      <c r="I25" s="6"/>
      <c r="J25" s="22"/>
      <c r="K25" s="6"/>
      <c r="L25" s="30"/>
      <c r="M25" s="6"/>
      <c r="N25" s="6"/>
      <c r="O25" s="6"/>
      <c r="P25" s="6"/>
      <c r="Q25" s="16"/>
      <c r="R25" s="6"/>
      <c r="S25" s="11"/>
      <c r="T25" s="6"/>
      <c r="U25" s="6"/>
      <c r="V25" s="6"/>
    </row>
    <row r="26" spans="1:22">
      <c r="A26" s="22"/>
      <c r="B26" s="30"/>
      <c r="C26" s="6"/>
      <c r="D26" s="30"/>
      <c r="E26" s="6"/>
      <c r="F26" s="22"/>
      <c r="G26" s="6"/>
      <c r="H26" s="30"/>
      <c r="I26" s="6"/>
      <c r="J26" s="22"/>
      <c r="K26" s="6"/>
      <c r="L26" s="30"/>
      <c r="M26" s="6"/>
      <c r="N26" s="6"/>
      <c r="O26" s="6"/>
      <c r="P26" s="6"/>
      <c r="Q26" s="16"/>
      <c r="R26" s="6"/>
      <c r="S26" s="6"/>
      <c r="T26" s="6"/>
      <c r="U26" s="6"/>
      <c r="V26" s="6"/>
    </row>
    <row r="27" spans="1:22">
      <c r="A27" s="22" t="s">
        <v>438</v>
      </c>
      <c r="B27" s="1151">
        <v>30</v>
      </c>
      <c r="C27" s="6"/>
      <c r="D27" s="32"/>
      <c r="E27" s="6"/>
      <c r="F27" s="22"/>
      <c r="G27" s="6"/>
      <c r="H27" s="30"/>
      <c r="I27" s="6"/>
      <c r="J27" s="22" t="s">
        <v>1426</v>
      </c>
      <c r="K27" s="7"/>
      <c r="L27" s="27">
        <v>1</v>
      </c>
      <c r="M27" s="6"/>
      <c r="N27" s="6"/>
      <c r="O27" s="6"/>
      <c r="P27" s="6"/>
      <c r="Q27" s="16"/>
      <c r="R27" s="6"/>
      <c r="S27" s="6"/>
      <c r="T27" s="6"/>
      <c r="U27" s="6"/>
      <c r="V27" s="6"/>
    </row>
    <row r="28" spans="1:22">
      <c r="A28" s="22"/>
      <c r="B28" s="30"/>
      <c r="C28" s="6"/>
      <c r="D28" s="22" t="s">
        <v>442</v>
      </c>
      <c r="E28" s="27">
        <v>1</v>
      </c>
      <c r="F28" s="16"/>
      <c r="G28" s="6"/>
      <c r="H28" s="30"/>
      <c r="I28" s="6"/>
      <c r="J28" s="22"/>
      <c r="K28" s="6"/>
      <c r="L28" s="30"/>
      <c r="M28" s="6"/>
      <c r="N28" s="6"/>
      <c r="O28" s="6"/>
      <c r="P28" s="6"/>
      <c r="Q28" s="16"/>
      <c r="R28" s="6"/>
      <c r="S28" s="6"/>
      <c r="T28" s="6"/>
      <c r="U28" s="6"/>
      <c r="V28" s="6"/>
    </row>
    <row r="29" spans="1:22">
      <c r="A29" s="22"/>
      <c r="B29" s="30"/>
      <c r="C29" s="6"/>
      <c r="D29" s="30"/>
      <c r="E29" s="6"/>
      <c r="F29" s="16"/>
      <c r="G29" s="6"/>
      <c r="H29" s="30"/>
      <c r="I29" s="6"/>
      <c r="J29" s="22"/>
      <c r="K29" s="6"/>
      <c r="L29" s="30"/>
      <c r="M29" s="6"/>
      <c r="N29" s="6"/>
      <c r="O29" s="6"/>
      <c r="P29" s="6"/>
      <c r="Q29" s="16"/>
      <c r="R29" s="6"/>
      <c r="S29" s="6"/>
      <c r="T29" s="6"/>
      <c r="U29" s="6"/>
      <c r="V29" s="6"/>
    </row>
    <row r="30" spans="1:22">
      <c r="A30" s="22"/>
      <c r="B30" s="30"/>
      <c r="C30" s="6"/>
      <c r="D30" s="30"/>
      <c r="E30" s="6"/>
      <c r="F30" s="16"/>
      <c r="G30" s="6"/>
      <c r="H30" s="30"/>
      <c r="I30" s="6"/>
      <c r="J30" s="22" t="s">
        <v>1425</v>
      </c>
      <c r="K30" s="7"/>
      <c r="L30" s="27">
        <v>0</v>
      </c>
      <c r="M30" s="6"/>
      <c r="N30" s="6"/>
      <c r="O30" s="6"/>
      <c r="P30" s="6"/>
      <c r="Q30" s="16"/>
      <c r="R30" s="6"/>
      <c r="S30" s="6"/>
      <c r="T30" s="6"/>
      <c r="U30" s="6"/>
      <c r="V30" s="6"/>
    </row>
    <row r="31" spans="1:22">
      <c r="A31" s="22"/>
      <c r="B31" s="30"/>
      <c r="C31" s="6"/>
      <c r="D31" s="30"/>
      <c r="E31" s="6"/>
      <c r="F31" s="16"/>
      <c r="G31" s="6"/>
      <c r="H31" s="30"/>
      <c r="I31" s="6"/>
      <c r="K31" s="6"/>
      <c r="L31" s="30"/>
      <c r="M31" s="6"/>
      <c r="N31" s="6"/>
      <c r="O31" s="6"/>
      <c r="P31" s="6"/>
      <c r="Q31" s="16"/>
      <c r="R31" s="6"/>
      <c r="S31" s="6"/>
      <c r="T31" s="6"/>
      <c r="U31" s="6"/>
      <c r="V31" s="6"/>
    </row>
    <row r="32" spans="1:22">
      <c r="A32" s="22" t="s">
        <v>439</v>
      </c>
      <c r="B32" s="27">
        <v>3</v>
      </c>
      <c r="C32" s="6"/>
      <c r="D32" s="27"/>
      <c r="E32" s="6"/>
      <c r="F32" s="22" t="s">
        <v>440</v>
      </c>
      <c r="G32" s="10"/>
      <c r="H32" s="27">
        <v>4</v>
      </c>
      <c r="I32" s="8"/>
      <c r="K32" s="6"/>
      <c r="L32" s="30"/>
      <c r="M32" s="6"/>
      <c r="N32" s="6"/>
      <c r="O32" s="6"/>
      <c r="Q32" s="17"/>
      <c r="U32" s="6"/>
      <c r="V32" s="6"/>
    </row>
    <row r="33" spans="1:22">
      <c r="A33" s="16"/>
      <c r="B33" s="30"/>
      <c r="C33" s="6"/>
      <c r="D33" s="30"/>
      <c r="E33" s="6"/>
      <c r="F33" s="16"/>
      <c r="G33" s="6"/>
      <c r="H33" s="30"/>
      <c r="I33" s="6"/>
      <c r="K33" s="6"/>
      <c r="L33" s="30"/>
      <c r="M33" s="6"/>
      <c r="N33" s="6"/>
      <c r="O33" s="6"/>
      <c r="P33" s="6"/>
      <c r="Q33" s="16"/>
      <c r="R33" s="6"/>
      <c r="S33" s="6"/>
      <c r="T33" s="6"/>
      <c r="U33" s="6"/>
      <c r="V33" s="6"/>
    </row>
    <row r="34" spans="1:22">
      <c r="A34" s="16"/>
      <c r="B34" s="30"/>
      <c r="C34" s="6"/>
      <c r="D34" s="30"/>
      <c r="E34" s="6"/>
      <c r="F34" s="16"/>
      <c r="G34" s="6"/>
      <c r="H34" s="30"/>
      <c r="I34" s="6"/>
      <c r="K34" s="6"/>
      <c r="L34" s="30"/>
      <c r="M34" s="6"/>
      <c r="N34" s="6"/>
      <c r="O34" s="6"/>
      <c r="P34" s="6"/>
      <c r="Q34" s="16"/>
      <c r="R34" s="6"/>
      <c r="S34" s="6"/>
      <c r="T34" s="6"/>
      <c r="U34" s="6"/>
      <c r="V34" s="6"/>
    </row>
    <row r="35" spans="1:22">
      <c r="A35" s="22"/>
      <c r="C35" s="6"/>
      <c r="D35" s="22" t="s">
        <v>441</v>
      </c>
      <c r="E35" s="27">
        <v>8</v>
      </c>
      <c r="F35" s="22"/>
      <c r="G35" s="8"/>
      <c r="H35" s="30"/>
      <c r="I35" s="6"/>
      <c r="P35" s="6"/>
      <c r="Q35" s="22" t="s">
        <v>442</v>
      </c>
      <c r="R35" s="6"/>
      <c r="S35" s="27">
        <v>145</v>
      </c>
      <c r="T35" s="6"/>
      <c r="U35" s="6"/>
      <c r="V35" s="6"/>
    </row>
    <row r="36" spans="1:22">
      <c r="A36" s="22" t="s">
        <v>443</v>
      </c>
      <c r="B36" s="27">
        <v>4</v>
      </c>
      <c r="C36" s="6"/>
      <c r="D36" s="27"/>
      <c r="E36" s="8"/>
      <c r="F36" s="22" t="s">
        <v>444</v>
      </c>
      <c r="G36" s="10"/>
      <c r="H36" s="27">
        <v>5</v>
      </c>
      <c r="I36" s="6"/>
      <c r="K36" s="6"/>
      <c r="M36" s="6"/>
      <c r="N36" s="6"/>
      <c r="O36" s="6"/>
      <c r="P36" s="6"/>
      <c r="Q36" s="6"/>
      <c r="R36" s="6"/>
      <c r="S36" s="6"/>
      <c r="T36" s="6"/>
      <c r="U36" s="6"/>
      <c r="V36" s="6"/>
    </row>
    <row r="37" spans="1:22">
      <c r="A37" s="22" t="s">
        <v>445</v>
      </c>
      <c r="B37" s="27">
        <v>15</v>
      </c>
      <c r="C37" s="6"/>
      <c r="D37" s="27"/>
      <c r="E37" s="8"/>
      <c r="F37" s="22"/>
      <c r="G37" s="8"/>
      <c r="H37" s="30"/>
      <c r="I37" s="6"/>
      <c r="J37" s="6"/>
      <c r="K37" s="6"/>
      <c r="L37" s="6"/>
      <c r="M37" s="6"/>
      <c r="N37" s="6"/>
      <c r="O37" s="6"/>
      <c r="P37" s="6"/>
      <c r="Q37" s="6"/>
      <c r="R37" s="6"/>
      <c r="S37" s="6"/>
      <c r="T37" s="6"/>
      <c r="U37" s="6"/>
      <c r="V37" s="6"/>
    </row>
    <row r="38" spans="1:22">
      <c r="A38" s="22" t="s">
        <v>446</v>
      </c>
      <c r="B38" s="27">
        <v>29</v>
      </c>
      <c r="C38" s="6"/>
      <c r="D38" s="27"/>
      <c r="E38" s="8"/>
      <c r="F38" s="22"/>
      <c r="G38" s="8"/>
      <c r="H38" s="30"/>
      <c r="I38" s="6"/>
      <c r="J38" s="6"/>
      <c r="K38" s="6"/>
      <c r="L38" s="6"/>
      <c r="M38" s="6"/>
      <c r="N38" s="6"/>
      <c r="O38" s="6"/>
      <c r="P38" s="6"/>
      <c r="Q38" s="6"/>
      <c r="R38" s="6"/>
      <c r="S38" s="6"/>
      <c r="T38" s="6"/>
      <c r="U38" s="6"/>
      <c r="V38" s="6"/>
    </row>
    <row r="39" spans="1:22">
      <c r="A39" s="8"/>
      <c r="B39" s="8"/>
      <c r="C39" s="8"/>
      <c r="D39" s="8"/>
      <c r="E39" s="8"/>
      <c r="F39" s="22" t="s">
        <v>447</v>
      </c>
      <c r="G39" s="10"/>
      <c r="H39" s="27">
        <v>9</v>
      </c>
      <c r="I39" s="8"/>
      <c r="J39" s="6"/>
      <c r="K39" s="6"/>
      <c r="L39" s="6"/>
      <c r="M39" s="6"/>
      <c r="N39" s="6"/>
      <c r="O39" s="6"/>
      <c r="P39" s="6"/>
      <c r="Q39" s="6"/>
      <c r="R39" s="6"/>
      <c r="S39" s="6"/>
      <c r="T39" s="6"/>
      <c r="U39" s="6"/>
      <c r="V39" s="6"/>
    </row>
    <row r="43" spans="1:22">
      <c r="F43" s="1186"/>
    </row>
    <row r="44" spans="1:22">
      <c r="F44" s="1186"/>
    </row>
  </sheetData>
  <phoneticPr fontId="0" type="noConversion"/>
  <pageMargins left="1.1811023622047245" right="0.78740157480314965" top="0.78740157480314965" bottom="0.98425196850393704" header="0.51181102362204722" footer="0.51181102362204722"/>
  <pageSetup paperSize="5" scale="90" fitToHeight="29" orientation="landscape" horizontalDpi="300" verticalDpi="300"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workbookViewId="0">
      <selection activeCell="K11" sqref="K11"/>
    </sheetView>
  </sheetViews>
  <sheetFormatPr baseColWidth="10" defaultRowHeight="12.75"/>
  <cols>
    <col min="1" max="1" width="20.28515625" customWidth="1"/>
    <col min="5" max="7" width="12.7109375" customWidth="1"/>
    <col min="9" max="9" width="14.140625" customWidth="1"/>
  </cols>
  <sheetData>
    <row r="1" spans="1:10" ht="15.75">
      <c r="A1" s="1449" t="s">
        <v>1418</v>
      </c>
      <c r="B1" s="1449"/>
      <c r="C1" s="1449"/>
      <c r="D1" s="1449"/>
      <c r="E1" s="1449"/>
      <c r="F1" s="1449"/>
      <c r="G1" s="1449"/>
      <c r="H1" s="1449"/>
      <c r="I1" s="1449"/>
      <c r="J1" s="1449"/>
    </row>
    <row r="2" spans="1:10">
      <c r="A2" s="617"/>
      <c r="B2" s="617"/>
      <c r="C2" s="617"/>
      <c r="D2" s="617"/>
      <c r="E2" s="617"/>
      <c r="F2" s="617"/>
      <c r="G2" s="617"/>
      <c r="H2" s="617"/>
      <c r="I2" s="617"/>
      <c r="J2" s="617"/>
    </row>
    <row r="3" spans="1:10">
      <c r="A3" s="618"/>
      <c r="B3" s="619"/>
      <c r="C3" s="619"/>
      <c r="D3" s="619"/>
      <c r="E3" s="619"/>
      <c r="F3" s="619"/>
      <c r="G3" s="619"/>
      <c r="H3" s="619"/>
      <c r="I3" s="619"/>
      <c r="J3" s="619"/>
    </row>
    <row r="4" spans="1:10" ht="29.25" customHeight="1">
      <c r="A4" s="620" t="s">
        <v>1168</v>
      </c>
      <c r="B4" s="621" t="s">
        <v>1169</v>
      </c>
      <c r="C4" s="621" t="s">
        <v>1258</v>
      </c>
      <c r="D4" s="621" t="s">
        <v>1170</v>
      </c>
      <c r="E4" s="621" t="s">
        <v>1171</v>
      </c>
      <c r="F4" s="621" t="s">
        <v>1280</v>
      </c>
      <c r="G4" s="621" t="s">
        <v>1281</v>
      </c>
      <c r="H4" s="622" t="s">
        <v>535</v>
      </c>
      <c r="I4" s="1450" t="s">
        <v>1172</v>
      </c>
      <c r="J4" s="1451"/>
    </row>
    <row r="5" spans="1:10" ht="21.75" customHeight="1">
      <c r="A5" s="623" t="s">
        <v>1173</v>
      </c>
      <c r="B5" s="624">
        <f>+[32]A19b!$B$10</f>
        <v>531</v>
      </c>
      <c r="C5" s="624">
        <f>+[32]A19b!$B$22</f>
        <v>21129</v>
      </c>
      <c r="D5" s="624">
        <f>+[32]A19b!$B$23</f>
        <v>43</v>
      </c>
      <c r="E5" s="624">
        <f>+[32]A19b!$B$24</f>
        <v>294</v>
      </c>
      <c r="F5" s="624">
        <f>+[32]A19b!$B$25</f>
        <v>81</v>
      </c>
      <c r="G5" s="624">
        <f>+[32]A19b!$B$26</f>
        <v>15</v>
      </c>
      <c r="H5" s="624">
        <f>SUM(B5:G5)</f>
        <v>22093</v>
      </c>
      <c r="I5" s="624">
        <f>+[32]A19b!$E$10+[32]A19b!$F$10</f>
        <v>516</v>
      </c>
      <c r="J5" s="625">
        <f>+I5/B5*100</f>
        <v>97.175141242937855</v>
      </c>
    </row>
    <row r="6" spans="1:10" ht="21.75" customHeight="1">
      <c r="A6" s="623" t="s">
        <v>1174</v>
      </c>
      <c r="B6" s="624">
        <f>+[12]A19b!$B$10</f>
        <v>97</v>
      </c>
      <c r="C6" s="624">
        <f>+[12]A19b!$B$22</f>
        <v>9338</v>
      </c>
      <c r="D6" s="624">
        <f>+[12]A19b!$B$23</f>
        <v>8</v>
      </c>
      <c r="E6" s="624">
        <f>+[12]A19b!$B$24</f>
        <v>45</v>
      </c>
      <c r="F6" s="624">
        <f>+[12]A19b!$B$25</f>
        <v>77</v>
      </c>
      <c r="G6" s="624">
        <f>+[12]A19b!$B$26</f>
        <v>0</v>
      </c>
      <c r="H6" s="624">
        <f t="shared" ref="H6:H23" si="0">SUM(B6:G6)</f>
        <v>9565</v>
      </c>
      <c r="I6" s="624">
        <f>+[12]A19b!$E$10+[12]A19b!$F$10</f>
        <v>92</v>
      </c>
      <c r="J6" s="625">
        <f t="shared" ref="J6:J24" si="1">+I6/B6*100</f>
        <v>94.845360824742258</v>
      </c>
    </row>
    <row r="7" spans="1:10" ht="21.75" customHeight="1">
      <c r="A7" s="623" t="s">
        <v>1175</v>
      </c>
      <c r="B7" s="624">
        <f>+[9]A19b!$B$10</f>
        <v>139</v>
      </c>
      <c r="C7" s="624">
        <f>+[9]A19b!$B$22</f>
        <v>13629</v>
      </c>
      <c r="D7" s="624">
        <f>+[9]A19b!$B$23</f>
        <v>13</v>
      </c>
      <c r="E7" s="624">
        <f>+[9]A19b!$B$24</f>
        <v>86</v>
      </c>
      <c r="F7" s="624">
        <f>+[9]A19b!$B$25</f>
        <v>213</v>
      </c>
      <c r="G7" s="624">
        <f>+[9]A19b!$B$26</f>
        <v>0</v>
      </c>
      <c r="H7" s="624">
        <f t="shared" si="0"/>
        <v>14080</v>
      </c>
      <c r="I7" s="624">
        <f>+[9]A19b!$E$10+[9]A19b!$F$10</f>
        <v>139</v>
      </c>
      <c r="J7" s="625">
        <f t="shared" si="1"/>
        <v>100</v>
      </c>
    </row>
    <row r="8" spans="1:10" ht="21.75" customHeight="1">
      <c r="A8" s="623" t="s">
        <v>1176</v>
      </c>
      <c r="B8" s="624">
        <f>+[13]A19b!$B$10</f>
        <v>24</v>
      </c>
      <c r="C8" s="624">
        <f>+[13]A19b!$B$22</f>
        <v>3301</v>
      </c>
      <c r="D8" s="624">
        <f>+[13]A19b!$B$23</f>
        <v>0</v>
      </c>
      <c r="E8" s="624">
        <f>+[13]A19b!$B$24</f>
        <v>8</v>
      </c>
      <c r="F8" s="624">
        <f>+[13]A19b!$B$25</f>
        <v>0</v>
      </c>
      <c r="G8" s="624">
        <f>+[13]A19b!$B$26</f>
        <v>0</v>
      </c>
      <c r="H8" s="624">
        <f t="shared" si="0"/>
        <v>3333</v>
      </c>
      <c r="I8" s="624">
        <f>+[13]A19b!$E$10+[13]A19b!$F$10</f>
        <v>24</v>
      </c>
      <c r="J8" s="625">
        <f t="shared" si="1"/>
        <v>100</v>
      </c>
    </row>
    <row r="9" spans="1:10" ht="21.75" customHeight="1">
      <c r="A9" s="623" t="s">
        <v>1177</v>
      </c>
      <c r="B9" s="624">
        <f>+[16]A19b!$B$10</f>
        <v>29</v>
      </c>
      <c r="C9" s="624">
        <f>+[16]A19b!$B$22</f>
        <v>3390</v>
      </c>
      <c r="D9" s="624">
        <f>+[16]A19b!$B$23</f>
        <v>5</v>
      </c>
      <c r="E9" s="624">
        <f>+[16]A19b!$B$24</f>
        <v>21</v>
      </c>
      <c r="F9" s="624">
        <f>+[16]A19b!$B$25</f>
        <v>6</v>
      </c>
      <c r="G9" s="624">
        <f>+[16]A19b!$B$26</f>
        <v>0</v>
      </c>
      <c r="H9" s="624">
        <f t="shared" si="0"/>
        <v>3451</v>
      </c>
      <c r="I9" s="624">
        <f>+[16]A19b!$E$10+[16]A19b!$F$10</f>
        <v>27</v>
      </c>
      <c r="J9" s="625">
        <f t="shared" si="1"/>
        <v>93.103448275862064</v>
      </c>
    </row>
    <row r="10" spans="1:10" ht="21.75" customHeight="1">
      <c r="A10" s="623" t="s">
        <v>1178</v>
      </c>
      <c r="B10" s="624">
        <f>+[18]A19b!$B$10</f>
        <v>17</v>
      </c>
      <c r="C10" s="624">
        <f>+[18]A19b!$B$22</f>
        <v>2532</v>
      </c>
      <c r="D10" s="624">
        <f>+[18]A19b!$B$23</f>
        <v>1</v>
      </c>
      <c r="E10" s="624">
        <f>+[18]A19b!$B$24</f>
        <v>7</v>
      </c>
      <c r="F10" s="624">
        <f>+[18]A19b!$B$25</f>
        <v>0</v>
      </c>
      <c r="G10" s="624">
        <f>+[18]A19b!$B$26</f>
        <v>0</v>
      </c>
      <c r="H10" s="624">
        <f t="shared" si="0"/>
        <v>2557</v>
      </c>
      <c r="I10" s="624">
        <f>+[18]A19b!$E$10+[18]A19b!$F$10</f>
        <v>17</v>
      </c>
      <c r="J10" s="625">
        <f t="shared" si="1"/>
        <v>100</v>
      </c>
    </row>
    <row r="11" spans="1:10" ht="21.75" customHeight="1">
      <c r="A11" s="623" t="s">
        <v>1179</v>
      </c>
      <c r="B11" s="624">
        <f>+[33]A19b!$B$10</f>
        <v>601</v>
      </c>
      <c r="C11" s="624">
        <f>+[33]A19b!$B$22</f>
        <v>7142</v>
      </c>
      <c r="D11" s="624">
        <f>+[33]A19b!$B$23</f>
        <v>15</v>
      </c>
      <c r="E11" s="624">
        <f>+[33]A19b!$B$24</f>
        <v>208</v>
      </c>
      <c r="F11" s="624">
        <f>+[33]A19b!$B$25</f>
        <v>197</v>
      </c>
      <c r="G11" s="624">
        <f>+[33]A19b!$B$26</f>
        <v>14</v>
      </c>
      <c r="H11" s="624">
        <f t="shared" si="0"/>
        <v>8177</v>
      </c>
      <c r="I11" s="624">
        <f>+[33]A19b!$E$10+[33]A19b!$F$10</f>
        <v>589</v>
      </c>
      <c r="J11" s="625">
        <f t="shared" si="1"/>
        <v>98.003327787021632</v>
      </c>
    </row>
    <row r="12" spans="1:10" ht="21.75" customHeight="1">
      <c r="A12" s="623" t="s">
        <v>1180</v>
      </c>
      <c r="B12" s="624">
        <f>+[19]A19b!$B$10</f>
        <v>65</v>
      </c>
      <c r="C12" s="624">
        <f>+[19]A19b!$B$22</f>
        <v>9400</v>
      </c>
      <c r="D12" s="624">
        <f>+[19]A19b!$B$23</f>
        <v>8</v>
      </c>
      <c r="E12" s="624">
        <f>+[19]A19b!$B$24</f>
        <v>63</v>
      </c>
      <c r="F12" s="624">
        <f>+[19]A19b!$B$25</f>
        <v>1601</v>
      </c>
      <c r="G12" s="624">
        <f>+[19]A19b!$B$26</f>
        <v>0</v>
      </c>
      <c r="H12" s="624">
        <f t="shared" si="0"/>
        <v>11137</v>
      </c>
      <c r="I12" s="624">
        <f>+[19]A19b!$E$10+[19]A19b!$F$10</f>
        <v>65</v>
      </c>
      <c r="J12" s="625">
        <f t="shared" si="1"/>
        <v>100</v>
      </c>
    </row>
    <row r="13" spans="1:10" ht="21.75" customHeight="1">
      <c r="A13" s="623" t="s">
        <v>1181</v>
      </c>
      <c r="B13" s="624">
        <f>+[20]A19b!$B$10</f>
        <v>112</v>
      </c>
      <c r="C13" s="624">
        <f>+[20]A19b!$B$22</f>
        <v>2744</v>
      </c>
      <c r="D13" s="624">
        <f>+[20]A19b!$B$23</f>
        <v>8</v>
      </c>
      <c r="E13" s="624">
        <f>+[20]A19b!$B$24</f>
        <v>130</v>
      </c>
      <c r="F13" s="624">
        <f>+[20]A19b!$B$25</f>
        <v>41</v>
      </c>
      <c r="G13" s="624">
        <f>+[20]A19b!$B$26</f>
        <v>0</v>
      </c>
      <c r="H13" s="624">
        <f t="shared" si="0"/>
        <v>3035</v>
      </c>
      <c r="I13" s="624">
        <f>+[20]A19b!$E$10+[20]A19b!$F$10</f>
        <v>112</v>
      </c>
      <c r="J13" s="625">
        <f>+I13/B13*100</f>
        <v>100</v>
      </c>
    </row>
    <row r="14" spans="1:10" ht="21.75" customHeight="1">
      <c r="A14" s="623" t="s">
        <v>379</v>
      </c>
      <c r="B14" s="624">
        <f>+[21]A19b!$B$10</f>
        <v>12</v>
      </c>
      <c r="C14" s="624">
        <f>+[21]A19b!$B$22</f>
        <v>1080</v>
      </c>
      <c r="D14" s="624">
        <f>+[21]A19b!$B$23</f>
        <v>3</v>
      </c>
      <c r="E14" s="624">
        <f>+[21]A19b!$B$24</f>
        <v>7</v>
      </c>
      <c r="F14" s="624">
        <f>+[21]A19b!$B$25</f>
        <v>0</v>
      </c>
      <c r="G14" s="624">
        <f>+[21]A19b!$B$26</f>
        <v>0</v>
      </c>
      <c r="H14" s="624">
        <f t="shared" si="0"/>
        <v>1102</v>
      </c>
      <c r="I14" s="624">
        <f>+[21]A19b!$E$10+[21]A19b!$F$10</f>
        <v>12</v>
      </c>
      <c r="J14" s="625">
        <f>+I14/B14*100</f>
        <v>100</v>
      </c>
    </row>
    <row r="15" spans="1:10" ht="21.75" customHeight="1">
      <c r="A15" s="623" t="s">
        <v>1182</v>
      </c>
      <c r="B15" s="624">
        <f>+[22]A19b!$B$10</f>
        <v>4</v>
      </c>
      <c r="C15" s="624">
        <f>+[22]A19b!$B$22</f>
        <v>1173</v>
      </c>
      <c r="D15" s="624">
        <f>+[22]A19b!$B$23</f>
        <v>1</v>
      </c>
      <c r="E15" s="624">
        <f>+[22]A19b!$B$24</f>
        <v>5</v>
      </c>
      <c r="F15" s="624">
        <f>+[22]A19b!$B$25</f>
        <v>1</v>
      </c>
      <c r="G15" s="624">
        <f>+[22]A19b!$B$26</f>
        <v>0</v>
      </c>
      <c r="H15" s="624">
        <f t="shared" si="0"/>
        <v>1184</v>
      </c>
      <c r="I15" s="624">
        <f>+[22]A19b!$E$10+[22]A19b!$F$10</f>
        <v>5</v>
      </c>
      <c r="J15" s="625">
        <f t="shared" si="1"/>
        <v>125</v>
      </c>
    </row>
    <row r="16" spans="1:10" ht="21.75" customHeight="1">
      <c r="A16" s="623" t="s">
        <v>1183</v>
      </c>
      <c r="B16" s="624">
        <f>+[34]A19b!$B$10</f>
        <v>26</v>
      </c>
      <c r="C16" s="624">
        <f>+[34]A19b!$B$22</f>
        <v>3808</v>
      </c>
      <c r="D16" s="624">
        <f>+[34]A19b!$B$23</f>
        <v>1</v>
      </c>
      <c r="E16" s="624">
        <f>+[34]A19b!$B$24</f>
        <v>39</v>
      </c>
      <c r="F16" s="624">
        <f>+[34]A19b!$B$25</f>
        <v>63</v>
      </c>
      <c r="G16" s="624">
        <f>+[34]A19b!$B$26</f>
        <v>0</v>
      </c>
      <c r="H16" s="624">
        <f t="shared" si="0"/>
        <v>3937</v>
      </c>
      <c r="I16" s="624">
        <f>+[34]A19b!$E$10+[34]A19b!$F$10</f>
        <v>26</v>
      </c>
      <c r="J16" s="625">
        <f t="shared" si="1"/>
        <v>100</v>
      </c>
    </row>
    <row r="17" spans="1:10" ht="21.75" customHeight="1">
      <c r="A17" s="623" t="s">
        <v>1184</v>
      </c>
      <c r="B17" s="624">
        <f>+[23]A19b!$B$10</f>
        <v>13</v>
      </c>
      <c r="C17" s="624">
        <f>+[23]A19b!$B$22</f>
        <v>11047</v>
      </c>
      <c r="D17" s="624">
        <f>+[23]A19b!$B$23</f>
        <v>1</v>
      </c>
      <c r="E17" s="624">
        <f>+[23]A19b!$B$24</f>
        <v>19</v>
      </c>
      <c r="F17" s="624">
        <f>+[23]A19b!$B$25</f>
        <v>9</v>
      </c>
      <c r="G17" s="624">
        <f>+[23]A19b!$B$26</f>
        <v>0</v>
      </c>
      <c r="H17" s="624">
        <f t="shared" si="0"/>
        <v>11089</v>
      </c>
      <c r="I17" s="624">
        <f>+[23]A19b!$E$10+[23]A19b!$F$10</f>
        <v>13</v>
      </c>
      <c r="J17" s="625">
        <f t="shared" si="1"/>
        <v>100</v>
      </c>
    </row>
    <row r="18" spans="1:10" ht="21.75" customHeight="1">
      <c r="A18" s="623" t="s">
        <v>1185</v>
      </c>
      <c r="B18" s="624">
        <f>+[35]A19b!$B$10</f>
        <v>44</v>
      </c>
      <c r="C18" s="624">
        <f>+[35]A19b!$B$22</f>
        <v>1187</v>
      </c>
      <c r="D18" s="624">
        <f>+[35]A19b!$B$23</f>
        <v>3</v>
      </c>
      <c r="E18" s="624">
        <f>+[35]A19b!$B$24</f>
        <v>37</v>
      </c>
      <c r="F18" s="624">
        <f>+[35]A19b!$B$25</f>
        <v>22</v>
      </c>
      <c r="G18" s="624">
        <f>+[35]A19b!$B$26</f>
        <v>2</v>
      </c>
      <c r="H18" s="624">
        <f t="shared" si="0"/>
        <v>1295</v>
      </c>
      <c r="I18" s="624">
        <f>+[35]A19b!$E$10+[35]A19b!$F$10</f>
        <v>42</v>
      </c>
      <c r="J18" s="625">
        <f t="shared" si="1"/>
        <v>95.454545454545453</v>
      </c>
    </row>
    <row r="19" spans="1:10" ht="21.75" customHeight="1">
      <c r="A19" s="623" t="s">
        <v>1186</v>
      </c>
      <c r="B19" s="624">
        <f>+[25]A19b!$B$10</f>
        <v>31</v>
      </c>
      <c r="C19" s="624">
        <f>+[25]A19b!$B$22</f>
        <v>358</v>
      </c>
      <c r="D19" s="624">
        <f>+[25]A19b!$B$23</f>
        <v>10</v>
      </c>
      <c r="E19" s="624">
        <f>+[25]A19b!$B$24</f>
        <v>51</v>
      </c>
      <c r="F19" s="624">
        <f>+[25]A19b!$B$25</f>
        <v>1</v>
      </c>
      <c r="G19" s="624">
        <f>+[25]A19b!$B$26</f>
        <v>0</v>
      </c>
      <c r="H19" s="624">
        <f t="shared" si="0"/>
        <v>451</v>
      </c>
      <c r="I19" s="624">
        <f>+[25]A19b!$E$10+[25]A19b!$F$10</f>
        <v>33</v>
      </c>
      <c r="J19" s="625">
        <f t="shared" si="1"/>
        <v>106.45161290322579</v>
      </c>
    </row>
    <row r="20" spans="1:10" ht="21.75" customHeight="1">
      <c r="A20" s="623" t="s">
        <v>1187</v>
      </c>
      <c r="B20" s="624">
        <f>+[36]A19b!$B$10</f>
        <v>24</v>
      </c>
      <c r="C20" s="624">
        <f>+[36]A19b!$B$22</f>
        <v>1310</v>
      </c>
      <c r="D20" s="624">
        <f>+[36]A19b!$B$23</f>
        <v>2</v>
      </c>
      <c r="E20" s="624">
        <f>+[36]A19b!$B$24</f>
        <v>17</v>
      </c>
      <c r="F20" s="624">
        <f>+[36]A19b!$B$25</f>
        <v>0</v>
      </c>
      <c r="G20" s="624">
        <f>+[36]A19b!$B$26</f>
        <v>0</v>
      </c>
      <c r="H20" s="624">
        <f t="shared" si="0"/>
        <v>1353</v>
      </c>
      <c r="I20" s="624">
        <f>+[36]A19b!$E$10+[36]A19b!$F$10</f>
        <v>24</v>
      </c>
      <c r="J20" s="625">
        <f t="shared" si="1"/>
        <v>100</v>
      </c>
    </row>
    <row r="21" spans="1:10" ht="21.75" customHeight="1">
      <c r="A21" s="623" t="s">
        <v>380</v>
      </c>
      <c r="B21" s="624">
        <f>+[37]A19b!$B$10</f>
        <v>78</v>
      </c>
      <c r="C21" s="624">
        <f>+[37]A19b!$B$22</f>
        <v>1006</v>
      </c>
      <c r="D21" s="624">
        <f>+[37]A19b!$B$23</f>
        <v>7</v>
      </c>
      <c r="E21" s="624">
        <f>+[37]A19b!$B$24</f>
        <v>43</v>
      </c>
      <c r="F21" s="624">
        <f>+[37]A19b!$B$25</f>
        <v>51</v>
      </c>
      <c r="G21" s="624">
        <f>+[37]A19b!$B$26</f>
        <v>2</v>
      </c>
      <c r="H21" s="624">
        <f t="shared" si="0"/>
        <v>1187</v>
      </c>
      <c r="I21" s="624">
        <f>+[37]A19b!$E$10+[37]A19b!$F$10</f>
        <v>94</v>
      </c>
      <c r="J21" s="625">
        <f>+I21/B21*100</f>
        <v>120.51282051282051</v>
      </c>
    </row>
    <row r="22" spans="1:10" ht="21.75" customHeight="1">
      <c r="A22" s="623" t="s">
        <v>1188</v>
      </c>
      <c r="B22" s="624">
        <f>+[28]A19b!$B$10</f>
        <v>81</v>
      </c>
      <c r="C22" s="624">
        <f>+[28]A19b!$B$22</f>
        <v>6635</v>
      </c>
      <c r="D22" s="624">
        <f>+[28]A19b!$B$23</f>
        <v>8</v>
      </c>
      <c r="E22" s="624">
        <f>+[28]A19b!$B$24</f>
        <v>32</v>
      </c>
      <c r="F22" s="624">
        <f>+[28]A19b!$B$25</f>
        <v>93</v>
      </c>
      <c r="G22" s="624">
        <f>+[28]A19b!$B$26</f>
        <v>0</v>
      </c>
      <c r="H22" s="624">
        <f t="shared" si="0"/>
        <v>6849</v>
      </c>
      <c r="I22" s="624">
        <f>+[28]A19b!$E$10+[28]A19b!$F$10</f>
        <v>81</v>
      </c>
      <c r="J22" s="625">
        <f t="shared" si="1"/>
        <v>100</v>
      </c>
    </row>
    <row r="23" spans="1:10" ht="21.75" customHeight="1">
      <c r="A23" s="623" t="s">
        <v>1189</v>
      </c>
      <c r="B23" s="624">
        <f>+[29]A19b!$B$10</f>
        <v>12</v>
      </c>
      <c r="C23" s="624">
        <f>+[29]A19b!$B$22</f>
        <v>4557</v>
      </c>
      <c r="D23" s="624">
        <f>+[29]A19b!$B$23</f>
        <v>2</v>
      </c>
      <c r="E23" s="624">
        <f>+[29]A19b!$B$24</f>
        <v>26</v>
      </c>
      <c r="F23" s="624">
        <f>+[29]A19b!$B$25</f>
        <v>1</v>
      </c>
      <c r="G23" s="624">
        <f>+[29]A19b!$B$26</f>
        <v>0</v>
      </c>
      <c r="H23" s="624">
        <f t="shared" si="0"/>
        <v>4598</v>
      </c>
      <c r="I23" s="624">
        <f>+[29]A19b!$E$10+[29]A19b!$F$10</f>
        <v>12</v>
      </c>
      <c r="J23" s="625">
        <f t="shared" si="1"/>
        <v>100</v>
      </c>
    </row>
    <row r="24" spans="1:10" ht="21.75" customHeight="1">
      <c r="A24" s="622" t="s">
        <v>535</v>
      </c>
      <c r="B24" s="624">
        <f t="shared" ref="B24:I24" si="2">SUM(B5:B23)</f>
        <v>1940</v>
      </c>
      <c r="C24" s="624">
        <f t="shared" si="2"/>
        <v>104766</v>
      </c>
      <c r="D24" s="624">
        <f t="shared" si="2"/>
        <v>139</v>
      </c>
      <c r="E24" s="624">
        <f t="shared" si="2"/>
        <v>1138</v>
      </c>
      <c r="F24" s="624">
        <f t="shared" si="2"/>
        <v>2457</v>
      </c>
      <c r="G24" s="624">
        <f t="shared" si="2"/>
        <v>33</v>
      </c>
      <c r="H24" s="624">
        <f t="shared" si="2"/>
        <v>110473</v>
      </c>
      <c r="I24" s="624">
        <f t="shared" si="2"/>
        <v>1923</v>
      </c>
      <c r="J24" s="625">
        <f t="shared" si="1"/>
        <v>99.123711340206185</v>
      </c>
    </row>
    <row r="25" spans="1:10">
      <c r="E25" s="1058"/>
      <c r="F25" s="1058"/>
      <c r="G25" s="1058"/>
    </row>
    <row r="26" spans="1:10">
      <c r="B26" s="118"/>
      <c r="C26" s="118"/>
      <c r="D26" s="118"/>
      <c r="E26" s="118"/>
      <c r="F26" s="118"/>
      <c r="G26" s="118"/>
      <c r="H26" s="118"/>
      <c r="I26" s="118"/>
      <c r="J26" s="118"/>
    </row>
  </sheetData>
  <mergeCells count="2">
    <mergeCell ref="A1:J1"/>
    <mergeCell ref="I4:J4"/>
  </mergeCells>
  <phoneticPr fontId="19" type="noConversion"/>
  <pageMargins left="1.9685039370078741" right="0.78740157480314965" top="0.43" bottom="0.48" header="0" footer="0"/>
  <pageSetup paperSize="5" orientation="landscape" horizontalDpi="300" verticalDpi="3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6"/>
  <sheetViews>
    <sheetView topLeftCell="A25" workbookViewId="0">
      <selection activeCell="I4" sqref="I4"/>
    </sheetView>
  </sheetViews>
  <sheetFormatPr baseColWidth="10" defaultColWidth="11.42578125" defaultRowHeight="12"/>
  <cols>
    <col min="1" max="1" width="13" style="398" customWidth="1"/>
    <col min="2" max="2" width="17.5703125" style="398" customWidth="1"/>
    <col min="3" max="11" width="9.5703125" style="398" customWidth="1"/>
    <col min="12" max="12" width="11.42578125" style="398"/>
    <col min="13" max="13" width="9.42578125" style="398" customWidth="1"/>
    <col min="14" max="19" width="7.5703125" style="398" customWidth="1"/>
    <col min="20" max="16384" width="11.42578125" style="398"/>
  </cols>
  <sheetData>
    <row r="1" spans="1:19">
      <c r="A1" s="1393" t="s">
        <v>1190</v>
      </c>
      <c r="B1" s="1393"/>
      <c r="C1" s="1393"/>
      <c r="D1" s="1393"/>
      <c r="E1" s="1393"/>
      <c r="F1" s="1393"/>
      <c r="G1" s="1393"/>
      <c r="H1" s="1393"/>
      <c r="I1" s="1304"/>
      <c r="J1" s="1304"/>
      <c r="K1" s="1304"/>
      <c r="M1" s="398" t="s">
        <v>1191</v>
      </c>
    </row>
    <row r="2" spans="1:19">
      <c r="A2" s="626"/>
      <c r="B2" s="626"/>
      <c r="C2" s="626"/>
      <c r="D2" s="626"/>
      <c r="E2" s="626"/>
      <c r="F2" s="626"/>
      <c r="G2" s="626"/>
      <c r="H2" s="626"/>
      <c r="I2" s="626"/>
      <c r="J2" s="626"/>
      <c r="K2" s="626"/>
      <c r="N2" s="398">
        <v>2010</v>
      </c>
      <c r="O2" s="398">
        <v>2011</v>
      </c>
      <c r="P2" s="398">
        <v>2012</v>
      </c>
      <c r="Q2" s="398">
        <v>2013</v>
      </c>
      <c r="R2" s="398">
        <v>2014</v>
      </c>
      <c r="S2" s="398">
        <v>2015</v>
      </c>
    </row>
    <row r="3" spans="1:19">
      <c r="A3" s="1393" t="s">
        <v>910</v>
      </c>
      <c r="B3" s="1393"/>
      <c r="C3" s="1393"/>
      <c r="D3" s="1393"/>
      <c r="E3" s="1393"/>
      <c r="F3" s="1393"/>
      <c r="G3" s="1393"/>
      <c r="H3" s="1393"/>
      <c r="I3" s="1304"/>
      <c r="J3" s="1304"/>
      <c r="K3" s="1304"/>
      <c r="M3" s="398" t="s">
        <v>1192</v>
      </c>
      <c r="N3" s="208">
        <f t="shared" ref="N3:P3" si="0">+N8+N15</f>
        <v>258574</v>
      </c>
      <c r="O3" s="208">
        <f t="shared" si="0"/>
        <v>264902</v>
      </c>
      <c r="P3" s="208">
        <f t="shared" si="0"/>
        <v>267912</v>
      </c>
      <c r="Q3" s="208">
        <f>+Q8+Q15</f>
        <v>270947</v>
      </c>
      <c r="R3" s="208">
        <f>+R8+R15</f>
        <v>273968</v>
      </c>
      <c r="S3" s="398">
        <f>+S8+S15</f>
        <v>276985</v>
      </c>
    </row>
    <row r="4" spans="1:19">
      <c r="M4" s="398" t="s">
        <v>1193</v>
      </c>
      <c r="N4" s="398">
        <v>72563</v>
      </c>
      <c r="O4" s="398">
        <v>74959</v>
      </c>
      <c r="P4" s="398">
        <v>76130</v>
      </c>
      <c r="Q4" s="398">
        <v>77305</v>
      </c>
      <c r="R4" s="1215">
        <f>+'[38]7'!$F$20</f>
        <v>78473</v>
      </c>
      <c r="S4" s="521">
        <f>+'7'!$F$20</f>
        <v>79637</v>
      </c>
    </row>
    <row r="5" spans="1:19">
      <c r="M5" s="398" t="s">
        <v>1194</v>
      </c>
      <c r="N5" s="398">
        <v>16966</v>
      </c>
      <c r="O5" s="398">
        <v>17447</v>
      </c>
      <c r="P5" s="398">
        <v>17677</v>
      </c>
      <c r="Q5" s="398">
        <v>17905</v>
      </c>
      <c r="R5" s="1215">
        <f>+'[38]7'!$G$20</f>
        <v>18141</v>
      </c>
      <c r="S5" s="521">
        <f>+'7'!$G$20</f>
        <v>18363</v>
      </c>
    </row>
    <row r="6" spans="1:19">
      <c r="M6" s="398" t="s">
        <v>1195</v>
      </c>
      <c r="N6" s="398">
        <v>11031</v>
      </c>
      <c r="O6" s="398">
        <v>11078</v>
      </c>
      <c r="P6" s="398">
        <v>11091</v>
      </c>
      <c r="Q6" s="398">
        <v>11107</v>
      </c>
      <c r="R6" s="1215">
        <f>+'[38]7'!$H$20</f>
        <v>11112</v>
      </c>
      <c r="S6" s="521">
        <f>+'7'!$H$20</f>
        <v>11130</v>
      </c>
    </row>
    <row r="7" spans="1:19">
      <c r="M7" s="398" t="s">
        <v>580</v>
      </c>
      <c r="N7" s="398">
        <v>7800</v>
      </c>
      <c r="O7" s="398">
        <v>8001</v>
      </c>
      <c r="P7" s="398">
        <v>8084</v>
      </c>
      <c r="Q7" s="398">
        <v>8179</v>
      </c>
      <c r="R7" s="1215">
        <f>+'[38]7'!$I$20</f>
        <v>8272</v>
      </c>
      <c r="S7" s="521">
        <f>+'7'!$I$20</f>
        <v>8366</v>
      </c>
    </row>
    <row r="8" spans="1:19" s="507" customFormat="1" ht="21.75" customHeight="1">
      <c r="A8" s="528" t="s">
        <v>554</v>
      </c>
      <c r="B8" s="627" t="s">
        <v>866</v>
      </c>
      <c r="C8" s="379">
        <v>2010</v>
      </c>
      <c r="D8" s="379">
        <v>2011</v>
      </c>
      <c r="E8" s="379">
        <v>2012</v>
      </c>
      <c r="F8" s="379">
        <v>2013</v>
      </c>
      <c r="G8" s="1141">
        <v>2014</v>
      </c>
      <c r="H8" s="1141">
        <v>2015</v>
      </c>
      <c r="I8" s="360"/>
      <c r="J8" s="360"/>
      <c r="K8" s="360"/>
      <c r="M8" s="507" t="s">
        <v>1196</v>
      </c>
      <c r="N8" s="507">
        <v>108360</v>
      </c>
      <c r="O8" s="507">
        <v>111485</v>
      </c>
      <c r="P8" s="507">
        <v>112982</v>
      </c>
      <c r="Q8" s="507">
        <v>114496</v>
      </c>
      <c r="R8" s="8">
        <f>SUM(R4:R7)</f>
        <v>115998</v>
      </c>
      <c r="S8" s="507">
        <f>SUM(S4:S7)</f>
        <v>117496</v>
      </c>
    </row>
    <row r="9" spans="1:19" s="507" customFormat="1" ht="21.75" customHeight="1">
      <c r="A9" s="491" t="s">
        <v>962</v>
      </c>
      <c r="B9" s="343" t="s">
        <v>1197</v>
      </c>
      <c r="C9" s="492">
        <v>24255</v>
      </c>
      <c r="D9" s="492">
        <v>19279</v>
      </c>
      <c r="E9" s="492">
        <v>23029</v>
      </c>
      <c r="F9" s="492">
        <v>19097</v>
      </c>
      <c r="G9" s="492">
        <v>20601</v>
      </c>
      <c r="H9" s="492">
        <f>+'48'!AL8</f>
        <v>23282</v>
      </c>
      <c r="I9" s="370"/>
      <c r="J9" s="370"/>
      <c r="K9" s="370"/>
      <c r="M9" s="507" t="s">
        <v>1198</v>
      </c>
      <c r="N9" s="507">
        <v>75302</v>
      </c>
      <c r="O9" s="507">
        <v>77394</v>
      </c>
      <c r="P9" s="507">
        <v>78428</v>
      </c>
      <c r="Q9" s="507">
        <v>79454</v>
      </c>
      <c r="R9" s="566">
        <f>+'[38]7'!$K$20</f>
        <v>80479</v>
      </c>
      <c r="S9" s="517">
        <f>+'7'!$K$20</f>
        <v>81500</v>
      </c>
    </row>
    <row r="10" spans="1:19" s="507" customFormat="1" ht="21.75" customHeight="1">
      <c r="A10" s="491"/>
      <c r="B10" s="343" t="s">
        <v>1199</v>
      </c>
      <c r="C10" s="492">
        <v>24789</v>
      </c>
      <c r="D10" s="492">
        <v>27543</v>
      </c>
      <c r="E10" s="492">
        <v>28712</v>
      </c>
      <c r="F10" s="492">
        <v>21270</v>
      </c>
      <c r="G10" s="492">
        <v>17917</v>
      </c>
      <c r="H10" s="492">
        <f>+'48'!AL9</f>
        <v>13482</v>
      </c>
      <c r="I10" s="370"/>
      <c r="J10" s="370"/>
      <c r="K10" s="370"/>
      <c r="M10" s="507" t="s">
        <v>587</v>
      </c>
      <c r="N10" s="507">
        <v>16745</v>
      </c>
      <c r="O10" s="507">
        <v>17147</v>
      </c>
      <c r="P10" s="507">
        <v>17336</v>
      </c>
      <c r="Q10" s="507">
        <v>17525</v>
      </c>
      <c r="R10" s="566">
        <f>+'[38]7'!$L$20</f>
        <v>17716</v>
      </c>
      <c r="S10" s="517">
        <f>+'7'!$L$20</f>
        <v>17906</v>
      </c>
    </row>
    <row r="11" spans="1:19" s="507" customFormat="1" ht="21.75" customHeight="1">
      <c r="A11" s="491"/>
      <c r="B11" s="343" t="s">
        <v>644</v>
      </c>
      <c r="C11" s="492">
        <v>49044</v>
      </c>
      <c r="D11" s="492">
        <v>46822</v>
      </c>
      <c r="E11" s="492">
        <v>51741</v>
      </c>
      <c r="F11" s="492">
        <v>40367</v>
      </c>
      <c r="G11" s="492">
        <v>38518</v>
      </c>
      <c r="H11" s="492">
        <f>SUM(H9:H10)</f>
        <v>36764</v>
      </c>
      <c r="I11" s="370"/>
      <c r="J11" s="370"/>
      <c r="K11" s="370"/>
      <c r="M11" s="507" t="s">
        <v>1200</v>
      </c>
      <c r="N11" s="507">
        <v>14323</v>
      </c>
      <c r="O11" s="507">
        <v>14544</v>
      </c>
      <c r="P11" s="507">
        <v>14652</v>
      </c>
      <c r="Q11" s="507">
        <v>14753</v>
      </c>
      <c r="R11" s="566">
        <f>+'[38]7'!$M$20</f>
        <v>14864</v>
      </c>
      <c r="S11" s="517">
        <f>+'7'!$M$20</f>
        <v>14972</v>
      </c>
    </row>
    <row r="12" spans="1:19" s="507" customFormat="1" ht="21.75" customHeight="1">
      <c r="A12" s="491" t="s">
        <v>540</v>
      </c>
      <c r="B12" s="343" t="s">
        <v>987</v>
      </c>
      <c r="C12" s="492">
        <v>32933</v>
      </c>
      <c r="D12" s="492">
        <v>26938</v>
      </c>
      <c r="E12" s="492">
        <v>17294</v>
      </c>
      <c r="F12" s="492">
        <v>14294</v>
      </c>
      <c r="G12" s="492">
        <v>17232</v>
      </c>
      <c r="H12" s="492">
        <f>+'48'!AL11</f>
        <v>15488</v>
      </c>
      <c r="I12" s="370"/>
      <c r="J12" s="370"/>
      <c r="K12" s="370"/>
      <c r="M12" s="507" t="s">
        <v>602</v>
      </c>
      <c r="N12" s="507">
        <v>7355</v>
      </c>
      <c r="O12" s="507">
        <v>7493</v>
      </c>
      <c r="P12" s="507">
        <v>7556</v>
      </c>
      <c r="Q12" s="507">
        <v>7617</v>
      </c>
      <c r="R12" s="566">
        <f>+'[38]7'!$N$20</f>
        <v>7682</v>
      </c>
      <c r="S12" s="517">
        <f>+'7'!$N$20</f>
        <v>7743</v>
      </c>
    </row>
    <row r="13" spans="1:19" s="507" customFormat="1" ht="21.75" customHeight="1">
      <c r="A13" s="491" t="s">
        <v>963</v>
      </c>
      <c r="B13" s="343" t="s">
        <v>1201</v>
      </c>
      <c r="C13" s="492">
        <v>12326</v>
      </c>
      <c r="D13" s="492">
        <v>13607</v>
      </c>
      <c r="E13" s="492">
        <v>12889</v>
      </c>
      <c r="F13" s="492">
        <v>10273</v>
      </c>
      <c r="G13" s="492">
        <v>14082</v>
      </c>
      <c r="H13" s="492">
        <f>+'48'!AL12</f>
        <v>12556</v>
      </c>
      <c r="I13" s="370"/>
      <c r="J13" s="370"/>
      <c r="K13" s="370"/>
      <c r="M13" s="507" t="s">
        <v>1202</v>
      </c>
      <c r="N13" s="507">
        <v>23346</v>
      </c>
      <c r="O13" s="507">
        <v>23559</v>
      </c>
      <c r="P13" s="507">
        <v>23638</v>
      </c>
      <c r="Q13" s="507">
        <v>23728</v>
      </c>
      <c r="R13" s="566">
        <f>+'[38]7'!$O$20</f>
        <v>23810</v>
      </c>
      <c r="S13" s="517">
        <f>+'7'!$O$20</f>
        <v>23892</v>
      </c>
    </row>
    <row r="14" spans="1:19" s="507" customFormat="1" ht="21.75" customHeight="1">
      <c r="A14" s="491" t="s">
        <v>542</v>
      </c>
      <c r="B14" s="343" t="s">
        <v>989</v>
      </c>
      <c r="C14" s="492">
        <v>7409</v>
      </c>
      <c r="D14" s="492">
        <v>13785</v>
      </c>
      <c r="E14" s="492">
        <v>14644</v>
      </c>
      <c r="F14" s="492">
        <v>16900</v>
      </c>
      <c r="G14" s="492">
        <v>12849</v>
      </c>
      <c r="H14" s="492">
        <f>+'48'!AL13</f>
        <v>13929</v>
      </c>
      <c r="I14" s="370"/>
      <c r="J14" s="370"/>
      <c r="K14" s="370"/>
      <c r="M14" s="507" t="s">
        <v>1203</v>
      </c>
      <c r="N14" s="507">
        <v>13143</v>
      </c>
      <c r="O14" s="507">
        <v>13280</v>
      </c>
      <c r="P14" s="507">
        <v>13320</v>
      </c>
      <c r="Q14" s="507">
        <v>13374</v>
      </c>
      <c r="R14" s="566">
        <f>+'[38]7'!$P$20</f>
        <v>13419</v>
      </c>
      <c r="S14" s="517">
        <f>+'7'!$P$20</f>
        <v>13476</v>
      </c>
    </row>
    <row r="15" spans="1:19" s="507" customFormat="1" ht="21.75" customHeight="1">
      <c r="A15" s="501" t="s">
        <v>964</v>
      </c>
      <c r="B15" s="510"/>
      <c r="C15" s="500">
        <v>101712</v>
      </c>
      <c r="D15" s="500">
        <v>101152</v>
      </c>
      <c r="E15" s="500">
        <v>96568</v>
      </c>
      <c r="F15" s="500">
        <v>81834</v>
      </c>
      <c r="G15" s="500">
        <v>82681</v>
      </c>
      <c r="H15" s="500">
        <f>SUM(H11:H14)</f>
        <v>78737</v>
      </c>
      <c r="I15" s="499"/>
      <c r="J15" s="499"/>
      <c r="K15" s="499"/>
      <c r="M15" s="507" t="s">
        <v>1204</v>
      </c>
      <c r="N15" s="507">
        <f t="shared" ref="N15:S15" si="1">SUM(N9:N14)</f>
        <v>150214</v>
      </c>
      <c r="O15" s="507">
        <f t="shared" si="1"/>
        <v>153417</v>
      </c>
      <c r="P15" s="507">
        <f t="shared" si="1"/>
        <v>154930</v>
      </c>
      <c r="Q15" s="507">
        <f t="shared" si="1"/>
        <v>156451</v>
      </c>
      <c r="R15" s="8">
        <f>SUM(R9:R14)</f>
        <v>157970</v>
      </c>
      <c r="S15" s="507">
        <f t="shared" si="1"/>
        <v>159489</v>
      </c>
    </row>
    <row r="16" spans="1:19" s="507" customFormat="1" ht="21.75" customHeight="1">
      <c r="A16" s="491" t="s">
        <v>965</v>
      </c>
      <c r="B16" s="343" t="s">
        <v>835</v>
      </c>
      <c r="C16" s="492">
        <v>26513</v>
      </c>
      <c r="D16" s="492">
        <v>28392</v>
      </c>
      <c r="E16" s="492">
        <v>26634</v>
      </c>
      <c r="F16" s="492">
        <v>26037</v>
      </c>
      <c r="G16" s="492">
        <v>23755</v>
      </c>
      <c r="H16" s="492">
        <f>+'48'!AL15</f>
        <v>22451</v>
      </c>
      <c r="I16" s="370"/>
      <c r="J16" s="370"/>
      <c r="K16" s="370"/>
    </row>
    <row r="17" spans="1:19" s="507" customFormat="1" ht="21.75" customHeight="1">
      <c r="A17" s="491"/>
      <c r="B17" s="343" t="s">
        <v>836</v>
      </c>
      <c r="C17" s="492">
        <v>34935</v>
      </c>
      <c r="D17" s="492">
        <v>34608</v>
      </c>
      <c r="E17" s="492">
        <v>38266</v>
      </c>
      <c r="F17" s="492">
        <v>39890</v>
      </c>
      <c r="G17" s="492">
        <v>41576</v>
      </c>
      <c r="H17" s="492">
        <f>+'48'!AL16</f>
        <v>37121</v>
      </c>
      <c r="I17" s="370"/>
      <c r="J17" s="370"/>
      <c r="K17" s="370"/>
    </row>
    <row r="18" spans="1:19" s="507" customFormat="1" ht="21.75" customHeight="1">
      <c r="A18" s="491"/>
      <c r="B18" s="343" t="s">
        <v>837</v>
      </c>
      <c r="C18" s="492">
        <v>4343</v>
      </c>
      <c r="D18" s="492">
        <v>7101</v>
      </c>
      <c r="E18" s="492">
        <v>6784</v>
      </c>
      <c r="F18" s="492">
        <v>7695</v>
      </c>
      <c r="G18" s="492">
        <v>8370</v>
      </c>
      <c r="H18" s="492">
        <f>+'48'!AL17</f>
        <v>7027</v>
      </c>
      <c r="I18" s="370"/>
      <c r="J18" s="370"/>
      <c r="K18" s="370"/>
      <c r="M18" s="507" t="s">
        <v>682</v>
      </c>
    </row>
    <row r="19" spans="1:19" s="507" customFormat="1" ht="21.75" customHeight="1">
      <c r="A19" s="491"/>
      <c r="B19" s="343" t="s">
        <v>644</v>
      </c>
      <c r="C19" s="492">
        <v>65791</v>
      </c>
      <c r="D19" s="492">
        <v>70101</v>
      </c>
      <c r="E19" s="492">
        <v>71684</v>
      </c>
      <c r="F19" s="492">
        <v>73622</v>
      </c>
      <c r="G19" s="492">
        <v>73701</v>
      </c>
      <c r="H19" s="492">
        <f>SUM(H16:H18)</f>
        <v>66599</v>
      </c>
      <c r="I19" s="370"/>
      <c r="J19" s="370"/>
      <c r="K19" s="370"/>
      <c r="M19" s="507" t="s">
        <v>1192</v>
      </c>
      <c r="N19" s="628">
        <f t="shared" ref="N19:S19" si="2">+C29/N3</f>
        <v>1.0297903114775655</v>
      </c>
      <c r="O19" s="628">
        <f t="shared" si="2"/>
        <v>1.0003095484367803</v>
      </c>
      <c r="P19" s="628">
        <f t="shared" si="2"/>
        <v>0.99947744035354891</v>
      </c>
      <c r="Q19" s="628">
        <f t="shared" si="2"/>
        <v>0.90158591901737239</v>
      </c>
      <c r="R19" s="628">
        <f t="shared" si="2"/>
        <v>0.90707673888921336</v>
      </c>
      <c r="S19" s="628">
        <f t="shared" si="2"/>
        <v>0.84815784248244486</v>
      </c>
    </row>
    <row r="20" spans="1:19" s="507" customFormat="1" ht="21.75" customHeight="1">
      <c r="A20" s="491" t="s">
        <v>545</v>
      </c>
      <c r="B20" s="343" t="s">
        <v>992</v>
      </c>
      <c r="C20" s="492">
        <v>23664</v>
      </c>
      <c r="D20" s="492">
        <v>22792</v>
      </c>
      <c r="E20" s="492">
        <v>24954</v>
      </c>
      <c r="F20" s="492">
        <v>19967</v>
      </c>
      <c r="G20" s="492">
        <v>20885</v>
      </c>
      <c r="H20" s="492">
        <f>+'48'!AL19</f>
        <v>17657</v>
      </c>
      <c r="I20" s="370"/>
      <c r="J20" s="370"/>
      <c r="K20" s="370"/>
      <c r="M20" s="507" t="s">
        <v>1193</v>
      </c>
      <c r="N20" s="628">
        <f t="shared" ref="N20:S24" si="3">+C11/N4</f>
        <v>0.67588164767167835</v>
      </c>
      <c r="O20" s="628">
        <f t="shared" si="3"/>
        <v>0.62463480035752883</v>
      </c>
      <c r="P20" s="628">
        <f t="shared" si="3"/>
        <v>0.67964008932089848</v>
      </c>
      <c r="Q20" s="628">
        <f t="shared" si="3"/>
        <v>0.52217838432184205</v>
      </c>
      <c r="R20" s="628">
        <f t="shared" si="3"/>
        <v>0.49084398455519734</v>
      </c>
      <c r="S20" s="628">
        <f t="shared" si="3"/>
        <v>0.46164471288471437</v>
      </c>
    </row>
    <row r="21" spans="1:19" s="507" customFormat="1" ht="21.75" customHeight="1">
      <c r="A21" s="491"/>
      <c r="B21" s="343" t="s">
        <v>966</v>
      </c>
      <c r="C21" s="492">
        <v>1146</v>
      </c>
      <c r="D21" s="492">
        <v>178</v>
      </c>
      <c r="E21" s="492">
        <v>285</v>
      </c>
      <c r="F21" s="492">
        <v>396</v>
      </c>
      <c r="G21" s="492">
        <v>351</v>
      </c>
      <c r="H21" s="492">
        <f>+'48'!AL20</f>
        <v>273</v>
      </c>
      <c r="I21" s="370"/>
      <c r="J21" s="370"/>
      <c r="K21" s="370"/>
      <c r="M21" s="507" t="s">
        <v>1194</v>
      </c>
      <c r="N21" s="628">
        <f t="shared" si="3"/>
        <v>1.941117529175999</v>
      </c>
      <c r="O21" s="628">
        <f t="shared" si="3"/>
        <v>1.5439903708373932</v>
      </c>
      <c r="P21" s="628">
        <f t="shared" si="3"/>
        <v>0.9783334276178085</v>
      </c>
      <c r="Q21" s="628">
        <f t="shared" si="3"/>
        <v>0.79832449036581965</v>
      </c>
      <c r="R21" s="628">
        <f t="shared" si="3"/>
        <v>0.94989250868199104</v>
      </c>
      <c r="S21" s="628">
        <f t="shared" si="3"/>
        <v>0.84343516854544465</v>
      </c>
    </row>
    <row r="22" spans="1:19" s="507" customFormat="1" ht="21.75" customHeight="1">
      <c r="A22" s="491"/>
      <c r="B22" s="343" t="s">
        <v>644</v>
      </c>
      <c r="C22" s="492">
        <v>24810</v>
      </c>
      <c r="D22" s="492">
        <v>22970</v>
      </c>
      <c r="E22" s="492">
        <v>25239</v>
      </c>
      <c r="F22" s="492">
        <v>20363</v>
      </c>
      <c r="G22" s="492">
        <v>21236</v>
      </c>
      <c r="H22" s="492">
        <f>SUM(H20:H21)</f>
        <v>17930</v>
      </c>
      <c r="I22" s="370"/>
      <c r="J22" s="370"/>
      <c r="K22" s="370"/>
      <c r="M22" s="507" t="s">
        <v>1195</v>
      </c>
      <c r="N22" s="628">
        <f t="shared" si="3"/>
        <v>1.1173964282476656</v>
      </c>
      <c r="O22" s="628">
        <f t="shared" si="3"/>
        <v>1.2282903051092255</v>
      </c>
      <c r="P22" s="628">
        <f t="shared" si="3"/>
        <v>1.1621134252997927</v>
      </c>
      <c r="Q22" s="628">
        <f t="shared" si="3"/>
        <v>0.92491221752048258</v>
      </c>
      <c r="R22" s="628">
        <f t="shared" si="3"/>
        <v>1.2672786177105833</v>
      </c>
      <c r="S22" s="628">
        <f t="shared" si="3"/>
        <v>1.1281221922731357</v>
      </c>
    </row>
    <row r="23" spans="1:19" s="507" customFormat="1" ht="21.75" customHeight="1">
      <c r="A23" s="491" t="s">
        <v>546</v>
      </c>
      <c r="B23" s="343" t="s">
        <v>993</v>
      </c>
      <c r="C23" s="492">
        <v>17354</v>
      </c>
      <c r="D23" s="492">
        <v>16048</v>
      </c>
      <c r="E23" s="492">
        <v>15379</v>
      </c>
      <c r="F23" s="492">
        <v>13863</v>
      </c>
      <c r="G23" s="492">
        <v>16912</v>
      </c>
      <c r="H23" s="492">
        <f>+'48'!AL22</f>
        <v>20428</v>
      </c>
      <c r="I23" s="370"/>
      <c r="J23" s="370"/>
      <c r="K23" s="370"/>
      <c r="M23" s="507" t="s">
        <v>580</v>
      </c>
      <c r="N23" s="628">
        <f t="shared" si="3"/>
        <v>0.94987179487179485</v>
      </c>
      <c r="O23" s="628">
        <f t="shared" si="3"/>
        <v>1.722909636295463</v>
      </c>
      <c r="P23" s="628">
        <f t="shared" si="3"/>
        <v>1.8114794656110835</v>
      </c>
      <c r="Q23" s="628">
        <f t="shared" si="3"/>
        <v>2.0662672698373883</v>
      </c>
      <c r="R23" s="628">
        <f t="shared" si="3"/>
        <v>1.5533123791102514</v>
      </c>
      <c r="S23" s="628">
        <f t="shared" si="3"/>
        <v>1.6649533827396605</v>
      </c>
    </row>
    <row r="24" spans="1:19" s="507" customFormat="1" ht="21.75" customHeight="1">
      <c r="A24" s="491" t="s">
        <v>547</v>
      </c>
      <c r="B24" s="343" t="s">
        <v>994</v>
      </c>
      <c r="C24" s="492">
        <v>11444</v>
      </c>
      <c r="D24" s="492">
        <v>11696</v>
      </c>
      <c r="E24" s="492">
        <v>11233</v>
      </c>
      <c r="F24" s="492">
        <v>11362</v>
      </c>
      <c r="G24" s="492">
        <v>13206</v>
      </c>
      <c r="H24" s="492">
        <f>+'48'!AL23</f>
        <v>10175</v>
      </c>
      <c r="I24" s="370"/>
      <c r="J24" s="370"/>
      <c r="K24" s="370"/>
      <c r="M24" s="507" t="s">
        <v>1196</v>
      </c>
      <c r="N24" s="628">
        <f t="shared" si="3"/>
        <v>0.93864894795127352</v>
      </c>
      <c r="O24" s="628">
        <f t="shared" si="3"/>
        <v>0.90731488541059335</v>
      </c>
      <c r="P24" s="628">
        <f t="shared" si="3"/>
        <v>0.85472022092014655</v>
      </c>
      <c r="Q24" s="628">
        <f t="shared" si="3"/>
        <v>0.71473239239798769</v>
      </c>
      <c r="R24" s="628">
        <f t="shared" si="3"/>
        <v>0.71277953068156352</v>
      </c>
      <c r="S24" s="628">
        <f t="shared" si="3"/>
        <v>0.67012494042350379</v>
      </c>
    </row>
    <row r="25" spans="1:19" s="507" customFormat="1" ht="21.75" customHeight="1">
      <c r="A25" s="491" t="s">
        <v>967</v>
      </c>
      <c r="B25" s="343" t="s">
        <v>842</v>
      </c>
      <c r="C25" s="492">
        <v>24807</v>
      </c>
      <c r="D25" s="492">
        <v>22987</v>
      </c>
      <c r="E25" s="492">
        <v>26448</v>
      </c>
      <c r="F25" s="492">
        <v>24916</v>
      </c>
      <c r="G25" s="492">
        <v>24617</v>
      </c>
      <c r="H25" s="492">
        <f>+'48'!AL24</f>
        <v>23264</v>
      </c>
      <c r="I25" s="370"/>
      <c r="J25" s="370"/>
      <c r="K25" s="370"/>
      <c r="M25" s="507" t="s">
        <v>1198</v>
      </c>
      <c r="N25" s="628">
        <f t="shared" ref="N25:S25" si="4">+C19/N9</f>
        <v>0.87369525377812007</v>
      </c>
      <c r="O25" s="628">
        <f t="shared" si="4"/>
        <v>0.90576788898364213</v>
      </c>
      <c r="P25" s="628">
        <f t="shared" si="4"/>
        <v>0.91401030244300507</v>
      </c>
      <c r="Q25" s="628">
        <f t="shared" si="4"/>
        <v>0.92659903843733482</v>
      </c>
      <c r="R25" s="628">
        <f t="shared" si="4"/>
        <v>0.91577927161122774</v>
      </c>
      <c r="S25" s="628">
        <f t="shared" si="4"/>
        <v>0.81716564417177917</v>
      </c>
    </row>
    <row r="26" spans="1:19" s="507" customFormat="1" ht="21.75" customHeight="1">
      <c r="A26" s="491"/>
      <c r="B26" s="299" t="s">
        <v>1001</v>
      </c>
      <c r="C26" s="492"/>
      <c r="D26" s="492"/>
      <c r="E26" s="492">
        <v>490</v>
      </c>
      <c r="F26" s="492">
        <v>532</v>
      </c>
      <c r="G26" s="492">
        <v>396</v>
      </c>
      <c r="H26" s="492">
        <f>+'48'!AL25</f>
        <v>395</v>
      </c>
      <c r="I26" s="370"/>
      <c r="J26" s="370"/>
      <c r="K26" s="370"/>
      <c r="N26" s="628"/>
      <c r="O26" s="628"/>
      <c r="P26" s="628"/>
      <c r="Q26" s="628"/>
      <c r="R26" s="628"/>
      <c r="S26" s="628"/>
    </row>
    <row r="27" spans="1:19" s="507" customFormat="1" ht="21.75" customHeight="1">
      <c r="A27" s="491" t="s">
        <v>549</v>
      </c>
      <c r="B27" s="343" t="s">
        <v>995</v>
      </c>
      <c r="C27" s="492">
        <v>20359</v>
      </c>
      <c r="D27" s="492">
        <v>20030</v>
      </c>
      <c r="E27" s="492">
        <v>20731</v>
      </c>
      <c r="F27" s="492">
        <v>17790</v>
      </c>
      <c r="G27" s="492">
        <v>15761</v>
      </c>
      <c r="H27" s="492">
        <f>+'48'!AL26</f>
        <v>17399</v>
      </c>
      <c r="I27" s="370"/>
      <c r="J27" s="370"/>
      <c r="K27" s="370"/>
      <c r="M27" s="507" t="s">
        <v>587</v>
      </c>
      <c r="N27" s="628">
        <f t="shared" ref="N27:S30" si="5">+C22/N10</f>
        <v>1.4816363093460734</v>
      </c>
      <c r="O27" s="628">
        <f t="shared" si="5"/>
        <v>1.3395929317081705</v>
      </c>
      <c r="P27" s="628">
        <f t="shared" si="5"/>
        <v>1.4558721735117675</v>
      </c>
      <c r="Q27" s="628">
        <f t="shared" si="5"/>
        <v>1.1619400855920115</v>
      </c>
      <c r="R27" s="628">
        <f t="shared" si="5"/>
        <v>1.198690449311357</v>
      </c>
      <c r="S27" s="628">
        <f t="shared" si="5"/>
        <v>1.0013403328493242</v>
      </c>
    </row>
    <row r="28" spans="1:19" s="507" customFormat="1" ht="21.75" customHeight="1">
      <c r="A28" s="501" t="s">
        <v>1205</v>
      </c>
      <c r="B28" s="508"/>
      <c r="C28" s="629">
        <f t="shared" ref="C28:H28" si="6">SUM(C22:C27)+C19</f>
        <v>164565</v>
      </c>
      <c r="D28" s="629">
        <f t="shared" si="6"/>
        <v>163832</v>
      </c>
      <c r="E28" s="629">
        <f t="shared" si="6"/>
        <v>171204</v>
      </c>
      <c r="F28" s="629">
        <f t="shared" si="6"/>
        <v>162448</v>
      </c>
      <c r="G28" s="629">
        <f t="shared" si="6"/>
        <v>165829</v>
      </c>
      <c r="H28" s="629">
        <f t="shared" si="6"/>
        <v>156190</v>
      </c>
      <c r="I28" s="499"/>
      <c r="J28" s="499"/>
      <c r="K28" s="499"/>
      <c r="M28" s="507" t="s">
        <v>1200</v>
      </c>
      <c r="N28" s="628">
        <f t="shared" si="5"/>
        <v>1.2116176778607834</v>
      </c>
      <c r="O28" s="628">
        <f t="shared" si="5"/>
        <v>1.1034103410341034</v>
      </c>
      <c r="P28" s="628">
        <f t="shared" si="5"/>
        <v>1.0496177996177996</v>
      </c>
      <c r="Q28" s="628">
        <f t="shared" si="5"/>
        <v>0.93967328678912765</v>
      </c>
      <c r="R28" s="628">
        <f t="shared" si="5"/>
        <v>1.1377825618945103</v>
      </c>
      <c r="S28" s="628">
        <f t="shared" si="5"/>
        <v>1.3644135720010686</v>
      </c>
    </row>
    <row r="29" spans="1:19" s="507" customFormat="1" ht="21.75" customHeight="1">
      <c r="A29" s="1407" t="s">
        <v>656</v>
      </c>
      <c r="B29" s="1408"/>
      <c r="C29" s="630">
        <f t="shared" ref="C29:H29" si="7">+C15+C28</f>
        <v>266277</v>
      </c>
      <c r="D29" s="630">
        <f t="shared" si="7"/>
        <v>264984</v>
      </c>
      <c r="E29" s="630">
        <f t="shared" si="7"/>
        <v>267772</v>
      </c>
      <c r="F29" s="630">
        <f t="shared" si="7"/>
        <v>244282</v>
      </c>
      <c r="G29" s="630">
        <f t="shared" si="7"/>
        <v>248510</v>
      </c>
      <c r="H29" s="630">
        <f t="shared" si="7"/>
        <v>234927</v>
      </c>
      <c r="I29" s="499"/>
      <c r="J29" s="499"/>
      <c r="K29" s="499"/>
      <c r="M29" s="507" t="s">
        <v>602</v>
      </c>
      <c r="N29" s="628">
        <f t="shared" si="5"/>
        <v>1.5559483344663494</v>
      </c>
      <c r="O29" s="628">
        <f t="shared" si="5"/>
        <v>1.5609235286267182</v>
      </c>
      <c r="P29" s="628">
        <f t="shared" si="5"/>
        <v>1.4866331392271044</v>
      </c>
      <c r="Q29" s="628">
        <f t="shared" si="5"/>
        <v>1.4916633845345937</v>
      </c>
      <c r="R29" s="628">
        <f t="shared" si="5"/>
        <v>1.7190835719864619</v>
      </c>
      <c r="S29" s="628">
        <f t="shared" si="5"/>
        <v>1.3140901459382668</v>
      </c>
    </row>
    <row r="30" spans="1:19">
      <c r="M30" s="398" t="s">
        <v>1202</v>
      </c>
      <c r="N30" s="631">
        <f t="shared" si="5"/>
        <v>1.0625803135440761</v>
      </c>
      <c r="O30" s="631">
        <f t="shared" si="5"/>
        <v>0.97572053143172466</v>
      </c>
      <c r="P30" s="631">
        <f t="shared" si="5"/>
        <v>1.1188763854810051</v>
      </c>
      <c r="Q30" s="631">
        <f t="shared" si="5"/>
        <v>1.0500674308833446</v>
      </c>
      <c r="R30" s="631">
        <f t="shared" si="5"/>
        <v>1.0338933221335573</v>
      </c>
      <c r="S30" s="631">
        <f t="shared" si="5"/>
        <v>0.9737150510631174</v>
      </c>
    </row>
    <row r="31" spans="1:19">
      <c r="H31" s="521"/>
      <c r="I31" s="521"/>
      <c r="J31" s="521"/>
      <c r="K31" s="521"/>
      <c r="M31" s="398" t="s">
        <v>1203</v>
      </c>
      <c r="N31" s="631">
        <f t="shared" ref="N31:S32" si="8">+C27/N14</f>
        <v>1.5490375104618428</v>
      </c>
      <c r="O31" s="631">
        <f t="shared" si="8"/>
        <v>1.5082831325301205</v>
      </c>
      <c r="P31" s="631">
        <f t="shared" si="8"/>
        <v>1.5563813813813814</v>
      </c>
      <c r="Q31" s="631">
        <f t="shared" si="8"/>
        <v>1.3301929116195603</v>
      </c>
      <c r="R31" s="631">
        <f t="shared" si="8"/>
        <v>1.1745286534018928</v>
      </c>
      <c r="S31" s="631">
        <f t="shared" si="8"/>
        <v>1.2911101216978331</v>
      </c>
    </row>
    <row r="32" spans="1:19">
      <c r="M32" s="398" t="s">
        <v>1204</v>
      </c>
      <c r="N32" s="631">
        <f t="shared" si="8"/>
        <v>1.0955370338317334</v>
      </c>
      <c r="O32" s="631">
        <f t="shared" si="8"/>
        <v>1.0678868704250506</v>
      </c>
      <c r="P32" s="631">
        <f t="shared" si="8"/>
        <v>1.1050409862518558</v>
      </c>
      <c r="Q32" s="631">
        <f t="shared" si="8"/>
        <v>1.038331490370787</v>
      </c>
      <c r="R32" s="631">
        <f t="shared" si="8"/>
        <v>1.0497499525226308</v>
      </c>
      <c r="S32" s="631">
        <f t="shared" si="8"/>
        <v>0.9793151878812959</v>
      </c>
    </row>
    <row r="58" spans="1:11">
      <c r="A58" s="1393" t="s">
        <v>1206</v>
      </c>
      <c r="B58" s="1393"/>
      <c r="C58" s="1393"/>
      <c r="D58" s="1393"/>
      <c r="E58" s="1393"/>
      <c r="F58" s="1393"/>
      <c r="G58" s="1393"/>
      <c r="H58" s="1393"/>
      <c r="I58" s="1304"/>
      <c r="J58" s="1304"/>
      <c r="K58" s="1304"/>
    </row>
    <row r="59" spans="1:11">
      <c r="A59" s="1393" t="s">
        <v>910</v>
      </c>
      <c r="B59" s="1393"/>
      <c r="C59" s="1393"/>
      <c r="D59" s="1393"/>
      <c r="E59" s="1393"/>
      <c r="F59" s="1393"/>
      <c r="G59" s="1393"/>
      <c r="H59" s="1393"/>
      <c r="I59" s="1304"/>
      <c r="J59" s="1304"/>
      <c r="K59" s="1304"/>
    </row>
    <row r="60" spans="1:11">
      <c r="A60" s="1393" t="s">
        <v>1378</v>
      </c>
      <c r="B60" s="1393"/>
      <c r="C60" s="1393"/>
      <c r="D60" s="1393"/>
      <c r="E60" s="1393"/>
      <c r="F60" s="1393"/>
      <c r="G60" s="1393"/>
      <c r="H60" s="1393"/>
      <c r="I60" s="1304"/>
      <c r="J60" s="1304"/>
      <c r="K60" s="1304"/>
    </row>
    <row r="131" spans="1:11">
      <c r="A131" s="1393" t="s">
        <v>1206</v>
      </c>
      <c r="B131" s="1393"/>
      <c r="C131" s="1393"/>
      <c r="D131" s="1393"/>
      <c r="E131" s="1393"/>
      <c r="F131" s="1393"/>
      <c r="G131" s="1393"/>
      <c r="H131" s="1393"/>
      <c r="I131" s="1304"/>
      <c r="J131" s="1304"/>
      <c r="K131" s="1304"/>
    </row>
    <row r="132" spans="1:11">
      <c r="A132" s="1393" t="s">
        <v>1207</v>
      </c>
      <c r="B132" s="1393"/>
      <c r="C132" s="1393"/>
      <c r="D132" s="1393"/>
      <c r="E132" s="1393"/>
      <c r="F132" s="1393"/>
      <c r="G132" s="1393"/>
      <c r="H132" s="1393"/>
      <c r="I132" s="1304"/>
      <c r="J132" s="1304"/>
      <c r="K132" s="1304"/>
    </row>
    <row r="133" spans="1:11">
      <c r="A133" s="1393" t="str">
        <f>+A60</f>
        <v>2010 - 2015</v>
      </c>
      <c r="B133" s="1393"/>
      <c r="C133" s="1393"/>
      <c r="D133" s="1393"/>
      <c r="E133" s="1393"/>
      <c r="F133" s="1393"/>
      <c r="G133" s="1393"/>
      <c r="H133" s="1393"/>
      <c r="I133" s="1304"/>
      <c r="J133" s="1304"/>
      <c r="K133" s="1304"/>
    </row>
    <row r="204" spans="1:11">
      <c r="A204" s="1393" t="s">
        <v>1206</v>
      </c>
      <c r="B204" s="1393"/>
      <c r="C204" s="1393"/>
      <c r="D204" s="1393"/>
      <c r="E204" s="1393"/>
      <c r="F204" s="1393"/>
      <c r="G204" s="1393"/>
      <c r="H204" s="1393"/>
      <c r="I204" s="1304"/>
      <c r="J204" s="1304"/>
      <c r="K204" s="1304"/>
    </row>
    <row r="205" spans="1:11">
      <c r="A205" s="1393" t="s">
        <v>1207</v>
      </c>
      <c r="B205" s="1393"/>
      <c r="C205" s="1393"/>
      <c r="D205" s="1393"/>
      <c r="E205" s="1393"/>
      <c r="F205" s="1393"/>
      <c r="G205" s="1393"/>
      <c r="H205" s="1393"/>
      <c r="I205" s="1304"/>
      <c r="J205" s="1304"/>
      <c r="K205" s="1304"/>
    </row>
    <row r="206" spans="1:11">
      <c r="A206" s="1393" t="str">
        <f>+A133</f>
        <v>2010 - 2015</v>
      </c>
      <c r="B206" s="1393"/>
      <c r="C206" s="1393"/>
      <c r="D206" s="1393"/>
      <c r="E206" s="1393"/>
      <c r="F206" s="1393"/>
      <c r="G206" s="1393"/>
      <c r="H206" s="1393"/>
      <c r="I206" s="1304"/>
      <c r="J206" s="1304"/>
      <c r="K206" s="1304"/>
    </row>
  </sheetData>
  <mergeCells count="12">
    <mergeCell ref="A205:H205"/>
    <mergeCell ref="A206:H206"/>
    <mergeCell ref="A131:H131"/>
    <mergeCell ref="A132:H132"/>
    <mergeCell ref="A133:H133"/>
    <mergeCell ref="A204:H204"/>
    <mergeCell ref="A59:H59"/>
    <mergeCell ref="A60:H60"/>
    <mergeCell ref="A1:H1"/>
    <mergeCell ref="A3:H3"/>
    <mergeCell ref="A29:B29"/>
    <mergeCell ref="A58:H58"/>
  </mergeCells>
  <phoneticPr fontId="19" type="noConversion"/>
  <pageMargins left="0.78740157480314965" right="0.78740157480314965" top="1.1811023622047245" bottom="0.98425196850393704" header="0" footer="0"/>
  <pageSetup paperSize="5" orientation="portrait" horizontalDpi="300" verticalDpi="300"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0"/>
  <sheetViews>
    <sheetView showGridLines="0" workbookViewId="0">
      <selection activeCell="F33" sqref="F33"/>
    </sheetView>
  </sheetViews>
  <sheetFormatPr baseColWidth="10" defaultRowHeight="12.75"/>
  <cols>
    <col min="1" max="1" width="15.85546875" customWidth="1"/>
    <col min="2" max="2" width="12.42578125" customWidth="1"/>
    <col min="3" max="3" width="14" customWidth="1"/>
    <col min="4" max="5" width="12.28515625" customWidth="1"/>
    <col min="6" max="6" width="13.5703125" customWidth="1"/>
  </cols>
  <sheetData>
    <row r="1" spans="1:8">
      <c r="A1" s="117" t="s">
        <v>1208</v>
      </c>
      <c r="B1" s="117"/>
      <c r="C1" s="184"/>
      <c r="D1" s="184"/>
      <c r="E1" s="184"/>
      <c r="F1" s="184"/>
    </row>
    <row r="2" spans="1:8">
      <c r="A2" s="117" t="s">
        <v>1209</v>
      </c>
      <c r="B2" s="117"/>
      <c r="C2" s="184"/>
      <c r="D2" s="184"/>
      <c r="E2" s="184"/>
      <c r="F2" s="184"/>
    </row>
    <row r="3" spans="1:8">
      <c r="A3" s="117" t="s">
        <v>910</v>
      </c>
      <c r="B3" s="117"/>
      <c r="C3" s="184"/>
      <c r="D3" s="184"/>
      <c r="E3" s="184"/>
      <c r="F3" s="184"/>
    </row>
    <row r="4" spans="1:8">
      <c r="A4" s="117"/>
      <c r="B4" s="117"/>
      <c r="C4" s="184"/>
      <c r="D4" s="184"/>
      <c r="E4" s="184"/>
      <c r="F4" s="184"/>
    </row>
    <row r="5" spans="1:8">
      <c r="A5" s="1"/>
      <c r="B5" s="1"/>
      <c r="C5" s="1"/>
      <c r="D5" s="1"/>
      <c r="E5" s="1"/>
      <c r="F5" s="1"/>
    </row>
    <row r="6" spans="1:8" ht="28.5" customHeight="1">
      <c r="A6" s="160" t="s">
        <v>1210</v>
      </c>
      <c r="B6" s="477" t="s">
        <v>1211</v>
      </c>
      <c r="C6" s="160">
        <v>2012</v>
      </c>
      <c r="D6" s="160">
        <v>2013</v>
      </c>
      <c r="E6" s="160">
        <v>2014</v>
      </c>
      <c r="F6" s="160">
        <v>2015</v>
      </c>
    </row>
    <row r="7" spans="1:8" ht="19.5" customHeight="1">
      <c r="A7" s="64"/>
      <c r="B7" s="635" t="s">
        <v>1212</v>
      </c>
      <c r="C7" s="632">
        <v>73139</v>
      </c>
      <c r="D7" s="632">
        <v>66280</v>
      </c>
      <c r="E7" s="632">
        <v>57638</v>
      </c>
      <c r="F7" s="632">
        <f>+[39]D15!C13+[39]D15!C67+[40]D15!C35</f>
        <v>60004</v>
      </c>
      <c r="G7" s="118"/>
      <c r="H7" s="118"/>
    </row>
    <row r="8" spans="1:8" ht="19.5" customHeight="1">
      <c r="A8" s="633" t="s">
        <v>1213</v>
      </c>
      <c r="B8" s="637" t="s">
        <v>1214</v>
      </c>
      <c r="C8" s="632">
        <v>143942</v>
      </c>
      <c r="D8" s="632">
        <v>136883</v>
      </c>
      <c r="E8" s="632">
        <v>128786</v>
      </c>
      <c r="F8" s="632">
        <f>+[39]D15!C14+[39]D15!C68</f>
        <v>125481</v>
      </c>
      <c r="G8" s="118"/>
    </row>
    <row r="9" spans="1:8" ht="19.5" customHeight="1">
      <c r="A9" s="633"/>
      <c r="B9" s="637" t="s">
        <v>1215</v>
      </c>
      <c r="C9" s="632">
        <v>31778</v>
      </c>
      <c r="D9" s="632">
        <v>29857</v>
      </c>
      <c r="E9" s="632">
        <v>30449</v>
      </c>
      <c r="F9" s="632">
        <f>+[39]D15!C15+[39]D15!C69</f>
        <v>29161</v>
      </c>
      <c r="G9" s="118"/>
      <c r="H9" s="118"/>
    </row>
    <row r="10" spans="1:8" ht="19.5" customHeight="1">
      <c r="A10" s="305"/>
      <c r="B10" s="638" t="s">
        <v>1216</v>
      </c>
      <c r="C10" s="634">
        <v>248859</v>
      </c>
      <c r="D10" s="634">
        <v>233020</v>
      </c>
      <c r="E10" s="634">
        <v>216873</v>
      </c>
      <c r="F10" s="634">
        <f>SUM(F7:F9)</f>
        <v>214646</v>
      </c>
      <c r="G10" s="118"/>
    </row>
    <row r="11" spans="1:8" ht="19.5" customHeight="1">
      <c r="A11" s="94"/>
      <c r="B11" s="635" t="s">
        <v>1212</v>
      </c>
      <c r="C11" s="636">
        <v>338</v>
      </c>
      <c r="D11" s="636">
        <v>506</v>
      </c>
      <c r="E11" s="632">
        <v>4961</v>
      </c>
      <c r="F11" s="632">
        <f>+[39]D15!C18+[39]D15!C72</f>
        <v>4967</v>
      </c>
      <c r="G11" s="118"/>
    </row>
    <row r="12" spans="1:8" ht="19.5" customHeight="1">
      <c r="A12" s="195"/>
      <c r="B12" s="637" t="s">
        <v>1214</v>
      </c>
      <c r="C12" s="632">
        <v>472</v>
      </c>
      <c r="D12" s="632">
        <v>336</v>
      </c>
      <c r="E12" s="632">
        <v>8662</v>
      </c>
      <c r="F12" s="632">
        <f>+[39]D15!C19+[39]D15!C73</f>
        <v>7925</v>
      </c>
      <c r="G12" s="118"/>
    </row>
    <row r="13" spans="1:8" ht="19.5" customHeight="1">
      <c r="A13" s="633" t="s">
        <v>1217</v>
      </c>
      <c r="B13" s="637" t="s">
        <v>1215</v>
      </c>
      <c r="C13" s="632">
        <v>5111</v>
      </c>
      <c r="D13" s="632">
        <v>4396</v>
      </c>
      <c r="E13" s="632">
        <v>5073</v>
      </c>
      <c r="F13" s="632">
        <f>+[39]D15!C21+[39]D15!C75</f>
        <v>3661</v>
      </c>
      <c r="G13" s="118"/>
    </row>
    <row r="14" spans="1:8" ht="19.5" customHeight="1">
      <c r="A14" s="94"/>
      <c r="B14" s="637" t="s">
        <v>1218</v>
      </c>
      <c r="C14" s="632">
        <v>648</v>
      </c>
      <c r="D14" s="632">
        <v>690</v>
      </c>
      <c r="E14" s="632">
        <v>650</v>
      </c>
      <c r="F14" s="632">
        <f>+[39]D15!C20+[39]D15!C74+[40]D15!C36+[40]D15!C90</f>
        <v>667</v>
      </c>
      <c r="G14" s="118"/>
    </row>
    <row r="15" spans="1:8" ht="19.5" customHeight="1">
      <c r="A15" s="15"/>
      <c r="B15" s="638" t="s">
        <v>1219</v>
      </c>
      <c r="C15" s="632">
        <v>6569</v>
      </c>
      <c r="D15" s="632">
        <v>5928</v>
      </c>
      <c r="E15" s="634">
        <v>19346</v>
      </c>
      <c r="F15" s="634">
        <f>SUM(F11:F14)</f>
        <v>17220</v>
      </c>
      <c r="G15" s="118"/>
    </row>
    <row r="16" spans="1:8" ht="19.5" customHeight="1">
      <c r="A16" s="339"/>
      <c r="B16" s="635" t="s">
        <v>1212</v>
      </c>
      <c r="C16" s="636">
        <v>4512</v>
      </c>
      <c r="D16" s="557">
        <v>4097</v>
      </c>
      <c r="E16" s="632">
        <v>3753</v>
      </c>
      <c r="F16" s="632">
        <f>+[39]D15!C24+[39]D15!C78</f>
        <v>3686</v>
      </c>
      <c r="G16" s="118"/>
    </row>
    <row r="17" spans="1:8" ht="19.5" customHeight="1">
      <c r="A17" s="633" t="s">
        <v>1217</v>
      </c>
      <c r="B17" s="637" t="s">
        <v>1214</v>
      </c>
      <c r="C17" s="632">
        <v>3752</v>
      </c>
      <c r="D17" s="533">
        <v>3792</v>
      </c>
      <c r="E17" s="632">
        <v>3187</v>
      </c>
      <c r="F17" s="632">
        <f>+[39]D15!C25+[39]D15!C79</f>
        <v>3407</v>
      </c>
      <c r="G17" s="118"/>
    </row>
    <row r="18" spans="1:8" ht="19.5" customHeight="1">
      <c r="A18" s="633" t="s">
        <v>1220</v>
      </c>
      <c r="B18" s="637" t="s">
        <v>1218</v>
      </c>
      <c r="C18" s="632">
        <v>6700</v>
      </c>
      <c r="D18" s="533">
        <v>6453</v>
      </c>
      <c r="E18" s="632">
        <v>5771</v>
      </c>
      <c r="F18" s="632">
        <f>+[39]D15!C26+[39]D15!C80</f>
        <v>6059</v>
      </c>
      <c r="G18" s="118"/>
    </row>
    <row r="19" spans="1:8" ht="19.5" customHeight="1">
      <c r="A19" s="151"/>
      <c r="B19" s="638" t="s">
        <v>1219</v>
      </c>
      <c r="C19" s="632">
        <v>14964</v>
      </c>
      <c r="D19" s="533">
        <v>14342</v>
      </c>
      <c r="E19" s="533">
        <v>12711</v>
      </c>
      <c r="F19" s="533">
        <f>SUM(F16:F18)</f>
        <v>13152</v>
      </c>
      <c r="G19" s="118"/>
    </row>
    <row r="20" spans="1:8" ht="19.5" customHeight="1">
      <c r="A20" s="195"/>
      <c r="B20" s="635" t="s">
        <v>1212</v>
      </c>
      <c r="C20" s="636">
        <v>77989</v>
      </c>
      <c r="D20" s="557">
        <v>70883</v>
      </c>
      <c r="E20" s="557">
        <v>66352</v>
      </c>
      <c r="F20" s="557">
        <f>+F7+F11+F16</f>
        <v>68657</v>
      </c>
      <c r="G20" s="118"/>
      <c r="H20" s="118"/>
    </row>
    <row r="21" spans="1:8" ht="19.5" customHeight="1">
      <c r="A21" s="195" t="s">
        <v>1221</v>
      </c>
      <c r="B21" s="637" t="s">
        <v>1214</v>
      </c>
      <c r="C21" s="632">
        <v>148166</v>
      </c>
      <c r="D21" s="533">
        <v>141011</v>
      </c>
      <c r="E21" s="533">
        <v>140635</v>
      </c>
      <c r="F21" s="533">
        <f>+F8+F12+F17</f>
        <v>136813</v>
      </c>
      <c r="G21" s="118"/>
      <c r="H21" s="118"/>
    </row>
    <row r="22" spans="1:8" ht="19.5" customHeight="1">
      <c r="A22" s="94"/>
      <c r="B22" s="637" t="s">
        <v>1215</v>
      </c>
      <c r="C22" s="632">
        <v>36889</v>
      </c>
      <c r="D22" s="533">
        <v>34253</v>
      </c>
      <c r="E22" s="533">
        <v>35522</v>
      </c>
      <c r="F22" s="533">
        <f>+F9+F13</f>
        <v>32822</v>
      </c>
      <c r="G22" s="118"/>
      <c r="H22" s="118"/>
    </row>
    <row r="23" spans="1:8" ht="19.5" customHeight="1">
      <c r="A23" s="94"/>
      <c r="B23" s="637" t="s">
        <v>1218</v>
      </c>
      <c r="C23" s="632">
        <v>7348</v>
      </c>
      <c r="D23" s="533">
        <v>7143</v>
      </c>
      <c r="E23" s="533">
        <v>6421</v>
      </c>
      <c r="F23" s="533">
        <f>+F14+F18</f>
        <v>6726</v>
      </c>
      <c r="G23" s="118"/>
      <c r="H23" s="118"/>
    </row>
    <row r="24" spans="1:8" ht="19.5" customHeight="1">
      <c r="A24" s="15"/>
      <c r="B24" s="638" t="s">
        <v>1221</v>
      </c>
      <c r="C24" s="634">
        <f>SUM(C20:C23)</f>
        <v>270392</v>
      </c>
      <c r="D24" s="634">
        <f>SUM(D20:D23)</f>
        <v>253290</v>
      </c>
      <c r="E24" s="552">
        <f>SUM(E20:E23)</f>
        <v>248930</v>
      </c>
      <c r="F24" s="552">
        <f>SUM(F20:F23)</f>
        <v>245018</v>
      </c>
      <c r="G24" s="118"/>
    </row>
    <row r="25" spans="1:8" ht="19.5" customHeight="1">
      <c r="A25" s="561"/>
      <c r="B25" s="1124"/>
      <c r="C25" s="548"/>
      <c r="D25" s="548"/>
      <c r="E25" s="548"/>
      <c r="F25" s="548"/>
      <c r="G25" s="118"/>
    </row>
    <row r="26" spans="1:8" ht="19.5" customHeight="1">
      <c r="A26" s="1378" t="s">
        <v>1320</v>
      </c>
      <c r="B26" s="1378"/>
      <c r="C26" s="1378"/>
      <c r="D26" s="1378"/>
      <c r="E26" s="1378"/>
      <c r="F26" s="548"/>
      <c r="G26" s="118"/>
    </row>
    <row r="27" spans="1:8" ht="19.5" customHeight="1">
      <c r="A27" s="1268"/>
      <c r="B27" s="1268"/>
      <c r="C27" s="1268"/>
      <c r="D27" s="1268"/>
      <c r="E27" s="1268"/>
      <c r="F27" s="548"/>
      <c r="G27" s="118"/>
    </row>
    <row r="28" spans="1:8" ht="19.5" customHeight="1">
      <c r="A28" s="1419" t="s">
        <v>1211</v>
      </c>
      <c r="B28" s="1421"/>
      <c r="C28" s="159">
        <v>2012</v>
      </c>
      <c r="D28" s="160">
        <v>2013</v>
      </c>
      <c r="E28" s="160">
        <v>2014</v>
      </c>
      <c r="F28" s="160">
        <v>2015</v>
      </c>
      <c r="G28" s="118"/>
    </row>
    <row r="29" spans="1:8" ht="19.5" customHeight="1">
      <c r="A29" s="1419" t="s">
        <v>1223</v>
      </c>
      <c r="B29" s="1421"/>
      <c r="C29" s="1125">
        <v>73111</v>
      </c>
      <c r="D29" s="1125">
        <v>70032</v>
      </c>
      <c r="E29" s="1125">
        <v>80348</v>
      </c>
      <c r="F29" s="1125">
        <f>+[39]D16!$B$14</f>
        <v>84192</v>
      </c>
      <c r="G29" s="118"/>
    </row>
    <row r="30" spans="1:8" ht="19.5" customHeight="1">
      <c r="A30" s="1452" t="s">
        <v>1319</v>
      </c>
      <c r="B30" s="1453"/>
      <c r="C30" s="1125">
        <v>73113</v>
      </c>
      <c r="D30" s="1125">
        <v>70175</v>
      </c>
      <c r="E30" s="1125">
        <v>80348</v>
      </c>
      <c r="F30" s="1125">
        <f>+[39]D16!$C$14</f>
        <v>84192</v>
      </c>
      <c r="G30" s="118"/>
    </row>
    <row r="31" spans="1:8">
      <c r="C31" s="118"/>
      <c r="D31" s="118"/>
      <c r="E31" s="118"/>
    </row>
    <row r="32" spans="1:8">
      <c r="C32" s="118"/>
      <c r="D32" s="118"/>
      <c r="E32" s="118"/>
    </row>
    <row r="33" spans="3:5">
      <c r="C33" s="118"/>
      <c r="D33" s="118"/>
      <c r="E33" s="118"/>
    </row>
    <row r="34" spans="3:5">
      <c r="C34" s="118"/>
      <c r="D34" s="118"/>
      <c r="E34" s="118"/>
    </row>
    <row r="35" spans="3:5">
      <c r="C35" s="118"/>
      <c r="D35" s="118"/>
      <c r="E35" s="118"/>
    </row>
    <row r="36" spans="3:5">
      <c r="C36" s="118"/>
      <c r="D36" s="118"/>
      <c r="E36" s="118"/>
    </row>
    <row r="37" spans="3:5">
      <c r="C37" s="118"/>
      <c r="D37" s="118"/>
      <c r="E37" s="118"/>
    </row>
    <row r="38" spans="3:5">
      <c r="C38" s="118"/>
      <c r="D38" s="118"/>
      <c r="E38" s="118"/>
    </row>
    <row r="39" spans="3:5">
      <c r="C39" s="118"/>
      <c r="D39" s="118"/>
      <c r="E39" s="118"/>
    </row>
    <row r="40" spans="3:5">
      <c r="C40" s="118"/>
      <c r="D40" s="118"/>
      <c r="E40" s="118"/>
    </row>
    <row r="41" spans="3:5">
      <c r="C41" s="118"/>
      <c r="D41" s="118"/>
      <c r="E41" s="118"/>
    </row>
    <row r="42" spans="3:5">
      <c r="C42" s="118"/>
      <c r="D42" s="118"/>
      <c r="E42" s="118"/>
    </row>
    <row r="43" spans="3:5">
      <c r="C43" s="118"/>
      <c r="D43" s="118"/>
      <c r="E43" s="118"/>
    </row>
    <row r="44" spans="3:5">
      <c r="C44" s="118"/>
      <c r="D44" s="118"/>
      <c r="E44" s="118"/>
    </row>
    <row r="45" spans="3:5">
      <c r="C45" s="118"/>
      <c r="D45" s="118"/>
      <c r="E45" s="118"/>
    </row>
    <row r="46" spans="3:5">
      <c r="C46" s="118"/>
      <c r="D46" s="118"/>
      <c r="E46" s="118"/>
    </row>
    <row r="47" spans="3:5">
      <c r="C47" s="118"/>
      <c r="D47" s="118"/>
      <c r="E47" s="118"/>
    </row>
    <row r="48" spans="3:5">
      <c r="C48" s="118"/>
      <c r="D48" s="118"/>
      <c r="E48" s="118"/>
    </row>
    <row r="49" spans="3:5">
      <c r="C49" s="118"/>
      <c r="D49" s="118"/>
      <c r="E49" s="118"/>
    </row>
    <row r="50" spans="3:5">
      <c r="C50" s="118"/>
      <c r="D50" s="118"/>
      <c r="E50" s="118"/>
    </row>
    <row r="51" spans="3:5">
      <c r="C51" s="118"/>
      <c r="D51" s="118"/>
      <c r="E51" s="118"/>
    </row>
    <row r="52" spans="3:5">
      <c r="C52" s="118"/>
      <c r="D52" s="118"/>
      <c r="E52" s="118"/>
    </row>
    <row r="53" spans="3:5">
      <c r="C53" s="118"/>
      <c r="D53" s="118"/>
      <c r="E53" s="118"/>
    </row>
    <row r="54" spans="3:5">
      <c r="C54" s="118"/>
      <c r="D54" s="118"/>
      <c r="E54" s="118"/>
    </row>
    <row r="55" spans="3:5">
      <c r="C55" s="118"/>
      <c r="D55" s="118"/>
      <c r="E55" s="118"/>
    </row>
    <row r="56" spans="3:5">
      <c r="C56" s="118"/>
      <c r="D56" s="118"/>
      <c r="E56" s="118"/>
    </row>
    <row r="57" spans="3:5">
      <c r="C57" s="118"/>
      <c r="D57" s="118"/>
      <c r="E57" s="118"/>
    </row>
    <row r="58" spans="3:5">
      <c r="C58" s="118"/>
      <c r="D58" s="118"/>
      <c r="E58" s="118"/>
    </row>
    <row r="59" spans="3:5">
      <c r="C59" s="118"/>
      <c r="D59" s="118"/>
      <c r="E59" s="118"/>
    </row>
    <row r="60" spans="3:5">
      <c r="C60" s="118"/>
      <c r="D60" s="118"/>
      <c r="E60" s="118"/>
    </row>
    <row r="61" spans="3:5">
      <c r="C61" s="118"/>
      <c r="D61" s="118"/>
      <c r="E61" s="118"/>
    </row>
    <row r="62" spans="3:5">
      <c r="C62" s="118"/>
      <c r="D62" s="118"/>
      <c r="E62" s="118"/>
    </row>
    <row r="63" spans="3:5">
      <c r="C63" s="118"/>
      <c r="D63" s="118"/>
      <c r="E63" s="118"/>
    </row>
    <row r="64" spans="3:5">
      <c r="C64" s="118"/>
      <c r="D64" s="118"/>
      <c r="E64" s="118"/>
    </row>
    <row r="65" spans="3:5">
      <c r="C65" s="118"/>
      <c r="D65" s="118"/>
      <c r="E65" s="118"/>
    </row>
    <row r="66" spans="3:5">
      <c r="C66" s="118"/>
      <c r="D66" s="118"/>
      <c r="E66" s="118"/>
    </row>
    <row r="67" spans="3:5">
      <c r="C67" s="118"/>
      <c r="D67" s="118"/>
      <c r="E67" s="118"/>
    </row>
    <row r="68" spans="3:5">
      <c r="C68" s="118"/>
      <c r="D68" s="118"/>
      <c r="E68" s="118"/>
    </row>
    <row r="69" spans="3:5">
      <c r="C69" s="118"/>
      <c r="D69" s="118"/>
      <c r="E69" s="118"/>
    </row>
    <row r="70" spans="3:5">
      <c r="C70" s="118"/>
      <c r="D70" s="118"/>
      <c r="E70" s="118"/>
    </row>
    <row r="71" spans="3:5">
      <c r="C71" s="118"/>
      <c r="D71" s="118"/>
      <c r="E71" s="118"/>
    </row>
    <row r="72" spans="3:5">
      <c r="C72" s="118"/>
      <c r="D72" s="118"/>
      <c r="E72" s="118"/>
    </row>
    <row r="73" spans="3:5">
      <c r="C73" s="118"/>
      <c r="D73" s="118"/>
      <c r="E73" s="118"/>
    </row>
    <row r="74" spans="3:5">
      <c r="C74" s="118"/>
      <c r="D74" s="118"/>
      <c r="E74" s="118"/>
    </row>
    <row r="75" spans="3:5">
      <c r="C75" s="118"/>
      <c r="D75" s="118"/>
      <c r="E75" s="118"/>
    </row>
    <row r="76" spans="3:5">
      <c r="C76" s="118"/>
      <c r="D76" s="118"/>
      <c r="E76" s="118"/>
    </row>
    <row r="77" spans="3:5">
      <c r="C77" s="118"/>
      <c r="D77" s="118"/>
      <c r="E77" s="118"/>
    </row>
    <row r="78" spans="3:5">
      <c r="C78" s="118"/>
      <c r="D78" s="118"/>
      <c r="E78" s="118"/>
    </row>
    <row r="79" spans="3:5">
      <c r="C79" s="118"/>
      <c r="D79" s="118"/>
      <c r="E79" s="118"/>
    </row>
    <row r="80" spans="3:5">
      <c r="C80" s="118"/>
      <c r="D80" s="118"/>
      <c r="E80" s="118"/>
    </row>
    <row r="81" spans="3:5">
      <c r="C81" s="118"/>
      <c r="D81" s="118"/>
      <c r="E81" s="118"/>
    </row>
    <row r="82" spans="3:5">
      <c r="C82" s="118"/>
      <c r="D82" s="118"/>
      <c r="E82" s="118"/>
    </row>
    <row r="83" spans="3:5">
      <c r="C83" s="118"/>
      <c r="D83" s="118"/>
      <c r="E83" s="118"/>
    </row>
    <row r="84" spans="3:5">
      <c r="C84" s="118"/>
      <c r="D84" s="118"/>
      <c r="E84" s="118"/>
    </row>
    <row r="85" spans="3:5">
      <c r="C85" s="118"/>
      <c r="D85" s="118"/>
      <c r="E85" s="118"/>
    </row>
    <row r="86" spans="3:5">
      <c r="C86" s="118"/>
      <c r="D86" s="118"/>
      <c r="E86" s="118"/>
    </row>
    <row r="87" spans="3:5">
      <c r="C87" s="118"/>
      <c r="D87" s="118"/>
      <c r="E87" s="118"/>
    </row>
    <row r="88" spans="3:5">
      <c r="C88" s="118"/>
      <c r="D88" s="118"/>
      <c r="E88" s="118"/>
    </row>
    <row r="89" spans="3:5">
      <c r="C89" s="118"/>
      <c r="D89" s="118"/>
      <c r="E89" s="118"/>
    </row>
    <row r="90" spans="3:5">
      <c r="C90" s="118"/>
      <c r="D90" s="118"/>
      <c r="E90" s="118"/>
    </row>
    <row r="91" spans="3:5">
      <c r="C91" s="118"/>
      <c r="D91" s="118"/>
      <c r="E91" s="118"/>
    </row>
    <row r="92" spans="3:5">
      <c r="C92" s="118"/>
      <c r="D92" s="118"/>
      <c r="E92" s="118"/>
    </row>
    <row r="93" spans="3:5">
      <c r="C93" s="118"/>
      <c r="D93" s="118"/>
      <c r="E93" s="118"/>
    </row>
    <row r="94" spans="3:5">
      <c r="C94" s="118"/>
      <c r="D94" s="118"/>
      <c r="E94" s="118"/>
    </row>
    <row r="95" spans="3:5">
      <c r="C95" s="118"/>
      <c r="D95" s="118"/>
      <c r="E95" s="118"/>
    </row>
    <row r="96" spans="3:5">
      <c r="C96" s="118"/>
      <c r="D96" s="118"/>
      <c r="E96" s="118"/>
    </row>
    <row r="97" spans="3:5">
      <c r="C97" s="118"/>
      <c r="D97" s="118"/>
      <c r="E97" s="118"/>
    </row>
    <row r="98" spans="3:5">
      <c r="C98" s="118"/>
      <c r="D98" s="118"/>
      <c r="E98" s="118"/>
    </row>
    <row r="99" spans="3:5">
      <c r="C99" s="118"/>
      <c r="D99" s="118"/>
      <c r="E99" s="118"/>
    </row>
    <row r="100" spans="3:5">
      <c r="C100" s="118"/>
      <c r="D100" s="118"/>
      <c r="E100" s="118"/>
    </row>
    <row r="101" spans="3:5">
      <c r="C101" s="118"/>
      <c r="D101" s="118"/>
      <c r="E101" s="118"/>
    </row>
    <row r="102" spans="3:5">
      <c r="C102" s="118"/>
      <c r="D102" s="118"/>
      <c r="E102" s="118"/>
    </row>
    <row r="103" spans="3:5">
      <c r="C103" s="118"/>
      <c r="D103" s="118"/>
      <c r="E103" s="118"/>
    </row>
    <row r="104" spans="3:5">
      <c r="C104" s="118"/>
      <c r="D104" s="118"/>
      <c r="E104" s="118"/>
    </row>
    <row r="105" spans="3:5">
      <c r="C105" s="118"/>
      <c r="D105" s="118"/>
      <c r="E105" s="118"/>
    </row>
    <row r="106" spans="3:5">
      <c r="C106" s="118"/>
      <c r="D106" s="118"/>
      <c r="E106" s="118"/>
    </row>
    <row r="107" spans="3:5">
      <c r="C107" s="118"/>
      <c r="D107" s="118"/>
      <c r="E107" s="118"/>
    </row>
    <row r="108" spans="3:5">
      <c r="C108" s="118"/>
      <c r="D108" s="118"/>
      <c r="E108" s="118"/>
    </row>
    <row r="109" spans="3:5">
      <c r="C109" s="118"/>
      <c r="D109" s="118"/>
      <c r="E109" s="118"/>
    </row>
    <row r="110" spans="3:5">
      <c r="C110" s="118"/>
      <c r="D110" s="118"/>
      <c r="E110" s="118"/>
    </row>
  </sheetData>
  <mergeCells count="4">
    <mergeCell ref="A26:E26"/>
    <mergeCell ref="A28:B28"/>
    <mergeCell ref="A29:B29"/>
    <mergeCell ref="A30:B30"/>
  </mergeCells>
  <phoneticPr fontId="19" type="noConversion"/>
  <printOptions gridLinesSet="0"/>
  <pageMargins left="1.3779527559055118" right="0.78740157480314965" top="1.3779527559055118" bottom="0.98425196850393704" header="0.51181102362204722" footer="0.51181102362204722"/>
  <pageSetup paperSize="5" scale="95" orientation="portrait" horizontalDpi="300" verticalDpi="300" r:id="rId1"/>
  <headerFooter alignWithMargins="0">
    <oddHeader xml:space="preserve">&amp;R
</oddHead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7"/>
  <sheetViews>
    <sheetView topLeftCell="J7" zoomScale="75" workbookViewId="0">
      <selection activeCell="AJ14" sqref="AJ14"/>
    </sheetView>
  </sheetViews>
  <sheetFormatPr baseColWidth="10" defaultRowHeight="12.75"/>
  <cols>
    <col min="1" max="1" width="17" customWidth="1"/>
    <col min="2" max="2" width="19.7109375" customWidth="1"/>
    <col min="3" max="32" width="9.42578125" customWidth="1"/>
    <col min="33" max="33" width="13" customWidth="1"/>
    <col min="34" max="35" width="13.28515625" customWidth="1"/>
  </cols>
  <sheetData>
    <row r="1" spans="1:35">
      <c r="A1" s="1456" t="s">
        <v>1227</v>
      </c>
      <c r="B1" s="1456"/>
      <c r="C1" s="1456"/>
      <c r="D1" s="1456"/>
      <c r="E1" s="1456"/>
      <c r="F1" s="1456"/>
      <c r="G1" s="1456"/>
      <c r="H1" s="1456"/>
      <c r="I1" s="1456"/>
      <c r="J1" s="1456"/>
      <c r="K1" s="1456"/>
      <c r="L1" s="1456"/>
      <c r="M1" s="1456"/>
      <c r="N1" s="1456"/>
      <c r="O1" s="1456"/>
      <c r="P1" s="1456"/>
      <c r="Q1" s="1456"/>
      <c r="R1" s="1456"/>
      <c r="S1" s="1456"/>
      <c r="T1" s="1456"/>
      <c r="U1" s="1456"/>
      <c r="V1" s="1456"/>
      <c r="W1" s="1456"/>
      <c r="X1" s="1456"/>
      <c r="Y1" s="1456"/>
      <c r="Z1" s="1456"/>
      <c r="AA1" s="1456"/>
      <c r="AB1" s="1456"/>
      <c r="AC1" s="1456"/>
      <c r="AD1" s="1456"/>
      <c r="AE1" s="1456"/>
      <c r="AF1" s="1456"/>
      <c r="AG1" s="1456"/>
      <c r="AH1" s="1456"/>
      <c r="AI1" s="1456"/>
    </row>
    <row r="2" spans="1:35">
      <c r="A2" s="1456" t="s">
        <v>1376</v>
      </c>
      <c r="B2" s="1456"/>
      <c r="C2" s="1456"/>
      <c r="D2" s="1456"/>
      <c r="E2" s="1456"/>
      <c r="F2" s="1456"/>
      <c r="G2" s="1456"/>
      <c r="H2" s="1456"/>
      <c r="I2" s="1456"/>
      <c r="J2" s="1456"/>
      <c r="K2" s="1456"/>
      <c r="L2" s="1456"/>
      <c r="M2" s="1456"/>
      <c r="N2" s="1456"/>
      <c r="O2" s="1456"/>
      <c r="P2" s="1456"/>
      <c r="Q2" s="1456"/>
      <c r="R2" s="1456"/>
      <c r="S2" s="1456"/>
      <c r="T2" s="1456"/>
      <c r="U2" s="1456"/>
      <c r="V2" s="1456"/>
      <c r="W2" s="1456"/>
      <c r="X2" s="1456"/>
      <c r="Y2" s="1456"/>
      <c r="Z2" s="1456"/>
      <c r="AA2" s="1456"/>
      <c r="AB2" s="1456"/>
      <c r="AC2" s="1456"/>
      <c r="AD2" s="1456"/>
      <c r="AE2" s="1456"/>
      <c r="AF2" s="1456"/>
      <c r="AG2" s="1456"/>
      <c r="AH2" s="1456"/>
      <c r="AI2" s="1456"/>
    </row>
    <row r="3" spans="1:35">
      <c r="A3" s="1457"/>
      <c r="B3" s="1457"/>
      <c r="C3" s="1457"/>
      <c r="D3" s="1457"/>
      <c r="E3" s="1457"/>
      <c r="F3" s="1457"/>
      <c r="G3" s="1457"/>
      <c r="H3" s="1457"/>
      <c r="I3" s="1457"/>
      <c r="J3" s="1457"/>
      <c r="K3" s="1457"/>
      <c r="L3" s="1457"/>
      <c r="M3" s="1457"/>
      <c r="N3" s="1457"/>
      <c r="O3" s="1457"/>
      <c r="P3" s="1457"/>
      <c r="Q3" s="1457"/>
      <c r="R3" s="1457"/>
      <c r="S3" s="1457"/>
      <c r="T3" s="1457"/>
      <c r="U3" s="1457"/>
      <c r="V3" s="1457"/>
      <c r="W3" s="1457"/>
      <c r="X3" s="1457"/>
      <c r="Y3" s="1457"/>
      <c r="Z3" s="1457"/>
      <c r="AA3" s="1457"/>
      <c r="AB3" s="1457"/>
      <c r="AC3" s="1457"/>
      <c r="AD3" s="1457"/>
      <c r="AE3" s="1457"/>
      <c r="AF3" s="1457"/>
      <c r="AG3" s="1457"/>
      <c r="AH3" s="1457"/>
      <c r="AI3" s="1457"/>
    </row>
    <row r="7" spans="1:35">
      <c r="A7" s="640"/>
    </row>
    <row r="8" spans="1:35" ht="31.5" customHeight="1">
      <c r="A8" s="432" t="s">
        <v>1228</v>
      </c>
      <c r="B8" s="641" t="s">
        <v>1229</v>
      </c>
      <c r="C8" s="1460" t="s">
        <v>1460</v>
      </c>
      <c r="D8" s="1461"/>
      <c r="E8" s="1454" t="s">
        <v>1461</v>
      </c>
      <c r="F8" s="1462"/>
      <c r="G8" s="1454" t="s">
        <v>1462</v>
      </c>
      <c r="H8" s="1462"/>
      <c r="I8" s="1454" t="s">
        <v>1463</v>
      </c>
      <c r="J8" s="1462"/>
      <c r="K8" s="1454" t="s">
        <v>1464</v>
      </c>
      <c r="L8" s="1462"/>
      <c r="M8" s="1454" t="s">
        <v>1465</v>
      </c>
      <c r="N8" s="1455"/>
      <c r="O8" s="1454" t="s">
        <v>1466</v>
      </c>
      <c r="P8" s="1455"/>
      <c r="Q8" s="1454" t="s">
        <v>1467</v>
      </c>
      <c r="R8" s="1455"/>
      <c r="S8" s="1454" t="s">
        <v>1468</v>
      </c>
      <c r="T8" s="1455"/>
      <c r="U8" s="1454" t="s">
        <v>1469</v>
      </c>
      <c r="V8" s="1455"/>
      <c r="W8" s="1454" t="s">
        <v>1470</v>
      </c>
      <c r="X8" s="1455"/>
      <c r="Y8" s="1454" t="s">
        <v>1471</v>
      </c>
      <c r="Z8" s="1455"/>
      <c r="AA8" s="1454" t="s">
        <v>1472</v>
      </c>
      <c r="AB8" s="1455"/>
      <c r="AC8" s="1454" t="s">
        <v>1473</v>
      </c>
      <c r="AD8" s="1455"/>
      <c r="AE8" s="1458" t="s">
        <v>535</v>
      </c>
      <c r="AF8" s="1459"/>
      <c r="AG8" s="642" t="s">
        <v>1230</v>
      </c>
      <c r="AH8" s="643" t="s">
        <v>1231</v>
      </c>
      <c r="AI8" s="643" t="s">
        <v>1232</v>
      </c>
    </row>
    <row r="9" spans="1:35" ht="28.5" customHeight="1">
      <c r="A9" s="381"/>
      <c r="B9" s="644"/>
      <c r="C9" s="645" t="s">
        <v>1233</v>
      </c>
      <c r="D9" s="646" t="s">
        <v>1234</v>
      </c>
      <c r="E9" s="647" t="s">
        <v>1233</v>
      </c>
      <c r="F9" s="646" t="s">
        <v>1234</v>
      </c>
      <c r="G9" s="647" t="s">
        <v>1233</v>
      </c>
      <c r="H9" s="646" t="s">
        <v>1234</v>
      </c>
      <c r="I9" s="647" t="s">
        <v>1233</v>
      </c>
      <c r="J9" s="646" t="s">
        <v>1234</v>
      </c>
      <c r="K9" s="647" t="s">
        <v>1233</v>
      </c>
      <c r="L9" s="646" t="s">
        <v>1234</v>
      </c>
      <c r="M9" s="647" t="s">
        <v>1233</v>
      </c>
      <c r="N9" s="646" t="s">
        <v>1234</v>
      </c>
      <c r="O9" s="647" t="s">
        <v>1233</v>
      </c>
      <c r="P9" s="646" t="s">
        <v>1234</v>
      </c>
      <c r="Q9" s="647" t="s">
        <v>1233</v>
      </c>
      <c r="R9" s="646" t="s">
        <v>1234</v>
      </c>
      <c r="S9" s="647" t="s">
        <v>1233</v>
      </c>
      <c r="T9" s="646" t="s">
        <v>1234</v>
      </c>
      <c r="U9" s="647" t="s">
        <v>1233</v>
      </c>
      <c r="V9" s="646" t="s">
        <v>1234</v>
      </c>
      <c r="W9" s="647" t="s">
        <v>1233</v>
      </c>
      <c r="X9" s="646" t="s">
        <v>1234</v>
      </c>
      <c r="Y9" s="647" t="s">
        <v>1233</v>
      </c>
      <c r="Z9" s="646" t="s">
        <v>1234</v>
      </c>
      <c r="AA9" s="647" t="s">
        <v>1233</v>
      </c>
      <c r="AB9" s="646" t="s">
        <v>1234</v>
      </c>
      <c r="AC9" s="647" t="s">
        <v>1233</v>
      </c>
      <c r="AD9" s="646" t="s">
        <v>1234</v>
      </c>
      <c r="AE9" s="647" t="s">
        <v>1233</v>
      </c>
      <c r="AF9" s="648" t="s">
        <v>1234</v>
      </c>
      <c r="AG9" s="649" t="s">
        <v>1235</v>
      </c>
      <c r="AH9" s="650" t="s">
        <v>1236</v>
      </c>
      <c r="AI9" s="650" t="s">
        <v>1236</v>
      </c>
    </row>
    <row r="10" spans="1:35" s="6" customFormat="1" ht="21" customHeight="1">
      <c r="A10" s="380" t="s">
        <v>962</v>
      </c>
      <c r="B10" s="299" t="s">
        <v>1458</v>
      </c>
      <c r="C10" s="651">
        <v>2</v>
      </c>
      <c r="D10" s="652">
        <v>2</v>
      </c>
      <c r="E10" s="370">
        <v>132</v>
      </c>
      <c r="F10" s="652">
        <v>32</v>
      </c>
      <c r="G10" s="653">
        <v>98</v>
      </c>
      <c r="H10" s="653">
        <v>34</v>
      </c>
      <c r="I10" s="653">
        <v>84</v>
      </c>
      <c r="J10" s="653">
        <v>31</v>
      </c>
      <c r="K10" s="653">
        <v>101</v>
      </c>
      <c r="L10" s="653">
        <v>31</v>
      </c>
      <c r="M10" s="653">
        <v>96</v>
      </c>
      <c r="N10" s="492">
        <v>51</v>
      </c>
      <c r="O10" s="492">
        <v>13</v>
      </c>
      <c r="P10" s="492">
        <v>235</v>
      </c>
      <c r="Q10" s="492">
        <v>9</v>
      </c>
      <c r="R10" s="492">
        <v>172</v>
      </c>
      <c r="S10" s="492">
        <v>7</v>
      </c>
      <c r="T10" s="492">
        <v>152</v>
      </c>
      <c r="U10" s="492">
        <v>7</v>
      </c>
      <c r="V10" s="492">
        <v>103</v>
      </c>
      <c r="W10" s="492">
        <v>152</v>
      </c>
      <c r="X10" s="492">
        <v>293</v>
      </c>
      <c r="Y10" s="492">
        <v>172</v>
      </c>
      <c r="Z10" s="492">
        <v>240</v>
      </c>
      <c r="AA10" s="492">
        <v>125</v>
      </c>
      <c r="AB10" s="492">
        <v>171</v>
      </c>
      <c r="AC10" s="493">
        <v>149</v>
      </c>
      <c r="AD10" s="370">
        <v>221</v>
      </c>
      <c r="AE10" s="653">
        <f>+C10+E10+G10+I10+K10+M10+O10+Q10+S10+U10+W10+Y10+AA10+AC10</f>
        <v>1147</v>
      </c>
      <c r="AF10" s="653">
        <f>+D10+F10+H10+J10+L10+N10+P10+R10+T10+V10+X10+Z10+AB10+AD10</f>
        <v>1768</v>
      </c>
      <c r="AG10" s="653">
        <f>SUM(AE10:AF10)</f>
        <v>2915</v>
      </c>
      <c r="AH10" s="653">
        <v>14263</v>
      </c>
      <c r="AI10" s="654">
        <f>SUM(E10:AD10)/AH10*100</f>
        <v>20.409451027133141</v>
      </c>
    </row>
    <row r="11" spans="1:35" s="6" customFormat="1" ht="21" customHeight="1">
      <c r="A11" s="380"/>
      <c r="B11" s="299" t="s">
        <v>1274</v>
      </c>
      <c r="C11" s="651">
        <v>1</v>
      </c>
      <c r="D11" s="653">
        <v>0</v>
      </c>
      <c r="E11" s="370">
        <v>10</v>
      </c>
      <c r="F11" s="653">
        <v>0</v>
      </c>
      <c r="G11" s="653">
        <v>6</v>
      </c>
      <c r="H11" s="653">
        <v>0</v>
      </c>
      <c r="I11" s="653">
        <v>7</v>
      </c>
      <c r="J11" s="653">
        <v>0</v>
      </c>
      <c r="K11" s="653">
        <v>5</v>
      </c>
      <c r="L11" s="653">
        <v>0</v>
      </c>
      <c r="M11" s="653">
        <v>7</v>
      </c>
      <c r="N11" s="492">
        <v>3</v>
      </c>
      <c r="O11" s="492">
        <v>0</v>
      </c>
      <c r="P11" s="492">
        <v>25</v>
      </c>
      <c r="Q11" s="492">
        <v>0</v>
      </c>
      <c r="R11" s="492">
        <v>10</v>
      </c>
      <c r="S11" s="492">
        <v>0</v>
      </c>
      <c r="T11" s="492">
        <v>10</v>
      </c>
      <c r="U11" s="492">
        <v>0</v>
      </c>
      <c r="V11" s="492">
        <v>1</v>
      </c>
      <c r="W11" s="492">
        <v>3</v>
      </c>
      <c r="X11" s="492">
        <v>5</v>
      </c>
      <c r="Y11" s="492">
        <v>8</v>
      </c>
      <c r="Z11" s="492">
        <v>9</v>
      </c>
      <c r="AA11" s="492">
        <v>2</v>
      </c>
      <c r="AB11" s="492">
        <v>1</v>
      </c>
      <c r="AC11" s="492">
        <v>1</v>
      </c>
      <c r="AD11" s="370">
        <v>4</v>
      </c>
      <c r="AE11" s="653">
        <f>+C11+E11+G11+I11+K11+M11+O11+Q11+S11+U11+W11+Y11+AA11+AC11</f>
        <v>50</v>
      </c>
      <c r="AF11" s="653">
        <f>+D11+F11+H11+J11+L11+N11+P11+R11+T11+V11+X11+Z11+AB11+AD11</f>
        <v>68</v>
      </c>
      <c r="AG11" s="653">
        <f>SUM(AE11:AF11)</f>
        <v>118</v>
      </c>
      <c r="AH11" s="653">
        <v>1165</v>
      </c>
      <c r="AI11" s="654">
        <f>SUM(E11:AD11)/AH11*100</f>
        <v>10.042918454935622</v>
      </c>
    </row>
    <row r="12" spans="1:35" s="6" customFormat="1" ht="21" customHeight="1">
      <c r="A12" s="380"/>
      <c r="B12" s="299" t="s">
        <v>1459</v>
      </c>
      <c r="C12" s="651">
        <v>12</v>
      </c>
      <c r="D12" s="653">
        <v>7</v>
      </c>
      <c r="E12" s="370">
        <v>121</v>
      </c>
      <c r="F12" s="653">
        <v>57</v>
      </c>
      <c r="G12" s="653">
        <v>152</v>
      </c>
      <c r="H12" s="653">
        <v>90</v>
      </c>
      <c r="I12" s="653">
        <v>132</v>
      </c>
      <c r="J12" s="653">
        <v>103</v>
      </c>
      <c r="K12" s="653">
        <v>101</v>
      </c>
      <c r="L12" s="653">
        <v>128</v>
      </c>
      <c r="M12" s="653">
        <v>90</v>
      </c>
      <c r="N12" s="492">
        <v>133</v>
      </c>
      <c r="O12" s="492">
        <v>58</v>
      </c>
      <c r="P12" s="492">
        <v>202</v>
      </c>
      <c r="Q12" s="492">
        <v>46</v>
      </c>
      <c r="R12" s="492">
        <v>195</v>
      </c>
      <c r="S12" s="492">
        <v>32</v>
      </c>
      <c r="T12" s="492">
        <v>140</v>
      </c>
      <c r="U12" s="492">
        <v>12</v>
      </c>
      <c r="V12" s="492">
        <v>66</v>
      </c>
      <c r="W12" s="492">
        <v>51</v>
      </c>
      <c r="X12" s="492">
        <v>146</v>
      </c>
      <c r="Y12" s="492">
        <v>77</v>
      </c>
      <c r="Z12" s="492">
        <v>173</v>
      </c>
      <c r="AA12" s="492">
        <v>50</v>
      </c>
      <c r="AB12" s="492">
        <v>89</v>
      </c>
      <c r="AC12" s="492">
        <v>75</v>
      </c>
      <c r="AD12" s="370">
        <v>144</v>
      </c>
      <c r="AE12" s="653">
        <f t="shared" ref="AE12:AE33" si="0">+C12+E12+G12+I12+K12+M12+O12+Q12+S12+U12+W12+Y12+AA12+AC12</f>
        <v>1009</v>
      </c>
      <c r="AF12" s="653">
        <f t="shared" ref="AF12:AF33" si="1">+D12+F12+H12+J12+L12+N12+P12+R12+T12+V12+X12+Z12+AB12+AD12</f>
        <v>1673</v>
      </c>
      <c r="AG12" s="653">
        <f>SUM(AE12:AF12)</f>
        <v>2682</v>
      </c>
      <c r="AH12" s="653">
        <v>18027</v>
      </c>
      <c r="AI12" s="654">
        <f t="shared" ref="AI12:AI13" si="2">SUM(E12:AD12)/AH12*100</f>
        <v>14.772286015421313</v>
      </c>
    </row>
    <row r="13" spans="1:35" s="6" customFormat="1" ht="21" customHeight="1">
      <c r="A13" s="380"/>
      <c r="B13" s="343" t="s">
        <v>829</v>
      </c>
      <c r="C13" s="651">
        <v>1</v>
      </c>
      <c r="D13" s="653">
        <v>0</v>
      </c>
      <c r="E13" s="370">
        <v>13</v>
      </c>
      <c r="F13" s="653">
        <v>0</v>
      </c>
      <c r="G13" s="653">
        <v>10</v>
      </c>
      <c r="H13" s="653">
        <v>0</v>
      </c>
      <c r="I13" s="653">
        <v>11</v>
      </c>
      <c r="J13" s="653">
        <v>1</v>
      </c>
      <c r="K13" s="653">
        <v>17</v>
      </c>
      <c r="L13" s="653">
        <v>1</v>
      </c>
      <c r="M13" s="653">
        <v>19</v>
      </c>
      <c r="N13" s="492">
        <v>1</v>
      </c>
      <c r="O13" s="492">
        <v>0</v>
      </c>
      <c r="P13" s="492">
        <v>45</v>
      </c>
      <c r="Q13" s="492">
        <v>0</v>
      </c>
      <c r="R13" s="492">
        <v>21</v>
      </c>
      <c r="S13" s="492">
        <v>0</v>
      </c>
      <c r="T13" s="492">
        <v>17</v>
      </c>
      <c r="U13" s="492">
        <v>0</v>
      </c>
      <c r="V13" s="492">
        <v>10</v>
      </c>
      <c r="W13" s="492">
        <v>23</v>
      </c>
      <c r="X13" s="492">
        <v>44</v>
      </c>
      <c r="Y13" s="492">
        <v>21</v>
      </c>
      <c r="Z13" s="492">
        <v>19</v>
      </c>
      <c r="AA13" s="492">
        <v>14</v>
      </c>
      <c r="AB13" s="492">
        <v>25</v>
      </c>
      <c r="AC13" s="492">
        <v>12</v>
      </c>
      <c r="AD13" s="370">
        <v>14</v>
      </c>
      <c r="AE13" s="653">
        <f t="shared" si="0"/>
        <v>141</v>
      </c>
      <c r="AF13" s="653">
        <f t="shared" si="1"/>
        <v>198</v>
      </c>
      <c r="AG13" s="653">
        <f t="shared" ref="AG13:AG33" si="3">SUM(AE13:AF13)</f>
        <v>339</v>
      </c>
      <c r="AH13" s="653">
        <v>1933</v>
      </c>
      <c r="AI13" s="654">
        <f t="shared" si="2"/>
        <v>17.485773409208484</v>
      </c>
    </row>
    <row r="14" spans="1:35" s="6" customFormat="1" ht="21" customHeight="1">
      <c r="A14" s="380" t="s">
        <v>636</v>
      </c>
      <c r="B14" s="343" t="s">
        <v>830</v>
      </c>
      <c r="C14" s="651">
        <v>6</v>
      </c>
      <c r="D14" s="653">
        <v>0</v>
      </c>
      <c r="E14" s="370">
        <v>94</v>
      </c>
      <c r="F14" s="653">
        <v>19</v>
      </c>
      <c r="G14" s="653">
        <v>112</v>
      </c>
      <c r="H14" s="653">
        <v>24</v>
      </c>
      <c r="I14" s="653">
        <v>83</v>
      </c>
      <c r="J14" s="653">
        <v>28</v>
      </c>
      <c r="K14" s="653">
        <v>88</v>
      </c>
      <c r="L14" s="653">
        <v>23</v>
      </c>
      <c r="M14" s="653">
        <v>74</v>
      </c>
      <c r="N14" s="492">
        <v>48</v>
      </c>
      <c r="O14" s="492">
        <v>31</v>
      </c>
      <c r="P14" s="492">
        <v>110</v>
      </c>
      <c r="Q14" s="492">
        <v>34</v>
      </c>
      <c r="R14" s="492">
        <v>106</v>
      </c>
      <c r="S14" s="492">
        <v>14</v>
      </c>
      <c r="T14" s="492">
        <v>79</v>
      </c>
      <c r="U14" s="492">
        <v>16</v>
      </c>
      <c r="V14" s="492">
        <v>36</v>
      </c>
      <c r="W14" s="492">
        <v>89</v>
      </c>
      <c r="X14" s="492">
        <v>150</v>
      </c>
      <c r="Y14" s="492">
        <v>83</v>
      </c>
      <c r="Z14" s="492">
        <v>117</v>
      </c>
      <c r="AA14" s="492">
        <v>59</v>
      </c>
      <c r="AB14" s="492">
        <v>92</v>
      </c>
      <c r="AC14" s="492">
        <v>54</v>
      </c>
      <c r="AD14" s="370">
        <v>92</v>
      </c>
      <c r="AE14" s="653">
        <f t="shared" si="0"/>
        <v>837</v>
      </c>
      <c r="AF14" s="653">
        <f t="shared" si="1"/>
        <v>924</v>
      </c>
      <c r="AG14" s="653">
        <f t="shared" si="3"/>
        <v>1761</v>
      </c>
      <c r="AH14" s="653">
        <v>5366</v>
      </c>
      <c r="AI14" s="654">
        <f>SUM(E14:AD14)/AH14*100</f>
        <v>32.705926202012677</v>
      </c>
    </row>
    <row r="15" spans="1:35" s="6" customFormat="1" ht="21" customHeight="1">
      <c r="A15" s="380"/>
      <c r="B15" s="299" t="s">
        <v>1273</v>
      </c>
      <c r="C15" s="651">
        <v>0</v>
      </c>
      <c r="D15" s="653">
        <v>0</v>
      </c>
      <c r="E15" s="370">
        <v>1</v>
      </c>
      <c r="F15" s="653">
        <v>0</v>
      </c>
      <c r="G15" s="653">
        <v>5</v>
      </c>
      <c r="H15" s="653">
        <v>1</v>
      </c>
      <c r="I15" s="653">
        <v>4</v>
      </c>
      <c r="J15" s="653">
        <v>1</v>
      </c>
      <c r="K15" s="653">
        <v>0</v>
      </c>
      <c r="L15" s="653">
        <v>2</v>
      </c>
      <c r="M15" s="653">
        <v>3</v>
      </c>
      <c r="N15" s="492">
        <v>2</v>
      </c>
      <c r="O15" s="492">
        <v>3</v>
      </c>
      <c r="P15" s="492">
        <v>8</v>
      </c>
      <c r="Q15" s="492">
        <v>2</v>
      </c>
      <c r="R15" s="492">
        <v>6</v>
      </c>
      <c r="S15" s="492">
        <v>2</v>
      </c>
      <c r="T15" s="492">
        <v>5</v>
      </c>
      <c r="U15" s="492">
        <v>1</v>
      </c>
      <c r="V15" s="492">
        <v>1</v>
      </c>
      <c r="W15" s="492">
        <v>12</v>
      </c>
      <c r="X15" s="492">
        <v>15</v>
      </c>
      <c r="Y15" s="492">
        <v>10</v>
      </c>
      <c r="Z15" s="492">
        <v>17</v>
      </c>
      <c r="AA15" s="492">
        <v>11</v>
      </c>
      <c r="AB15" s="492">
        <v>17</v>
      </c>
      <c r="AC15" s="492">
        <v>18</v>
      </c>
      <c r="AD15" s="370">
        <v>10</v>
      </c>
      <c r="AE15" s="653">
        <f t="shared" si="0"/>
        <v>72</v>
      </c>
      <c r="AF15" s="653">
        <f t="shared" si="1"/>
        <v>85</v>
      </c>
      <c r="AG15" s="653">
        <f>SUM(AE15:AF15)</f>
        <v>157</v>
      </c>
      <c r="AH15" s="653">
        <v>1978</v>
      </c>
      <c r="AI15" s="654">
        <f t="shared" ref="AI15:AI24" si="4">SUM(E15:AD15)/AH15*100</f>
        <v>7.9373104145601614</v>
      </c>
    </row>
    <row r="16" spans="1:35" s="6" customFormat="1" ht="21" customHeight="1">
      <c r="A16" s="380"/>
      <c r="B16" s="299" t="s">
        <v>1263</v>
      </c>
      <c r="C16" s="651">
        <v>0</v>
      </c>
      <c r="D16" s="653">
        <v>0</v>
      </c>
      <c r="E16" s="370">
        <v>7</v>
      </c>
      <c r="F16" s="653">
        <v>0</v>
      </c>
      <c r="G16" s="653">
        <v>5</v>
      </c>
      <c r="H16" s="653">
        <v>1</v>
      </c>
      <c r="I16" s="653">
        <v>5</v>
      </c>
      <c r="J16" s="653">
        <v>4</v>
      </c>
      <c r="K16" s="653">
        <v>4</v>
      </c>
      <c r="L16" s="653">
        <v>4</v>
      </c>
      <c r="M16" s="653">
        <v>8</v>
      </c>
      <c r="N16" s="492">
        <v>6</v>
      </c>
      <c r="O16" s="492">
        <v>4</v>
      </c>
      <c r="P16" s="492">
        <v>12</v>
      </c>
      <c r="Q16" s="492">
        <v>6</v>
      </c>
      <c r="R16" s="492">
        <v>9</v>
      </c>
      <c r="S16" s="492">
        <v>5</v>
      </c>
      <c r="T16" s="492">
        <v>2</v>
      </c>
      <c r="U16" s="492">
        <v>0</v>
      </c>
      <c r="V16" s="492">
        <v>4</v>
      </c>
      <c r="W16" s="492">
        <v>29</v>
      </c>
      <c r="X16" s="492">
        <v>25</v>
      </c>
      <c r="Y16" s="492">
        <v>19</v>
      </c>
      <c r="Z16" s="492">
        <v>16</v>
      </c>
      <c r="AA16" s="492">
        <v>12</v>
      </c>
      <c r="AB16" s="492">
        <v>15</v>
      </c>
      <c r="AC16" s="492">
        <v>12</v>
      </c>
      <c r="AD16" s="370">
        <v>11</v>
      </c>
      <c r="AE16" s="653">
        <f t="shared" si="0"/>
        <v>116</v>
      </c>
      <c r="AF16" s="653">
        <f t="shared" si="1"/>
        <v>109</v>
      </c>
      <c r="AG16" s="653">
        <f>SUM(AE16:AF16)</f>
        <v>225</v>
      </c>
      <c r="AH16" s="653">
        <v>1809</v>
      </c>
      <c r="AI16" s="654">
        <f t="shared" si="4"/>
        <v>12.437810945273633</v>
      </c>
    </row>
    <row r="17" spans="1:37" s="6" customFormat="1" ht="21" customHeight="1">
      <c r="A17" s="380" t="s">
        <v>859</v>
      </c>
      <c r="B17" s="343" t="s">
        <v>832</v>
      </c>
      <c r="C17" s="651">
        <v>1</v>
      </c>
      <c r="D17" s="653">
        <v>1</v>
      </c>
      <c r="E17" s="370">
        <v>94</v>
      </c>
      <c r="F17" s="653">
        <v>5</v>
      </c>
      <c r="G17" s="653">
        <v>83</v>
      </c>
      <c r="H17" s="653">
        <v>6</v>
      </c>
      <c r="I17" s="653">
        <v>75</v>
      </c>
      <c r="J17" s="653">
        <v>11</v>
      </c>
      <c r="K17" s="653">
        <v>83</v>
      </c>
      <c r="L17" s="653">
        <v>14</v>
      </c>
      <c r="M17" s="653">
        <v>71</v>
      </c>
      <c r="N17" s="492">
        <v>22</v>
      </c>
      <c r="O17" s="492">
        <v>15</v>
      </c>
      <c r="P17" s="492">
        <v>125</v>
      </c>
      <c r="Q17" s="492">
        <v>7</v>
      </c>
      <c r="R17" s="492">
        <v>95</v>
      </c>
      <c r="S17" s="492">
        <v>8</v>
      </c>
      <c r="T17" s="492">
        <v>56</v>
      </c>
      <c r="U17" s="492">
        <v>4</v>
      </c>
      <c r="V17" s="492">
        <v>48</v>
      </c>
      <c r="W17" s="492">
        <v>88</v>
      </c>
      <c r="X17" s="492">
        <v>118</v>
      </c>
      <c r="Y17" s="492">
        <v>101</v>
      </c>
      <c r="Z17" s="492">
        <v>121</v>
      </c>
      <c r="AA17" s="492">
        <v>68</v>
      </c>
      <c r="AB17" s="492">
        <v>87</v>
      </c>
      <c r="AC17" s="492">
        <v>66</v>
      </c>
      <c r="AD17" s="370">
        <v>111</v>
      </c>
      <c r="AE17" s="653">
        <f t="shared" si="0"/>
        <v>764</v>
      </c>
      <c r="AF17" s="653">
        <f t="shared" si="1"/>
        <v>820</v>
      </c>
      <c r="AG17" s="653">
        <f t="shared" si="3"/>
        <v>1584</v>
      </c>
      <c r="AH17" s="653">
        <v>4472</v>
      </c>
      <c r="AI17" s="654">
        <f t="shared" si="4"/>
        <v>35.375670840787123</v>
      </c>
    </row>
    <row r="18" spans="1:37" s="6" customFormat="1" ht="21" customHeight="1">
      <c r="A18" s="380"/>
      <c r="B18" s="299" t="s">
        <v>1275</v>
      </c>
      <c r="C18" s="651">
        <v>0</v>
      </c>
      <c r="D18" s="653">
        <v>0</v>
      </c>
      <c r="E18" s="370">
        <v>1</v>
      </c>
      <c r="F18" s="653">
        <v>0</v>
      </c>
      <c r="G18" s="653">
        <v>3</v>
      </c>
      <c r="H18" s="653">
        <v>0</v>
      </c>
      <c r="I18" s="653">
        <v>1</v>
      </c>
      <c r="J18" s="653">
        <v>0</v>
      </c>
      <c r="K18" s="653">
        <v>3</v>
      </c>
      <c r="L18" s="653">
        <v>0</v>
      </c>
      <c r="M18" s="653">
        <v>8</v>
      </c>
      <c r="N18" s="492">
        <v>4</v>
      </c>
      <c r="O18" s="492">
        <v>0</v>
      </c>
      <c r="P18" s="492">
        <v>2</v>
      </c>
      <c r="Q18" s="492">
        <v>0</v>
      </c>
      <c r="R18" s="492">
        <v>4</v>
      </c>
      <c r="S18" s="492">
        <v>0</v>
      </c>
      <c r="T18" s="492">
        <v>0</v>
      </c>
      <c r="U18" s="492">
        <v>0</v>
      </c>
      <c r="V18" s="492">
        <v>0</v>
      </c>
      <c r="W18" s="492">
        <v>11</v>
      </c>
      <c r="X18" s="492">
        <v>10</v>
      </c>
      <c r="Y18" s="492">
        <v>11</v>
      </c>
      <c r="Z18" s="492">
        <v>12</v>
      </c>
      <c r="AA18" s="492">
        <v>7</v>
      </c>
      <c r="AB18" s="492">
        <v>6</v>
      </c>
      <c r="AC18" s="492">
        <v>6</v>
      </c>
      <c r="AD18" s="370">
        <v>8</v>
      </c>
      <c r="AE18" s="653">
        <f t="shared" si="0"/>
        <v>51</v>
      </c>
      <c r="AF18" s="653">
        <f t="shared" si="1"/>
        <v>46</v>
      </c>
      <c r="AG18" s="653">
        <f>SUM(AE18:AF18)</f>
        <v>97</v>
      </c>
      <c r="AH18" s="653">
        <v>860</v>
      </c>
      <c r="AI18" s="654">
        <f t="shared" si="4"/>
        <v>11.279069767441859</v>
      </c>
    </row>
    <row r="19" spans="1:37" s="6" customFormat="1" ht="21" customHeight="1">
      <c r="A19" s="380" t="s">
        <v>637</v>
      </c>
      <c r="B19" s="343" t="s">
        <v>833</v>
      </c>
      <c r="C19" s="651">
        <v>0</v>
      </c>
      <c r="D19" s="653">
        <v>0</v>
      </c>
      <c r="E19" s="370">
        <v>62</v>
      </c>
      <c r="F19" s="653">
        <v>1</v>
      </c>
      <c r="G19" s="653">
        <v>75</v>
      </c>
      <c r="H19" s="653">
        <v>1</v>
      </c>
      <c r="I19" s="653">
        <v>73</v>
      </c>
      <c r="J19" s="653">
        <v>1</v>
      </c>
      <c r="K19" s="653">
        <v>68</v>
      </c>
      <c r="L19" s="653">
        <v>0</v>
      </c>
      <c r="M19" s="653">
        <v>59</v>
      </c>
      <c r="N19" s="492">
        <v>7</v>
      </c>
      <c r="O19" s="492">
        <v>1</v>
      </c>
      <c r="P19" s="492">
        <v>128</v>
      </c>
      <c r="Q19" s="492">
        <v>0</v>
      </c>
      <c r="R19" s="492">
        <v>68</v>
      </c>
      <c r="S19" s="492">
        <v>0</v>
      </c>
      <c r="T19" s="492">
        <v>61</v>
      </c>
      <c r="U19" s="492">
        <v>0</v>
      </c>
      <c r="V19" s="492">
        <v>42</v>
      </c>
      <c r="W19" s="492">
        <v>23</v>
      </c>
      <c r="X19" s="492">
        <v>51</v>
      </c>
      <c r="Y19" s="492">
        <v>46</v>
      </c>
      <c r="Z19" s="492">
        <v>65</v>
      </c>
      <c r="AA19" s="492">
        <v>43</v>
      </c>
      <c r="AB19" s="492">
        <v>52</v>
      </c>
      <c r="AC19" s="492">
        <v>42</v>
      </c>
      <c r="AD19" s="370">
        <v>45</v>
      </c>
      <c r="AE19" s="653">
        <f t="shared" si="0"/>
        <v>492</v>
      </c>
      <c r="AF19" s="653">
        <f t="shared" si="1"/>
        <v>522</v>
      </c>
      <c r="AG19" s="653">
        <f t="shared" si="3"/>
        <v>1014</v>
      </c>
      <c r="AH19" s="653">
        <v>4052</v>
      </c>
      <c r="AI19" s="654">
        <f t="shared" si="4"/>
        <v>25.024679170779862</v>
      </c>
    </row>
    <row r="20" spans="1:37" s="6" customFormat="1" ht="21" customHeight="1">
      <c r="A20" s="380" t="s">
        <v>638</v>
      </c>
      <c r="B20" s="343" t="s">
        <v>835</v>
      </c>
      <c r="C20" s="651">
        <v>11</v>
      </c>
      <c r="D20" s="653">
        <v>1</v>
      </c>
      <c r="E20" s="370">
        <v>154</v>
      </c>
      <c r="F20" s="653">
        <v>14</v>
      </c>
      <c r="G20" s="653">
        <v>137</v>
      </c>
      <c r="H20" s="653">
        <v>26</v>
      </c>
      <c r="I20" s="653">
        <v>123</v>
      </c>
      <c r="J20" s="653">
        <v>38</v>
      </c>
      <c r="K20" s="653">
        <v>101</v>
      </c>
      <c r="L20" s="653">
        <v>36</v>
      </c>
      <c r="M20" s="653">
        <v>111</v>
      </c>
      <c r="N20" s="492">
        <v>67</v>
      </c>
      <c r="O20" s="492">
        <v>9</v>
      </c>
      <c r="P20" s="492">
        <v>216</v>
      </c>
      <c r="Q20" s="492">
        <v>14</v>
      </c>
      <c r="R20" s="492">
        <v>234</v>
      </c>
      <c r="S20" s="492">
        <v>13</v>
      </c>
      <c r="T20" s="492">
        <v>156</v>
      </c>
      <c r="U20" s="492">
        <v>5</v>
      </c>
      <c r="V20" s="492">
        <v>84</v>
      </c>
      <c r="W20" s="492">
        <v>70</v>
      </c>
      <c r="X20" s="492">
        <v>142</v>
      </c>
      <c r="Y20" s="492">
        <v>89</v>
      </c>
      <c r="Z20" s="492">
        <v>172</v>
      </c>
      <c r="AA20" s="492">
        <v>70</v>
      </c>
      <c r="AB20" s="492">
        <v>115</v>
      </c>
      <c r="AC20" s="492">
        <v>96</v>
      </c>
      <c r="AD20" s="370">
        <v>191</v>
      </c>
      <c r="AE20" s="653">
        <f t="shared" si="0"/>
        <v>1003</v>
      </c>
      <c r="AF20" s="653">
        <f t="shared" si="1"/>
        <v>1492</v>
      </c>
      <c r="AG20" s="653">
        <f t="shared" si="3"/>
        <v>2495</v>
      </c>
      <c r="AH20" s="653">
        <v>15998</v>
      </c>
      <c r="AI20" s="654">
        <f t="shared" si="4"/>
        <v>15.520690086260784</v>
      </c>
    </row>
    <row r="21" spans="1:37" s="6" customFormat="1" ht="21" customHeight="1">
      <c r="A21" s="380"/>
      <c r="B21" s="343" t="s">
        <v>836</v>
      </c>
      <c r="C21" s="651">
        <v>1</v>
      </c>
      <c r="D21" s="653">
        <v>7</v>
      </c>
      <c r="E21" s="370">
        <v>133</v>
      </c>
      <c r="F21" s="653">
        <v>46</v>
      </c>
      <c r="G21" s="653">
        <v>151</v>
      </c>
      <c r="H21" s="653">
        <v>85</v>
      </c>
      <c r="I21" s="653">
        <v>139</v>
      </c>
      <c r="J21" s="653">
        <v>58</v>
      </c>
      <c r="K21" s="653">
        <v>124</v>
      </c>
      <c r="L21" s="653">
        <v>91</v>
      </c>
      <c r="M21" s="653">
        <v>129</v>
      </c>
      <c r="N21" s="492">
        <v>86</v>
      </c>
      <c r="O21" s="492">
        <v>39</v>
      </c>
      <c r="P21" s="492">
        <v>199</v>
      </c>
      <c r="Q21" s="492">
        <v>36</v>
      </c>
      <c r="R21" s="492">
        <v>204</v>
      </c>
      <c r="S21" s="492">
        <v>28</v>
      </c>
      <c r="T21" s="492">
        <v>135</v>
      </c>
      <c r="U21" s="492">
        <v>20</v>
      </c>
      <c r="V21" s="492">
        <v>61</v>
      </c>
      <c r="W21" s="492">
        <v>175</v>
      </c>
      <c r="X21" s="492">
        <v>313</v>
      </c>
      <c r="Y21" s="492">
        <v>215</v>
      </c>
      <c r="Z21" s="492">
        <v>270</v>
      </c>
      <c r="AA21" s="492">
        <v>136</v>
      </c>
      <c r="AB21" s="492">
        <v>234</v>
      </c>
      <c r="AC21" s="492">
        <v>133</v>
      </c>
      <c r="AD21" s="370">
        <v>205</v>
      </c>
      <c r="AE21" s="653">
        <f t="shared" si="0"/>
        <v>1459</v>
      </c>
      <c r="AF21" s="653">
        <f t="shared" si="1"/>
        <v>1994</v>
      </c>
      <c r="AG21" s="653">
        <f t="shared" si="3"/>
        <v>3453</v>
      </c>
      <c r="AH21" s="653">
        <v>16958</v>
      </c>
      <c r="AI21" s="654">
        <f t="shared" si="4"/>
        <v>20.31489562448402</v>
      </c>
      <c r="AK21" s="1069"/>
    </row>
    <row r="22" spans="1:37" s="6" customFormat="1" ht="21" customHeight="1">
      <c r="A22" s="380"/>
      <c r="B22" s="343" t="s">
        <v>550</v>
      </c>
      <c r="C22" s="651">
        <v>0</v>
      </c>
      <c r="D22" s="653">
        <v>0</v>
      </c>
      <c r="E22" s="370">
        <v>15</v>
      </c>
      <c r="F22" s="653">
        <v>10</v>
      </c>
      <c r="G22" s="653">
        <v>15</v>
      </c>
      <c r="H22" s="653">
        <v>5</v>
      </c>
      <c r="I22" s="653">
        <v>14</v>
      </c>
      <c r="J22" s="653">
        <v>5</v>
      </c>
      <c r="K22" s="653">
        <v>6</v>
      </c>
      <c r="L22" s="653">
        <v>12</v>
      </c>
      <c r="M22" s="653">
        <v>14</v>
      </c>
      <c r="N22" s="492">
        <v>14</v>
      </c>
      <c r="O22" s="492">
        <v>6</v>
      </c>
      <c r="P22" s="492">
        <v>20</v>
      </c>
      <c r="Q22" s="492">
        <v>7</v>
      </c>
      <c r="R22" s="492">
        <v>20</v>
      </c>
      <c r="S22" s="492">
        <v>2</v>
      </c>
      <c r="T22" s="492">
        <v>7</v>
      </c>
      <c r="U22" s="492">
        <v>4</v>
      </c>
      <c r="V22" s="492">
        <v>7</v>
      </c>
      <c r="W22" s="492">
        <v>26</v>
      </c>
      <c r="X22" s="492">
        <v>42</v>
      </c>
      <c r="Y22" s="492">
        <v>38</v>
      </c>
      <c r="Z22" s="492">
        <v>29</v>
      </c>
      <c r="AA22" s="492">
        <v>18</v>
      </c>
      <c r="AB22" s="492">
        <v>21</v>
      </c>
      <c r="AC22" s="492">
        <v>34</v>
      </c>
      <c r="AD22" s="370">
        <v>41</v>
      </c>
      <c r="AE22" s="653">
        <f t="shared" si="0"/>
        <v>199</v>
      </c>
      <c r="AF22" s="653">
        <f t="shared" si="1"/>
        <v>233</v>
      </c>
      <c r="AG22" s="653">
        <f>SUM(AE22:AF22)</f>
        <v>432</v>
      </c>
      <c r="AH22" s="653">
        <v>1790</v>
      </c>
      <c r="AI22" s="654">
        <f t="shared" si="4"/>
        <v>24.134078212290504</v>
      </c>
    </row>
    <row r="23" spans="1:37" s="6" customFormat="1" ht="21" customHeight="1">
      <c r="A23" s="380"/>
      <c r="B23" s="343" t="s">
        <v>837</v>
      </c>
      <c r="C23" s="651">
        <v>1</v>
      </c>
      <c r="D23" s="653">
        <v>1</v>
      </c>
      <c r="E23" s="370">
        <v>21</v>
      </c>
      <c r="F23" s="653">
        <v>13</v>
      </c>
      <c r="G23" s="653">
        <v>39</v>
      </c>
      <c r="H23" s="653">
        <v>17</v>
      </c>
      <c r="I23" s="653">
        <v>30</v>
      </c>
      <c r="J23" s="653">
        <v>18</v>
      </c>
      <c r="K23" s="653">
        <v>15</v>
      </c>
      <c r="L23" s="653">
        <v>14</v>
      </c>
      <c r="M23" s="653">
        <v>19</v>
      </c>
      <c r="N23" s="492">
        <v>19</v>
      </c>
      <c r="O23" s="492">
        <v>6</v>
      </c>
      <c r="P23" s="492">
        <v>44</v>
      </c>
      <c r="Q23" s="492">
        <v>6</v>
      </c>
      <c r="R23" s="492">
        <v>35</v>
      </c>
      <c r="S23" s="492">
        <v>6</v>
      </c>
      <c r="T23" s="492">
        <v>28</v>
      </c>
      <c r="U23" s="492">
        <v>0</v>
      </c>
      <c r="V23" s="492">
        <v>9</v>
      </c>
      <c r="W23" s="492">
        <v>33</v>
      </c>
      <c r="X23" s="492">
        <v>61</v>
      </c>
      <c r="Y23" s="492">
        <v>51</v>
      </c>
      <c r="Z23" s="492">
        <v>50</v>
      </c>
      <c r="AA23" s="492">
        <v>32</v>
      </c>
      <c r="AB23" s="492">
        <v>38</v>
      </c>
      <c r="AC23" s="492">
        <v>40</v>
      </c>
      <c r="AD23" s="370">
        <v>54</v>
      </c>
      <c r="AE23" s="653">
        <f t="shared" si="0"/>
        <v>299</v>
      </c>
      <c r="AF23" s="653">
        <f t="shared" si="1"/>
        <v>401</v>
      </c>
      <c r="AG23" s="653">
        <f t="shared" si="3"/>
        <v>700</v>
      </c>
      <c r="AH23" s="653">
        <v>3585</v>
      </c>
      <c r="AI23" s="654">
        <f t="shared" si="4"/>
        <v>19.470013947001394</v>
      </c>
    </row>
    <row r="24" spans="1:37" s="6" customFormat="1" ht="21" customHeight="1">
      <c r="A24" s="380" t="s">
        <v>639</v>
      </c>
      <c r="B24" s="299" t="s">
        <v>838</v>
      </c>
      <c r="C24" s="651">
        <v>1</v>
      </c>
      <c r="D24" s="653">
        <v>0</v>
      </c>
      <c r="E24" s="370">
        <v>55</v>
      </c>
      <c r="F24" s="653">
        <v>0</v>
      </c>
      <c r="G24" s="653">
        <v>44</v>
      </c>
      <c r="H24" s="653">
        <v>2</v>
      </c>
      <c r="I24" s="653">
        <v>43</v>
      </c>
      <c r="J24" s="653">
        <v>5</v>
      </c>
      <c r="K24" s="653">
        <v>36</v>
      </c>
      <c r="L24" s="653">
        <v>3</v>
      </c>
      <c r="M24" s="653">
        <v>41</v>
      </c>
      <c r="N24" s="492">
        <v>7</v>
      </c>
      <c r="O24" s="492">
        <v>3</v>
      </c>
      <c r="P24" s="492">
        <v>91</v>
      </c>
      <c r="Q24" s="492">
        <v>5</v>
      </c>
      <c r="R24" s="492">
        <v>82</v>
      </c>
      <c r="S24" s="492">
        <v>1</v>
      </c>
      <c r="T24" s="492">
        <v>51</v>
      </c>
      <c r="U24" s="492">
        <v>2</v>
      </c>
      <c r="V24" s="492">
        <v>28</v>
      </c>
      <c r="W24" s="492">
        <v>76</v>
      </c>
      <c r="X24" s="492">
        <v>133</v>
      </c>
      <c r="Y24" s="492">
        <v>82</v>
      </c>
      <c r="Z24" s="492">
        <v>146</v>
      </c>
      <c r="AA24" s="492">
        <v>84</v>
      </c>
      <c r="AB24" s="492">
        <v>116</v>
      </c>
      <c r="AC24" s="492">
        <v>69</v>
      </c>
      <c r="AD24" s="370">
        <v>130</v>
      </c>
      <c r="AE24" s="653">
        <f t="shared" si="0"/>
        <v>542</v>
      </c>
      <c r="AF24" s="653">
        <f t="shared" si="1"/>
        <v>794</v>
      </c>
      <c r="AG24" s="653">
        <f>SUM(AE24:AF24)</f>
        <v>1336</v>
      </c>
      <c r="AH24" s="653">
        <v>5500</v>
      </c>
      <c r="AI24" s="654">
        <f t="shared" si="4"/>
        <v>24.272727272727273</v>
      </c>
    </row>
    <row r="25" spans="1:37" s="6" customFormat="1" ht="21" customHeight="1">
      <c r="A25" s="380"/>
      <c r="B25" s="299" t="s">
        <v>1276</v>
      </c>
      <c r="C25" s="651">
        <v>6</v>
      </c>
      <c r="D25" s="653">
        <v>1</v>
      </c>
      <c r="E25" s="370">
        <v>47</v>
      </c>
      <c r="F25" s="653">
        <v>2</v>
      </c>
      <c r="G25" s="653">
        <v>41</v>
      </c>
      <c r="H25" s="653">
        <v>4</v>
      </c>
      <c r="I25" s="653">
        <v>40</v>
      </c>
      <c r="J25" s="653">
        <v>4</v>
      </c>
      <c r="K25" s="653">
        <v>34</v>
      </c>
      <c r="L25" s="653">
        <v>4</v>
      </c>
      <c r="M25" s="653">
        <v>42</v>
      </c>
      <c r="N25" s="492">
        <v>1</v>
      </c>
      <c r="O25" s="492">
        <v>1</v>
      </c>
      <c r="P25" s="492">
        <v>62</v>
      </c>
      <c r="Q25" s="492">
        <v>1</v>
      </c>
      <c r="R25" s="492">
        <v>57</v>
      </c>
      <c r="S25" s="492">
        <v>1</v>
      </c>
      <c r="T25" s="492">
        <v>49</v>
      </c>
      <c r="U25" s="492">
        <v>1</v>
      </c>
      <c r="V25" s="492">
        <v>32</v>
      </c>
      <c r="W25" s="492">
        <v>31</v>
      </c>
      <c r="X25" s="492">
        <v>36</v>
      </c>
      <c r="Y25" s="492">
        <v>40</v>
      </c>
      <c r="Z25" s="492">
        <v>47</v>
      </c>
      <c r="AA25" s="492">
        <v>25</v>
      </c>
      <c r="AB25" s="492">
        <v>34</v>
      </c>
      <c r="AC25" s="492">
        <v>38</v>
      </c>
      <c r="AD25" s="370">
        <v>45</v>
      </c>
      <c r="AE25" s="653">
        <f t="shared" si="0"/>
        <v>348</v>
      </c>
      <c r="AF25" s="653">
        <f t="shared" si="1"/>
        <v>378</v>
      </c>
      <c r="AG25" s="653">
        <f>SUM(AE25:AF25)</f>
        <v>726</v>
      </c>
      <c r="AH25" s="653">
        <v>2846</v>
      </c>
      <c r="AI25" s="654">
        <f>SUM(E25:AD26)/AH25*100</f>
        <v>25.931131412508783</v>
      </c>
    </row>
    <row r="26" spans="1:37" s="6" customFormat="1" ht="21" customHeight="1">
      <c r="A26" s="380"/>
      <c r="B26" s="299" t="s">
        <v>1474</v>
      </c>
      <c r="C26" s="651">
        <v>0</v>
      </c>
      <c r="D26" s="653">
        <v>0</v>
      </c>
      <c r="E26" s="370">
        <v>2</v>
      </c>
      <c r="F26" s="653">
        <v>3</v>
      </c>
      <c r="G26" s="653">
        <v>1</v>
      </c>
      <c r="H26" s="653">
        <v>5</v>
      </c>
      <c r="I26" s="653">
        <v>0</v>
      </c>
      <c r="J26" s="653">
        <v>4</v>
      </c>
      <c r="K26" s="653">
        <v>1</v>
      </c>
      <c r="L26" s="653">
        <v>0</v>
      </c>
      <c r="M26" s="653">
        <v>0</v>
      </c>
      <c r="N26" s="492">
        <v>1</v>
      </c>
      <c r="O26" s="492">
        <v>0</v>
      </c>
      <c r="P26" s="492">
        <v>2</v>
      </c>
      <c r="Q26" s="492">
        <v>0</v>
      </c>
      <c r="R26" s="492">
        <v>0</v>
      </c>
      <c r="S26" s="492">
        <v>0</v>
      </c>
      <c r="T26" s="492">
        <v>0</v>
      </c>
      <c r="U26" s="492">
        <v>0</v>
      </c>
      <c r="V26" s="492">
        <v>0</v>
      </c>
      <c r="W26" s="492">
        <v>0</v>
      </c>
      <c r="X26" s="492">
        <v>0</v>
      </c>
      <c r="Y26" s="492">
        <v>0</v>
      </c>
      <c r="Z26" s="492">
        <v>0</v>
      </c>
      <c r="AA26" s="492">
        <v>0</v>
      </c>
      <c r="AB26" s="492">
        <v>0</v>
      </c>
      <c r="AC26" s="492">
        <v>0</v>
      </c>
      <c r="AD26" s="370">
        <v>0</v>
      </c>
      <c r="AE26" s="653">
        <f t="shared" ref="AE26" si="5">+C26+E26+G26+I26+K26+M26+O26+Q26+S26+U26+W26+Y26+AA26+AC26</f>
        <v>4</v>
      </c>
      <c r="AF26" s="653">
        <f t="shared" ref="AF26" si="6">+D26+F26+H26+J26+L26+N26+P26+R26+T26+V26+X26+Z26+AB26+AD26</f>
        <v>15</v>
      </c>
      <c r="AG26" s="653">
        <f>SUM(AE26:AF26)</f>
        <v>19</v>
      </c>
      <c r="AH26" s="653"/>
      <c r="AI26" s="654"/>
    </row>
    <row r="27" spans="1:37" s="6" customFormat="1" ht="21" customHeight="1">
      <c r="A27" s="380" t="s">
        <v>861</v>
      </c>
      <c r="B27" s="343" t="s">
        <v>648</v>
      </c>
      <c r="C27" s="651">
        <v>0</v>
      </c>
      <c r="D27" s="653">
        <v>0</v>
      </c>
      <c r="E27" s="370">
        <v>112</v>
      </c>
      <c r="F27" s="653">
        <v>1</v>
      </c>
      <c r="G27" s="653">
        <v>117</v>
      </c>
      <c r="H27" s="653">
        <v>0</v>
      </c>
      <c r="I27" s="653">
        <v>103</v>
      </c>
      <c r="J27" s="653">
        <v>0</v>
      </c>
      <c r="K27" s="653">
        <v>82</v>
      </c>
      <c r="L27" s="653">
        <v>0</v>
      </c>
      <c r="M27" s="653">
        <v>108</v>
      </c>
      <c r="N27" s="492">
        <v>2</v>
      </c>
      <c r="O27" s="492">
        <v>1</v>
      </c>
      <c r="P27" s="492">
        <v>196</v>
      </c>
      <c r="Q27" s="492">
        <v>0</v>
      </c>
      <c r="R27" s="492">
        <v>135</v>
      </c>
      <c r="S27" s="492">
        <v>0</v>
      </c>
      <c r="T27" s="492">
        <v>83</v>
      </c>
      <c r="U27" s="492">
        <v>0</v>
      </c>
      <c r="V27" s="492">
        <v>39</v>
      </c>
      <c r="W27" s="492">
        <v>95</v>
      </c>
      <c r="X27" s="492">
        <v>121</v>
      </c>
      <c r="Y27" s="492">
        <v>69</v>
      </c>
      <c r="Z27" s="492">
        <v>102</v>
      </c>
      <c r="AA27" s="492">
        <v>72</v>
      </c>
      <c r="AB27" s="492">
        <v>79</v>
      </c>
      <c r="AC27" s="492">
        <v>76</v>
      </c>
      <c r="AD27" s="370">
        <v>115</v>
      </c>
      <c r="AE27" s="653">
        <f t="shared" si="0"/>
        <v>835</v>
      </c>
      <c r="AF27" s="653">
        <f t="shared" si="1"/>
        <v>873</v>
      </c>
      <c r="AG27" s="653">
        <f t="shared" si="3"/>
        <v>1708</v>
      </c>
      <c r="AH27" s="653">
        <v>5544</v>
      </c>
      <c r="AI27" s="654">
        <f t="shared" ref="AI27:AI33" si="7">SUM(E27:AD27)/AH27*100</f>
        <v>30.808080808080806</v>
      </c>
    </row>
    <row r="28" spans="1:37" s="6" customFormat="1" ht="21" customHeight="1">
      <c r="A28" s="380"/>
      <c r="B28" s="299" t="s">
        <v>1277</v>
      </c>
      <c r="C28" s="651">
        <v>0</v>
      </c>
      <c r="D28" s="653">
        <v>0</v>
      </c>
      <c r="E28" s="370">
        <v>7</v>
      </c>
      <c r="F28" s="653">
        <v>0</v>
      </c>
      <c r="G28" s="653">
        <v>9</v>
      </c>
      <c r="H28" s="653">
        <v>0</v>
      </c>
      <c r="I28" s="653">
        <v>3</v>
      </c>
      <c r="J28" s="653">
        <v>0</v>
      </c>
      <c r="K28" s="653">
        <v>5</v>
      </c>
      <c r="L28" s="653">
        <v>0</v>
      </c>
      <c r="M28" s="653">
        <v>7</v>
      </c>
      <c r="N28" s="492">
        <v>0</v>
      </c>
      <c r="O28" s="492">
        <v>0</v>
      </c>
      <c r="P28" s="492">
        <v>10</v>
      </c>
      <c r="Q28" s="492">
        <v>0</v>
      </c>
      <c r="R28" s="492">
        <v>12</v>
      </c>
      <c r="S28" s="492">
        <v>0</v>
      </c>
      <c r="T28" s="492">
        <v>4</v>
      </c>
      <c r="U28" s="492">
        <v>0</v>
      </c>
      <c r="V28" s="492">
        <v>2</v>
      </c>
      <c r="W28" s="492">
        <v>7</v>
      </c>
      <c r="X28" s="492">
        <v>14</v>
      </c>
      <c r="Y28" s="492">
        <v>10</v>
      </c>
      <c r="Z28" s="492">
        <v>9</v>
      </c>
      <c r="AA28" s="492">
        <v>3</v>
      </c>
      <c r="AB28" s="492">
        <v>6</v>
      </c>
      <c r="AC28" s="492">
        <v>6</v>
      </c>
      <c r="AD28" s="370">
        <v>9</v>
      </c>
      <c r="AE28" s="653">
        <f t="shared" si="0"/>
        <v>57</v>
      </c>
      <c r="AF28" s="653">
        <f t="shared" si="1"/>
        <v>66</v>
      </c>
      <c r="AG28" s="653">
        <f>SUM(AE28:AF28)</f>
        <v>123</v>
      </c>
      <c r="AH28" s="653">
        <v>619</v>
      </c>
      <c r="AI28" s="654">
        <f t="shared" si="7"/>
        <v>19.870759289176089</v>
      </c>
    </row>
    <row r="29" spans="1:37" s="6" customFormat="1" ht="21" customHeight="1">
      <c r="A29" s="380"/>
      <c r="B29" s="343" t="s">
        <v>840</v>
      </c>
      <c r="C29" s="651">
        <v>0</v>
      </c>
      <c r="D29" s="653">
        <v>0</v>
      </c>
      <c r="E29" s="370">
        <v>10</v>
      </c>
      <c r="F29" s="653">
        <v>0</v>
      </c>
      <c r="G29" s="653">
        <v>12</v>
      </c>
      <c r="H29" s="653">
        <v>0</v>
      </c>
      <c r="I29" s="653">
        <v>8</v>
      </c>
      <c r="J29" s="653">
        <v>1</v>
      </c>
      <c r="K29" s="653">
        <v>7</v>
      </c>
      <c r="L29" s="653">
        <v>0</v>
      </c>
      <c r="M29" s="653">
        <v>6</v>
      </c>
      <c r="N29" s="492">
        <v>3</v>
      </c>
      <c r="O29" s="492">
        <v>0</v>
      </c>
      <c r="P29" s="492">
        <v>27</v>
      </c>
      <c r="Q29" s="492">
        <v>1</v>
      </c>
      <c r="R29" s="492">
        <v>18</v>
      </c>
      <c r="S29" s="492">
        <v>2</v>
      </c>
      <c r="T29" s="492">
        <v>16</v>
      </c>
      <c r="U29" s="492">
        <v>0</v>
      </c>
      <c r="V29" s="492">
        <v>3</v>
      </c>
      <c r="W29" s="492">
        <v>11</v>
      </c>
      <c r="X29" s="492">
        <v>22</v>
      </c>
      <c r="Y29" s="492">
        <v>12</v>
      </c>
      <c r="Z29" s="492">
        <v>22</v>
      </c>
      <c r="AA29" s="492">
        <v>10</v>
      </c>
      <c r="AB29" s="492">
        <v>13</v>
      </c>
      <c r="AC29" s="492">
        <v>19</v>
      </c>
      <c r="AD29" s="370">
        <v>25</v>
      </c>
      <c r="AE29" s="653">
        <f t="shared" si="0"/>
        <v>98</v>
      </c>
      <c r="AF29" s="653">
        <f t="shared" si="1"/>
        <v>150</v>
      </c>
      <c r="AG29" s="653">
        <f t="shared" si="3"/>
        <v>248</v>
      </c>
      <c r="AH29" s="653">
        <v>820</v>
      </c>
      <c r="AI29" s="654">
        <f t="shared" si="7"/>
        <v>30.243902439024389</v>
      </c>
    </row>
    <row r="30" spans="1:37" s="6" customFormat="1" ht="21" customHeight="1">
      <c r="A30" s="380" t="s">
        <v>641</v>
      </c>
      <c r="B30" s="343" t="s">
        <v>841</v>
      </c>
      <c r="C30" s="651">
        <v>0</v>
      </c>
      <c r="D30" s="653">
        <v>0</v>
      </c>
      <c r="E30" s="370">
        <v>65</v>
      </c>
      <c r="F30" s="653">
        <v>0</v>
      </c>
      <c r="G30" s="653">
        <v>64</v>
      </c>
      <c r="H30" s="653">
        <v>0</v>
      </c>
      <c r="I30" s="653">
        <v>52</v>
      </c>
      <c r="J30" s="653">
        <v>0</v>
      </c>
      <c r="K30" s="653">
        <v>47</v>
      </c>
      <c r="L30" s="653">
        <v>0</v>
      </c>
      <c r="M30" s="653">
        <v>48</v>
      </c>
      <c r="N30" s="492">
        <v>0</v>
      </c>
      <c r="O30" s="492">
        <v>0</v>
      </c>
      <c r="P30" s="492">
        <v>80</v>
      </c>
      <c r="Q30" s="492">
        <v>0</v>
      </c>
      <c r="R30" s="492">
        <v>62</v>
      </c>
      <c r="S30" s="492">
        <v>0</v>
      </c>
      <c r="T30" s="492">
        <v>37</v>
      </c>
      <c r="U30" s="492">
        <v>0</v>
      </c>
      <c r="V30" s="492">
        <v>19</v>
      </c>
      <c r="W30" s="492">
        <v>82</v>
      </c>
      <c r="X30" s="492">
        <v>97</v>
      </c>
      <c r="Y30" s="492">
        <v>53</v>
      </c>
      <c r="Z30" s="492">
        <v>60</v>
      </c>
      <c r="AA30" s="492">
        <v>40</v>
      </c>
      <c r="AB30" s="492">
        <v>44</v>
      </c>
      <c r="AC30" s="492">
        <v>50</v>
      </c>
      <c r="AD30" s="370">
        <v>54</v>
      </c>
      <c r="AE30" s="653">
        <f t="shared" si="0"/>
        <v>501</v>
      </c>
      <c r="AF30" s="653">
        <f t="shared" si="1"/>
        <v>453</v>
      </c>
      <c r="AG30" s="653">
        <f t="shared" si="3"/>
        <v>954</v>
      </c>
      <c r="AH30" s="653">
        <v>3671</v>
      </c>
      <c r="AI30" s="654">
        <f t="shared" si="7"/>
        <v>25.987469354399344</v>
      </c>
    </row>
    <row r="31" spans="1:37" s="6" customFormat="1" ht="21" customHeight="1">
      <c r="A31" s="380" t="s">
        <v>642</v>
      </c>
      <c r="B31" s="343" t="s">
        <v>647</v>
      </c>
      <c r="C31" s="651">
        <v>0</v>
      </c>
      <c r="D31" s="653">
        <v>4</v>
      </c>
      <c r="E31" s="370">
        <v>87</v>
      </c>
      <c r="F31" s="653">
        <v>25</v>
      </c>
      <c r="G31" s="653">
        <v>86</v>
      </c>
      <c r="H31" s="653">
        <v>37</v>
      </c>
      <c r="I31" s="653">
        <v>81</v>
      </c>
      <c r="J31" s="653">
        <v>37</v>
      </c>
      <c r="K31" s="653">
        <v>85</v>
      </c>
      <c r="L31" s="653">
        <v>46</v>
      </c>
      <c r="M31" s="653">
        <v>81</v>
      </c>
      <c r="N31" s="492">
        <v>60</v>
      </c>
      <c r="O31" s="492">
        <v>13</v>
      </c>
      <c r="P31" s="492">
        <v>141</v>
      </c>
      <c r="Q31" s="492">
        <v>18</v>
      </c>
      <c r="R31" s="492">
        <v>117</v>
      </c>
      <c r="S31" s="492">
        <v>18</v>
      </c>
      <c r="T31" s="492">
        <v>75</v>
      </c>
      <c r="U31" s="492">
        <v>4</v>
      </c>
      <c r="V31" s="492">
        <v>43</v>
      </c>
      <c r="W31" s="492">
        <v>48</v>
      </c>
      <c r="X31" s="492">
        <v>73</v>
      </c>
      <c r="Y31" s="492">
        <v>46</v>
      </c>
      <c r="Z31" s="492">
        <v>92</v>
      </c>
      <c r="AA31" s="492">
        <v>34</v>
      </c>
      <c r="AB31" s="492">
        <v>47</v>
      </c>
      <c r="AC31" s="492">
        <v>45</v>
      </c>
      <c r="AD31" s="370">
        <v>75</v>
      </c>
      <c r="AE31" s="653">
        <f t="shared" si="0"/>
        <v>646</v>
      </c>
      <c r="AF31" s="653">
        <f t="shared" si="1"/>
        <v>872</v>
      </c>
      <c r="AG31" s="653">
        <f t="shared" si="3"/>
        <v>1518</v>
      </c>
      <c r="AH31" s="653">
        <v>11516</v>
      </c>
      <c r="AI31" s="654">
        <f t="shared" si="7"/>
        <v>13.146926015977769</v>
      </c>
    </row>
    <row r="32" spans="1:37" s="6" customFormat="1" ht="21" customHeight="1">
      <c r="A32" s="380"/>
      <c r="B32" s="343" t="s">
        <v>843</v>
      </c>
      <c r="C32" s="651">
        <v>3</v>
      </c>
      <c r="D32" s="653">
        <v>3</v>
      </c>
      <c r="E32" s="370">
        <v>64</v>
      </c>
      <c r="F32" s="653">
        <v>32</v>
      </c>
      <c r="G32" s="653">
        <v>53</v>
      </c>
      <c r="H32" s="653">
        <v>41</v>
      </c>
      <c r="I32" s="653">
        <v>64</v>
      </c>
      <c r="J32" s="653">
        <v>41</v>
      </c>
      <c r="K32" s="653">
        <v>47</v>
      </c>
      <c r="L32" s="653">
        <v>47</v>
      </c>
      <c r="M32" s="653">
        <v>44</v>
      </c>
      <c r="N32" s="492">
        <v>53</v>
      </c>
      <c r="O32" s="492">
        <v>21</v>
      </c>
      <c r="P32" s="492">
        <v>72</v>
      </c>
      <c r="Q32" s="492">
        <v>30</v>
      </c>
      <c r="R32" s="492">
        <v>56</v>
      </c>
      <c r="S32" s="492">
        <v>14</v>
      </c>
      <c r="T32" s="492">
        <v>57</v>
      </c>
      <c r="U32" s="492">
        <v>12</v>
      </c>
      <c r="V32" s="492">
        <v>20</v>
      </c>
      <c r="W32" s="492">
        <v>78</v>
      </c>
      <c r="X32" s="492">
        <v>121</v>
      </c>
      <c r="Y32" s="492">
        <v>84</v>
      </c>
      <c r="Z32" s="492">
        <v>104</v>
      </c>
      <c r="AA32" s="492">
        <v>73</v>
      </c>
      <c r="AB32" s="492">
        <v>76</v>
      </c>
      <c r="AC32" s="492">
        <v>67</v>
      </c>
      <c r="AD32" s="370">
        <v>83</v>
      </c>
      <c r="AE32" s="653">
        <f t="shared" si="0"/>
        <v>654</v>
      </c>
      <c r="AF32" s="653">
        <f t="shared" si="1"/>
        <v>806</v>
      </c>
      <c r="AG32" s="653">
        <f>SUM(AE32:AF32)</f>
        <v>1460</v>
      </c>
      <c r="AH32" s="653">
        <v>5872</v>
      </c>
      <c r="AI32" s="654">
        <f t="shared" si="7"/>
        <v>24.76158038147139</v>
      </c>
    </row>
    <row r="33" spans="1:35" s="6" customFormat="1" ht="21" customHeight="1">
      <c r="A33" s="380" t="s">
        <v>643</v>
      </c>
      <c r="B33" s="299" t="s">
        <v>1264</v>
      </c>
      <c r="C33" s="651">
        <v>0</v>
      </c>
      <c r="D33" s="653">
        <v>1</v>
      </c>
      <c r="E33" s="370">
        <v>15</v>
      </c>
      <c r="F33" s="653">
        <v>7</v>
      </c>
      <c r="G33" s="653">
        <v>10</v>
      </c>
      <c r="H33" s="653">
        <v>5</v>
      </c>
      <c r="I33" s="653">
        <v>11</v>
      </c>
      <c r="J33" s="653">
        <v>6</v>
      </c>
      <c r="K33" s="653">
        <v>10</v>
      </c>
      <c r="L33" s="653">
        <v>9</v>
      </c>
      <c r="M33" s="653">
        <v>7</v>
      </c>
      <c r="N33" s="492">
        <v>8</v>
      </c>
      <c r="O33" s="492">
        <v>3</v>
      </c>
      <c r="P33" s="492">
        <v>13</v>
      </c>
      <c r="Q33" s="492">
        <v>12</v>
      </c>
      <c r="R33" s="492">
        <v>5</v>
      </c>
      <c r="S33" s="492">
        <v>3</v>
      </c>
      <c r="T33" s="492">
        <v>6</v>
      </c>
      <c r="U33" s="492">
        <v>1</v>
      </c>
      <c r="V33" s="492">
        <v>4</v>
      </c>
      <c r="W33" s="492">
        <v>21</v>
      </c>
      <c r="X33" s="492">
        <v>21</v>
      </c>
      <c r="Y33" s="492">
        <v>17</v>
      </c>
      <c r="Z33" s="492">
        <v>16</v>
      </c>
      <c r="AA33" s="492">
        <v>10</v>
      </c>
      <c r="AB33" s="492">
        <v>15</v>
      </c>
      <c r="AC33" s="492">
        <v>13</v>
      </c>
      <c r="AD33" s="370">
        <v>3</v>
      </c>
      <c r="AE33" s="653">
        <f t="shared" si="0"/>
        <v>133</v>
      </c>
      <c r="AF33" s="653">
        <f t="shared" si="1"/>
        <v>119</v>
      </c>
      <c r="AG33" s="653">
        <f t="shared" si="3"/>
        <v>252</v>
      </c>
      <c r="AH33" s="653">
        <v>418</v>
      </c>
      <c r="AI33" s="654">
        <f t="shared" si="7"/>
        <v>60.047846889952147</v>
      </c>
    </row>
    <row r="34" spans="1:35" s="6" customFormat="1" ht="21" customHeight="1">
      <c r="A34" s="381" t="s">
        <v>644</v>
      </c>
      <c r="B34" s="534"/>
      <c r="C34" s="583">
        <f t="shared" ref="C34:AH34" si="8">SUM(C10:C33)</f>
        <v>46</v>
      </c>
      <c r="D34" s="583">
        <f t="shared" si="8"/>
        <v>28</v>
      </c>
      <c r="E34" s="583">
        <f t="shared" si="8"/>
        <v>1322</v>
      </c>
      <c r="F34" s="583">
        <f t="shared" si="8"/>
        <v>267</v>
      </c>
      <c r="G34" s="583">
        <f t="shared" si="8"/>
        <v>1328</v>
      </c>
      <c r="H34" s="583">
        <f t="shared" si="8"/>
        <v>384</v>
      </c>
      <c r="I34" s="583">
        <f t="shared" si="8"/>
        <v>1186</v>
      </c>
      <c r="J34" s="583">
        <f t="shared" si="8"/>
        <v>397</v>
      </c>
      <c r="K34" s="583">
        <f t="shared" si="8"/>
        <v>1070</v>
      </c>
      <c r="L34" s="583">
        <f t="shared" si="8"/>
        <v>465</v>
      </c>
      <c r="M34" s="583">
        <f t="shared" si="8"/>
        <v>1092</v>
      </c>
      <c r="N34" s="583">
        <f t="shared" si="8"/>
        <v>598</v>
      </c>
      <c r="O34" s="583">
        <f t="shared" si="8"/>
        <v>227</v>
      </c>
      <c r="P34" s="583">
        <f t="shared" si="8"/>
        <v>2065</v>
      </c>
      <c r="Q34" s="583">
        <f t="shared" si="8"/>
        <v>234</v>
      </c>
      <c r="R34" s="583">
        <f t="shared" si="8"/>
        <v>1723</v>
      </c>
      <c r="S34" s="583">
        <f t="shared" si="8"/>
        <v>156</v>
      </c>
      <c r="T34" s="583">
        <f t="shared" si="8"/>
        <v>1226</v>
      </c>
      <c r="U34" s="583">
        <f t="shared" si="8"/>
        <v>89</v>
      </c>
      <c r="V34" s="583">
        <f t="shared" si="8"/>
        <v>662</v>
      </c>
      <c r="W34" s="583">
        <f t="shared" si="8"/>
        <v>1234</v>
      </c>
      <c r="X34" s="583">
        <f t="shared" si="8"/>
        <v>2053</v>
      </c>
      <c r="Y34" s="583">
        <f t="shared" si="8"/>
        <v>1354</v>
      </c>
      <c r="Z34" s="583">
        <f t="shared" si="8"/>
        <v>1908</v>
      </c>
      <c r="AA34" s="583">
        <f t="shared" si="8"/>
        <v>998</v>
      </c>
      <c r="AB34" s="583">
        <f t="shared" si="8"/>
        <v>1393</v>
      </c>
      <c r="AC34" s="583">
        <f t="shared" si="8"/>
        <v>1121</v>
      </c>
      <c r="AD34" s="583">
        <f t="shared" si="8"/>
        <v>1690</v>
      </c>
      <c r="AE34" s="583">
        <f t="shared" si="8"/>
        <v>11457</v>
      </c>
      <c r="AF34" s="374">
        <f t="shared" si="8"/>
        <v>14859</v>
      </c>
      <c r="AG34" s="583">
        <f t="shared" si="8"/>
        <v>26316</v>
      </c>
      <c r="AH34" s="583">
        <f t="shared" si="8"/>
        <v>129062</v>
      </c>
      <c r="AI34" s="655">
        <f t="shared" ref="AI34" si="9">SUM(E34:V34)/AH34*100</f>
        <v>11.227936960530597</v>
      </c>
    </row>
    <row r="35" spans="1:35">
      <c r="A35" s="220"/>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207"/>
      <c r="AD35" s="207"/>
      <c r="AE35" s="207"/>
      <c r="AF35" s="207"/>
      <c r="AG35" s="207"/>
    </row>
    <row r="36" spans="1:35">
      <c r="A36" s="220"/>
      <c r="B36" s="11"/>
      <c r="C36" s="1261"/>
      <c r="D36" s="1261"/>
      <c r="E36" s="1261"/>
      <c r="F36" s="1261"/>
      <c r="G36" s="1261"/>
      <c r="H36" s="1261"/>
      <c r="I36" s="1261"/>
      <c r="J36" s="1261"/>
      <c r="K36" s="1261"/>
      <c r="L36" s="1261"/>
      <c r="M36" s="1261"/>
      <c r="N36" s="1261"/>
      <c r="O36" s="1261"/>
      <c r="P36" s="1261"/>
      <c r="Q36" s="1261"/>
      <c r="R36" s="1261"/>
      <c r="S36" s="1261"/>
      <c r="T36" s="1261"/>
      <c r="U36" s="1261"/>
      <c r="V36" s="1261"/>
      <c r="W36" s="1261"/>
      <c r="X36" s="1261"/>
      <c r="Y36" s="1261"/>
      <c r="Z36" s="1261"/>
      <c r="AA36" s="1261"/>
      <c r="AB36" s="1261"/>
      <c r="AC36" s="1262"/>
      <c r="AD36" s="1262"/>
      <c r="AE36" s="1262"/>
      <c r="AF36" s="1262"/>
      <c r="AG36" s="1262"/>
    </row>
    <row r="37" spans="1:35">
      <c r="A37" s="220"/>
      <c r="B37" s="11"/>
      <c r="C37" s="1263"/>
      <c r="D37" s="1263"/>
      <c r="E37" s="1263"/>
      <c r="F37" s="1263"/>
      <c r="G37" s="1263"/>
      <c r="H37" s="1263"/>
      <c r="I37" s="1263"/>
      <c r="J37" s="1263"/>
      <c r="K37" s="1263"/>
      <c r="L37" s="1263"/>
      <c r="M37" s="1263"/>
      <c r="N37" s="1263"/>
      <c r="O37" s="1263"/>
      <c r="P37" s="1263"/>
      <c r="Q37" s="1263"/>
      <c r="R37" s="1263"/>
      <c r="S37" s="1263"/>
      <c r="T37" s="1263"/>
      <c r="U37" s="1263"/>
      <c r="V37" s="1263"/>
      <c r="W37" s="1263"/>
      <c r="X37" s="1263"/>
      <c r="Y37" s="1263"/>
      <c r="Z37" s="1263"/>
      <c r="AA37" s="1263"/>
      <c r="AB37" s="1263"/>
      <c r="AC37" s="1263"/>
      <c r="AD37" s="1263"/>
      <c r="AE37" s="1264"/>
      <c r="AF37" s="1264"/>
      <c r="AG37" s="1264"/>
    </row>
    <row r="38" spans="1:35">
      <c r="A38" s="220"/>
      <c r="B38" s="11"/>
      <c r="C38" s="1265"/>
      <c r="D38" s="1265"/>
      <c r="E38" s="1265"/>
      <c r="F38" s="1265"/>
      <c r="G38" s="1265"/>
      <c r="H38" s="1265"/>
      <c r="I38" s="1265"/>
      <c r="J38" s="1265"/>
      <c r="K38" s="1265"/>
      <c r="L38" s="1265"/>
      <c r="M38" s="1265"/>
      <c r="N38" s="1265"/>
      <c r="O38" s="1265"/>
      <c r="P38" s="1265"/>
      <c r="Q38" s="1265"/>
      <c r="R38" s="1265"/>
      <c r="S38" s="1265"/>
      <c r="T38" s="1265"/>
      <c r="U38" s="1265"/>
      <c r="V38" s="1265"/>
      <c r="W38" s="1265"/>
      <c r="X38" s="1265"/>
      <c r="Y38" s="1265"/>
      <c r="Z38" s="1265"/>
      <c r="AA38" s="1265"/>
      <c r="AB38" s="1265"/>
      <c r="AC38" s="1265"/>
      <c r="AD38" s="1265"/>
      <c r="AE38" s="1266"/>
      <c r="AF38" s="1266"/>
      <c r="AG38" s="1266"/>
    </row>
    <row r="39" spans="1:35">
      <c r="A39" s="220"/>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266"/>
      <c r="AF39" s="1266"/>
      <c r="AG39" s="1266"/>
    </row>
    <row r="40" spans="1:35">
      <c r="A40" s="220"/>
      <c r="B40" s="11"/>
      <c r="C40" s="11"/>
      <c r="D40" s="167"/>
      <c r="E40" s="167"/>
      <c r="F40" s="167"/>
      <c r="G40" s="167"/>
      <c r="H40" s="167"/>
      <c r="I40" s="167"/>
      <c r="J40" s="167"/>
      <c r="K40" s="167"/>
      <c r="L40" s="167"/>
      <c r="M40" s="167"/>
      <c r="N40" s="167"/>
      <c r="O40" s="167"/>
      <c r="P40" s="167"/>
      <c r="Q40" s="167"/>
      <c r="R40" s="167"/>
      <c r="S40" s="167"/>
      <c r="T40" s="167"/>
      <c r="U40" s="11"/>
      <c r="V40" s="11"/>
      <c r="W40" s="11"/>
      <c r="X40" s="11"/>
      <c r="Y40" s="11"/>
      <c r="Z40" s="11"/>
      <c r="AA40" s="11"/>
      <c r="AB40" s="11"/>
      <c r="AC40" s="11"/>
      <c r="AD40" s="11"/>
      <c r="AE40" s="1266"/>
      <c r="AF40" s="1266"/>
      <c r="AG40" s="1266"/>
    </row>
    <row r="41" spans="1:35">
      <c r="A41" s="220"/>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266"/>
      <c r="AF41" s="1266"/>
      <c r="AG41" s="1266"/>
    </row>
    <row r="42" spans="1:35">
      <c r="A42" s="220"/>
      <c r="B42" s="220"/>
      <c r="C42" s="220"/>
      <c r="D42" s="220"/>
      <c r="E42" s="220"/>
      <c r="F42" s="220"/>
      <c r="G42" s="220"/>
      <c r="H42" s="220"/>
      <c r="I42" s="220"/>
      <c r="J42" s="220"/>
      <c r="K42" s="220"/>
      <c r="L42" s="220"/>
      <c r="M42" s="220"/>
      <c r="N42" s="220"/>
      <c r="O42" s="220"/>
      <c r="P42" s="220"/>
      <c r="Q42" s="220"/>
      <c r="R42" s="220"/>
      <c r="S42" s="220"/>
      <c r="T42" s="220"/>
      <c r="U42" s="220"/>
      <c r="V42" s="220"/>
      <c r="W42" s="220"/>
      <c r="X42" s="220"/>
      <c r="Y42" s="220"/>
      <c r="Z42" s="220"/>
      <c r="AA42" s="220"/>
      <c r="AB42" s="220"/>
      <c r="AC42" s="220"/>
      <c r="AD42" s="220"/>
      <c r="AE42" s="1266"/>
      <c r="AF42" s="1266"/>
      <c r="AG42" s="1266"/>
    </row>
    <row r="43" spans="1:35">
      <c r="A43" s="220"/>
      <c r="B43" s="220"/>
      <c r="C43" s="220"/>
      <c r="D43" s="220"/>
      <c r="E43" s="220"/>
      <c r="F43" s="220"/>
      <c r="G43" s="220"/>
      <c r="H43" s="220"/>
      <c r="I43" s="220"/>
      <c r="J43" s="220"/>
      <c r="K43" s="220"/>
      <c r="L43" s="220"/>
      <c r="M43" s="220"/>
      <c r="N43" s="220"/>
      <c r="O43" s="220"/>
      <c r="P43" s="220"/>
      <c r="Q43" s="220"/>
      <c r="R43" s="220"/>
      <c r="S43" s="220"/>
      <c r="T43" s="220"/>
      <c r="U43" s="220"/>
      <c r="V43" s="220"/>
      <c r="W43" s="220"/>
      <c r="X43" s="220"/>
      <c r="Y43" s="220"/>
      <c r="Z43" s="220"/>
      <c r="AA43" s="220"/>
      <c r="AB43" s="220"/>
      <c r="AC43" s="220"/>
      <c r="AD43" s="220"/>
      <c r="AE43" s="1266"/>
      <c r="AF43" s="1266"/>
      <c r="AG43" s="1266"/>
    </row>
    <row r="44" spans="1:35">
      <c r="A44" s="220"/>
      <c r="B44" s="220"/>
      <c r="C44" s="220"/>
      <c r="D44" s="220"/>
      <c r="E44" s="220"/>
      <c r="F44" s="220"/>
      <c r="G44" s="220"/>
      <c r="H44" s="220"/>
      <c r="I44" s="220"/>
      <c r="J44" s="220"/>
      <c r="K44" s="220"/>
      <c r="L44" s="220"/>
      <c r="M44" s="220"/>
      <c r="N44" s="220"/>
      <c r="O44" s="220"/>
      <c r="P44" s="220"/>
      <c r="Q44" s="220"/>
      <c r="R44" s="220"/>
      <c r="S44" s="220"/>
      <c r="T44" s="220"/>
      <c r="U44" s="220"/>
      <c r="V44" s="220"/>
      <c r="W44" s="220"/>
      <c r="X44" s="220"/>
      <c r="Y44" s="220"/>
      <c r="Z44" s="220"/>
      <c r="AA44" s="220"/>
      <c r="AB44" s="220"/>
      <c r="AC44" s="220"/>
      <c r="AD44" s="220"/>
      <c r="AE44" s="220"/>
      <c r="AF44" s="220"/>
      <c r="AG44" s="220"/>
    </row>
    <row r="45" spans="1:35">
      <c r="A45" s="220"/>
      <c r="B45" s="220"/>
      <c r="C45" s="220"/>
      <c r="D45" s="220"/>
      <c r="E45" s="220"/>
      <c r="F45" s="220"/>
      <c r="G45" s="220"/>
      <c r="H45" s="220"/>
      <c r="I45" s="220"/>
      <c r="J45" s="220"/>
      <c r="K45" s="220"/>
      <c r="L45" s="220"/>
      <c r="M45" s="220"/>
      <c r="N45" s="220"/>
      <c r="O45" s="220"/>
      <c r="P45" s="220"/>
      <c r="Q45" s="220"/>
      <c r="R45" s="220"/>
      <c r="S45" s="220"/>
      <c r="T45" s="220"/>
      <c r="U45" s="220"/>
      <c r="V45" s="220"/>
      <c r="W45" s="220"/>
      <c r="X45" s="220"/>
      <c r="Y45" s="220"/>
      <c r="Z45" s="220"/>
      <c r="AA45" s="220"/>
      <c r="AB45" s="220"/>
      <c r="AC45" s="220"/>
      <c r="AD45" s="220"/>
      <c r="AE45" s="220"/>
      <c r="AF45" s="220"/>
      <c r="AG45" s="220"/>
    </row>
    <row r="46" spans="1:35">
      <c r="A46" s="220"/>
      <c r="B46" s="220"/>
      <c r="C46" s="220"/>
      <c r="D46" s="220"/>
      <c r="E46" s="220"/>
      <c r="F46" s="220"/>
      <c r="G46" s="220"/>
      <c r="H46" s="220"/>
      <c r="I46" s="220"/>
      <c r="J46" s="220"/>
      <c r="K46" s="220"/>
      <c r="L46" s="220"/>
      <c r="M46" s="220"/>
      <c r="N46" s="220"/>
      <c r="O46" s="220"/>
      <c r="P46" s="220"/>
      <c r="Q46" s="220"/>
      <c r="R46" s="220"/>
      <c r="S46" s="220"/>
      <c r="T46" s="220"/>
      <c r="U46" s="220"/>
      <c r="V46" s="220"/>
      <c r="W46" s="220"/>
      <c r="X46" s="220"/>
      <c r="Y46" s="220"/>
      <c r="Z46" s="220"/>
      <c r="AA46" s="220"/>
      <c r="AB46" s="220"/>
      <c r="AC46" s="220"/>
      <c r="AD46" s="220"/>
      <c r="AE46" s="220"/>
      <c r="AF46" s="220"/>
      <c r="AG46" s="220"/>
    </row>
    <row r="47" spans="1:35">
      <c r="A47" s="220"/>
      <c r="B47" s="220"/>
      <c r="C47" s="220"/>
      <c r="D47" s="220"/>
      <c r="E47" s="220"/>
      <c r="F47" s="220"/>
      <c r="G47" s="220"/>
      <c r="H47" s="220"/>
      <c r="I47" s="220"/>
      <c r="J47" s="220"/>
      <c r="K47" s="220"/>
      <c r="L47" s="220"/>
      <c r="M47" s="220"/>
      <c r="N47" s="220"/>
      <c r="O47" s="220"/>
      <c r="P47" s="220"/>
      <c r="Q47" s="220"/>
      <c r="R47" s="220"/>
      <c r="S47" s="220"/>
      <c r="T47" s="220"/>
      <c r="U47" s="220"/>
      <c r="V47" s="220"/>
      <c r="W47" s="220"/>
      <c r="X47" s="220"/>
      <c r="Y47" s="220"/>
      <c r="Z47" s="220"/>
      <c r="AA47" s="220"/>
      <c r="AB47" s="220"/>
      <c r="AC47" s="220"/>
      <c r="AD47" s="220"/>
      <c r="AE47" s="220"/>
      <c r="AF47" s="220"/>
      <c r="AG47" s="220"/>
    </row>
    <row r="48" spans="1:35">
      <c r="A48" s="220"/>
      <c r="B48" s="220"/>
      <c r="C48" s="220"/>
      <c r="D48" s="220"/>
      <c r="E48" s="220"/>
      <c r="F48" s="220"/>
      <c r="G48" s="220"/>
      <c r="H48" s="220"/>
      <c r="I48" s="220"/>
      <c r="J48" s="220"/>
      <c r="K48" s="220"/>
      <c r="L48" s="220"/>
      <c r="M48" s="220"/>
      <c r="N48" s="220"/>
      <c r="O48" s="220"/>
      <c r="P48" s="220"/>
      <c r="Q48" s="220"/>
      <c r="R48" s="220"/>
      <c r="S48" s="220"/>
      <c r="T48" s="220"/>
      <c r="U48" s="220"/>
      <c r="V48" s="220"/>
      <c r="W48" s="220"/>
      <c r="X48" s="220"/>
      <c r="Y48" s="220"/>
      <c r="Z48" s="220"/>
      <c r="AA48" s="220"/>
      <c r="AB48" s="220"/>
      <c r="AC48" s="220"/>
      <c r="AD48" s="220"/>
      <c r="AE48" s="220"/>
      <c r="AF48" s="220"/>
      <c r="AG48" s="220"/>
    </row>
    <row r="49" spans="1:33">
      <c r="A49" s="220"/>
      <c r="B49" s="220"/>
      <c r="C49" s="220"/>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0"/>
      <c r="AD49" s="220"/>
      <c r="AE49" s="220"/>
      <c r="AF49" s="220"/>
      <c r="AG49" s="220"/>
    </row>
    <row r="50" spans="1:33">
      <c r="A50" s="220"/>
      <c r="B50" s="220"/>
      <c r="C50" s="220"/>
      <c r="D50" s="220"/>
      <c r="E50" s="220"/>
      <c r="F50" s="220"/>
      <c r="G50" s="220"/>
      <c r="H50" s="220"/>
      <c r="I50" s="220"/>
      <c r="J50" s="220"/>
      <c r="K50" s="220"/>
      <c r="L50" s="220"/>
      <c r="M50" s="220"/>
      <c r="N50" s="220"/>
      <c r="O50" s="220"/>
      <c r="P50" s="220"/>
      <c r="Q50" s="220"/>
      <c r="R50" s="220"/>
      <c r="S50" s="220"/>
      <c r="T50" s="220"/>
      <c r="U50" s="220"/>
      <c r="V50" s="220"/>
      <c r="W50" s="220"/>
      <c r="X50" s="220"/>
      <c r="Y50" s="220"/>
      <c r="Z50" s="220"/>
      <c r="AA50" s="220"/>
      <c r="AB50" s="220"/>
      <c r="AC50" s="220"/>
      <c r="AD50" s="220"/>
      <c r="AE50" s="220"/>
      <c r="AF50" s="220"/>
      <c r="AG50" s="220"/>
    </row>
    <row r="51" spans="1:33">
      <c r="A51" s="220"/>
      <c r="B51" s="220"/>
      <c r="C51" s="220"/>
      <c r="D51" s="220"/>
      <c r="E51" s="220"/>
      <c r="F51" s="220"/>
      <c r="G51" s="220"/>
      <c r="H51" s="220"/>
      <c r="I51" s="220"/>
      <c r="J51" s="220"/>
      <c r="K51" s="220"/>
      <c r="L51" s="220"/>
      <c r="M51" s="220"/>
      <c r="N51" s="220"/>
      <c r="O51" s="220"/>
      <c r="P51" s="220"/>
      <c r="Q51" s="220"/>
      <c r="R51" s="220"/>
      <c r="S51" s="220"/>
      <c r="T51" s="220"/>
      <c r="U51" s="220"/>
      <c r="V51" s="220"/>
      <c r="W51" s="220"/>
      <c r="X51" s="220"/>
      <c r="Y51" s="220"/>
      <c r="Z51" s="220"/>
      <c r="AA51" s="220"/>
      <c r="AB51" s="220"/>
      <c r="AC51" s="220"/>
      <c r="AD51" s="220"/>
      <c r="AE51" s="220"/>
      <c r="AF51" s="220"/>
      <c r="AG51" s="220"/>
    </row>
    <row r="52" spans="1:33">
      <c r="A52" s="220"/>
      <c r="B52" s="220"/>
      <c r="C52" s="220"/>
      <c r="D52" s="220"/>
      <c r="E52" s="220"/>
      <c r="F52" s="220"/>
      <c r="G52" s="220"/>
      <c r="H52" s="220"/>
      <c r="I52" s="220"/>
      <c r="J52" s="220"/>
      <c r="K52" s="220"/>
      <c r="L52" s="220"/>
      <c r="M52" s="220"/>
      <c r="N52" s="220"/>
      <c r="O52" s="220"/>
      <c r="P52" s="220"/>
      <c r="Q52" s="220"/>
      <c r="R52" s="220"/>
      <c r="S52" s="220"/>
      <c r="T52" s="220"/>
      <c r="U52" s="220"/>
      <c r="V52" s="220"/>
      <c r="W52" s="220"/>
      <c r="X52" s="220"/>
      <c r="Y52" s="220"/>
      <c r="Z52" s="220"/>
      <c r="AA52" s="220"/>
      <c r="AB52" s="220"/>
      <c r="AC52" s="220"/>
      <c r="AD52" s="220"/>
      <c r="AE52" s="220"/>
      <c r="AF52" s="220"/>
      <c r="AG52" s="220"/>
    </row>
    <row r="53" spans="1:33">
      <c r="A53" s="220"/>
      <c r="B53" s="220"/>
      <c r="C53" s="220"/>
      <c r="D53" s="220"/>
      <c r="E53" s="220"/>
      <c r="F53" s="220"/>
      <c r="G53" s="220"/>
      <c r="H53" s="220"/>
      <c r="I53" s="220"/>
      <c r="J53" s="220"/>
      <c r="K53" s="220"/>
      <c r="L53" s="220"/>
      <c r="M53" s="220"/>
      <c r="N53" s="220"/>
      <c r="O53" s="220"/>
      <c r="P53" s="220"/>
      <c r="Q53" s="220"/>
      <c r="R53" s="220"/>
      <c r="S53" s="220"/>
      <c r="T53" s="220"/>
      <c r="U53" s="220"/>
      <c r="V53" s="220"/>
      <c r="W53" s="220"/>
      <c r="X53" s="220"/>
      <c r="Y53" s="220"/>
      <c r="Z53" s="220"/>
      <c r="AA53" s="220"/>
      <c r="AB53" s="220"/>
      <c r="AC53" s="220"/>
      <c r="AD53" s="220"/>
      <c r="AE53" s="220"/>
      <c r="AF53" s="220"/>
      <c r="AG53" s="220"/>
    </row>
    <row r="54" spans="1:33">
      <c r="A54" s="220"/>
      <c r="B54" s="220"/>
      <c r="C54" s="220"/>
      <c r="D54" s="220"/>
      <c r="E54" s="220"/>
      <c r="F54" s="220"/>
      <c r="G54" s="220"/>
      <c r="H54" s="220"/>
      <c r="I54" s="220"/>
      <c r="J54" s="220"/>
      <c r="K54" s="220"/>
      <c r="L54" s="220"/>
      <c r="M54" s="220"/>
      <c r="N54" s="220"/>
      <c r="O54" s="220"/>
      <c r="P54" s="220"/>
      <c r="Q54" s="220"/>
      <c r="R54" s="220"/>
      <c r="S54" s="220"/>
      <c r="T54" s="220"/>
      <c r="U54" s="220"/>
      <c r="V54" s="220"/>
      <c r="W54" s="220"/>
      <c r="X54" s="220"/>
      <c r="Y54" s="220"/>
      <c r="Z54" s="220"/>
      <c r="AA54" s="220"/>
      <c r="AB54" s="220"/>
      <c r="AC54" s="220"/>
      <c r="AD54" s="220"/>
      <c r="AE54" s="220"/>
      <c r="AF54" s="220"/>
      <c r="AG54" s="220"/>
    </row>
    <row r="55" spans="1:33">
      <c r="A55" s="220"/>
      <c r="B55" s="220"/>
      <c r="C55" s="220"/>
      <c r="D55" s="220"/>
      <c r="E55" s="220"/>
      <c r="F55" s="220"/>
      <c r="G55" s="220"/>
      <c r="H55" s="220"/>
      <c r="I55" s="220"/>
      <c r="J55" s="220"/>
      <c r="K55" s="220"/>
      <c r="L55" s="220"/>
      <c r="M55" s="220"/>
      <c r="N55" s="220"/>
      <c r="O55" s="220"/>
      <c r="P55" s="220"/>
      <c r="Q55" s="220"/>
      <c r="R55" s="220"/>
      <c r="S55" s="220"/>
      <c r="T55" s="220"/>
      <c r="U55" s="220"/>
      <c r="V55" s="220"/>
      <c r="W55" s="220"/>
      <c r="X55" s="220"/>
      <c r="Y55" s="220"/>
      <c r="Z55" s="220"/>
      <c r="AA55" s="220"/>
      <c r="AB55" s="220"/>
      <c r="AC55" s="220"/>
      <c r="AD55" s="220"/>
      <c r="AE55" s="220"/>
      <c r="AF55" s="220"/>
      <c r="AG55" s="220"/>
    </row>
    <row r="56" spans="1:33">
      <c r="A56" s="220"/>
      <c r="B56" s="220"/>
      <c r="C56" s="220"/>
      <c r="D56" s="220"/>
      <c r="E56" s="220"/>
      <c r="F56" s="220"/>
      <c r="G56" s="220"/>
      <c r="H56" s="220"/>
      <c r="I56" s="220"/>
      <c r="J56" s="220"/>
      <c r="K56" s="220"/>
      <c r="L56" s="220"/>
      <c r="M56" s="220"/>
      <c r="N56" s="220"/>
      <c r="O56" s="220"/>
      <c r="P56" s="220"/>
      <c r="Q56" s="220"/>
      <c r="R56" s="220"/>
      <c r="S56" s="220"/>
      <c r="T56" s="220"/>
      <c r="U56" s="220"/>
      <c r="V56" s="220"/>
      <c r="W56" s="220"/>
      <c r="X56" s="220"/>
      <c r="Y56" s="220"/>
      <c r="Z56" s="220"/>
      <c r="AA56" s="220"/>
      <c r="AB56" s="220"/>
      <c r="AC56" s="220"/>
      <c r="AD56" s="220"/>
      <c r="AE56" s="220"/>
      <c r="AF56" s="220"/>
      <c r="AG56" s="220"/>
    </row>
    <row r="57" spans="1:33">
      <c r="A57" s="220"/>
      <c r="B57" s="220"/>
      <c r="C57" s="220"/>
      <c r="D57" s="220"/>
      <c r="E57" s="220"/>
      <c r="F57" s="220"/>
      <c r="G57" s="220"/>
      <c r="H57" s="220"/>
      <c r="I57" s="220"/>
      <c r="J57" s="220"/>
      <c r="K57" s="220"/>
      <c r="L57" s="220"/>
      <c r="M57" s="220"/>
      <c r="N57" s="220"/>
      <c r="O57" s="220"/>
      <c r="P57" s="220"/>
      <c r="Q57" s="220"/>
      <c r="R57" s="220"/>
      <c r="S57" s="220"/>
      <c r="T57" s="220"/>
      <c r="U57" s="220"/>
      <c r="V57" s="220"/>
      <c r="W57" s="220"/>
      <c r="X57" s="220"/>
      <c r="Y57" s="220"/>
      <c r="Z57" s="220"/>
      <c r="AA57" s="220"/>
      <c r="AB57" s="220"/>
      <c r="AC57" s="220"/>
      <c r="AD57" s="220"/>
      <c r="AE57" s="220"/>
      <c r="AF57" s="220"/>
      <c r="AG57" s="220"/>
    </row>
    <row r="58" spans="1:33">
      <c r="A58" s="220"/>
      <c r="B58" s="220"/>
      <c r="C58" s="220"/>
      <c r="D58" s="220"/>
      <c r="E58" s="220"/>
      <c r="F58" s="220"/>
      <c r="G58" s="220"/>
      <c r="H58" s="220"/>
      <c r="I58" s="220"/>
      <c r="J58" s="220"/>
      <c r="K58" s="220"/>
      <c r="L58" s="220"/>
      <c r="M58" s="220"/>
      <c r="N58" s="220"/>
      <c r="O58" s="220"/>
      <c r="P58" s="220"/>
      <c r="Q58" s="220"/>
      <c r="R58" s="220"/>
      <c r="S58" s="220"/>
      <c r="T58" s="220"/>
      <c r="U58" s="220"/>
      <c r="V58" s="220"/>
      <c r="W58" s="220"/>
      <c r="X58" s="220"/>
      <c r="Y58" s="220"/>
      <c r="Z58" s="220"/>
      <c r="AA58" s="220"/>
      <c r="AB58" s="220"/>
      <c r="AC58" s="220"/>
      <c r="AD58" s="220"/>
      <c r="AE58" s="220"/>
      <c r="AF58" s="220"/>
      <c r="AG58" s="220"/>
    </row>
    <row r="59" spans="1:33">
      <c r="A59" s="220"/>
      <c r="B59" s="220"/>
      <c r="C59" s="220"/>
      <c r="D59" s="220"/>
      <c r="E59" s="220"/>
      <c r="F59" s="220"/>
      <c r="G59" s="220"/>
      <c r="H59" s="220"/>
      <c r="I59" s="220"/>
      <c r="J59" s="220"/>
      <c r="K59" s="220"/>
      <c r="L59" s="220"/>
      <c r="M59" s="220"/>
      <c r="N59" s="220"/>
      <c r="O59" s="220"/>
      <c r="P59" s="220"/>
      <c r="Q59" s="220"/>
      <c r="R59" s="220"/>
      <c r="S59" s="220"/>
      <c r="T59" s="220"/>
      <c r="U59" s="220"/>
      <c r="V59" s="220"/>
      <c r="W59" s="220"/>
      <c r="X59" s="220"/>
      <c r="Y59" s="220"/>
      <c r="Z59" s="220"/>
      <c r="AA59" s="220"/>
      <c r="AB59" s="220"/>
      <c r="AC59" s="220"/>
      <c r="AD59" s="220"/>
      <c r="AE59" s="220"/>
      <c r="AF59" s="220"/>
      <c r="AG59" s="220"/>
    </row>
    <row r="60" spans="1:33">
      <c r="A60" s="220"/>
      <c r="B60" s="220"/>
      <c r="C60" s="220"/>
      <c r="D60" s="220"/>
      <c r="E60" s="220"/>
      <c r="F60" s="220"/>
      <c r="G60" s="220"/>
      <c r="H60" s="220"/>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0"/>
      <c r="AG60" s="220"/>
    </row>
    <row r="61" spans="1:33">
      <c r="A61" s="220"/>
      <c r="B61" s="220"/>
      <c r="C61" s="220"/>
      <c r="D61" s="220"/>
      <c r="E61" s="220"/>
      <c r="F61" s="220"/>
      <c r="G61" s="220"/>
      <c r="H61" s="220"/>
      <c r="I61" s="220"/>
      <c r="J61" s="220"/>
      <c r="K61" s="220"/>
      <c r="L61" s="220"/>
      <c r="M61" s="220"/>
      <c r="N61" s="220"/>
      <c r="O61" s="220"/>
      <c r="P61" s="220"/>
      <c r="Q61" s="220"/>
      <c r="R61" s="220"/>
      <c r="S61" s="220"/>
      <c r="T61" s="220"/>
      <c r="U61" s="220"/>
      <c r="V61" s="220"/>
      <c r="W61" s="220"/>
      <c r="X61" s="220"/>
      <c r="Y61" s="220"/>
      <c r="Z61" s="220"/>
      <c r="AA61" s="220"/>
      <c r="AB61" s="220"/>
      <c r="AC61" s="220"/>
      <c r="AD61" s="220"/>
      <c r="AE61" s="220"/>
      <c r="AF61" s="220"/>
      <c r="AG61" s="220"/>
    </row>
    <row r="62" spans="1:33">
      <c r="A62" s="220"/>
      <c r="B62" s="220"/>
      <c r="C62" s="220"/>
      <c r="D62" s="220"/>
      <c r="E62" s="220"/>
      <c r="F62" s="220"/>
      <c r="G62" s="220"/>
      <c r="H62" s="220"/>
      <c r="I62" s="220"/>
      <c r="J62" s="220"/>
      <c r="K62" s="220"/>
      <c r="L62" s="220"/>
      <c r="M62" s="220"/>
      <c r="N62" s="220"/>
      <c r="O62" s="220"/>
      <c r="P62" s="220"/>
      <c r="Q62" s="220"/>
      <c r="R62" s="220"/>
      <c r="S62" s="220"/>
      <c r="T62" s="220"/>
      <c r="U62" s="220"/>
      <c r="V62" s="220"/>
      <c r="W62" s="220"/>
      <c r="X62" s="220"/>
      <c r="Y62" s="220"/>
      <c r="Z62" s="220"/>
      <c r="AA62" s="220"/>
      <c r="AB62" s="220"/>
      <c r="AC62" s="220"/>
      <c r="AD62" s="220"/>
      <c r="AE62" s="220"/>
      <c r="AF62" s="220"/>
      <c r="AG62" s="220"/>
    </row>
    <row r="63" spans="1:33">
      <c r="A63" s="220"/>
      <c r="B63" s="220"/>
      <c r="C63" s="220"/>
      <c r="D63" s="220"/>
      <c r="E63" s="220"/>
      <c r="F63" s="220"/>
      <c r="G63" s="220"/>
      <c r="H63" s="220"/>
      <c r="I63" s="220"/>
      <c r="J63" s="220"/>
      <c r="K63" s="220"/>
      <c r="L63" s="220"/>
      <c r="M63" s="220"/>
      <c r="N63" s="220"/>
      <c r="O63" s="220"/>
      <c r="P63" s="220"/>
      <c r="Q63" s="220"/>
      <c r="R63" s="220"/>
      <c r="S63" s="220"/>
      <c r="T63" s="220"/>
      <c r="U63" s="220"/>
      <c r="V63" s="220"/>
      <c r="W63" s="220"/>
      <c r="X63" s="220"/>
      <c r="Y63" s="220"/>
      <c r="Z63" s="220"/>
      <c r="AA63" s="220"/>
      <c r="AB63" s="220"/>
      <c r="AC63" s="220"/>
      <c r="AD63" s="220"/>
      <c r="AE63" s="220"/>
      <c r="AF63" s="220"/>
      <c r="AG63" s="220"/>
    </row>
    <row r="64" spans="1:33">
      <c r="A64" s="220"/>
      <c r="B64" s="220"/>
      <c r="C64" s="220"/>
      <c r="D64" s="220"/>
      <c r="E64" s="220"/>
      <c r="F64" s="220"/>
      <c r="G64" s="220"/>
      <c r="H64" s="220"/>
      <c r="I64" s="220"/>
      <c r="J64" s="220"/>
      <c r="K64" s="220"/>
      <c r="L64" s="220"/>
      <c r="M64" s="220"/>
      <c r="N64" s="220"/>
      <c r="O64" s="220"/>
      <c r="P64" s="220"/>
      <c r="Q64" s="220"/>
      <c r="R64" s="220"/>
      <c r="S64" s="220"/>
      <c r="T64" s="220"/>
      <c r="U64" s="220"/>
      <c r="V64" s="220"/>
      <c r="W64" s="220"/>
      <c r="X64" s="220"/>
      <c r="Y64" s="220"/>
      <c r="Z64" s="220"/>
      <c r="AA64" s="220"/>
      <c r="AB64" s="220"/>
      <c r="AC64" s="220"/>
      <c r="AD64" s="220"/>
      <c r="AE64" s="220"/>
      <c r="AF64" s="220"/>
      <c r="AG64" s="220"/>
    </row>
    <row r="65" spans="1:33">
      <c r="A65" s="220"/>
      <c r="B65" s="220"/>
      <c r="C65" s="220"/>
      <c r="D65" s="220"/>
      <c r="E65" s="220"/>
      <c r="F65" s="220"/>
      <c r="G65" s="220"/>
      <c r="H65" s="220"/>
      <c r="I65" s="220"/>
      <c r="J65" s="220"/>
      <c r="K65" s="220"/>
      <c r="L65" s="220"/>
      <c r="M65" s="220"/>
      <c r="N65" s="220"/>
      <c r="O65" s="220"/>
      <c r="P65" s="220"/>
      <c r="Q65" s="220"/>
      <c r="R65" s="220"/>
      <c r="S65" s="220"/>
      <c r="T65" s="220"/>
      <c r="U65" s="220"/>
      <c r="V65" s="220"/>
      <c r="W65" s="220"/>
      <c r="X65" s="220"/>
      <c r="Y65" s="220"/>
      <c r="Z65" s="220"/>
      <c r="AA65" s="220"/>
      <c r="AB65" s="220"/>
      <c r="AC65" s="220"/>
      <c r="AD65" s="220"/>
      <c r="AE65" s="220"/>
      <c r="AF65" s="220"/>
      <c r="AG65" s="220"/>
    </row>
    <row r="66" spans="1:33">
      <c r="A66" s="220"/>
      <c r="B66" s="220"/>
      <c r="C66" s="220"/>
      <c r="D66" s="220"/>
      <c r="E66" s="220"/>
      <c r="F66" s="220"/>
      <c r="G66" s="220"/>
      <c r="H66" s="220"/>
      <c r="I66" s="220"/>
      <c r="J66" s="220"/>
      <c r="K66" s="220"/>
      <c r="L66" s="220"/>
      <c r="M66" s="220"/>
      <c r="N66" s="220"/>
      <c r="O66" s="220"/>
      <c r="P66" s="220"/>
      <c r="Q66" s="220"/>
      <c r="R66" s="220"/>
      <c r="S66" s="220"/>
      <c r="T66" s="220"/>
      <c r="U66" s="220"/>
      <c r="V66" s="220"/>
      <c r="W66" s="220"/>
      <c r="X66" s="220"/>
      <c r="Y66" s="220"/>
      <c r="Z66" s="220"/>
      <c r="AA66" s="220"/>
      <c r="AB66" s="220"/>
      <c r="AC66" s="220"/>
      <c r="AD66" s="220"/>
      <c r="AE66" s="220"/>
      <c r="AF66" s="220"/>
      <c r="AG66" s="220"/>
    </row>
    <row r="67" spans="1:33">
      <c r="A67" s="220"/>
      <c r="B67" s="220"/>
      <c r="C67" s="220"/>
      <c r="D67" s="220"/>
      <c r="E67" s="220"/>
      <c r="F67" s="220"/>
      <c r="G67" s="220"/>
      <c r="H67" s="220"/>
      <c r="I67" s="220"/>
      <c r="J67" s="220"/>
      <c r="K67" s="220"/>
      <c r="L67" s="220"/>
      <c r="M67" s="220"/>
      <c r="N67" s="220"/>
      <c r="O67" s="220"/>
      <c r="P67" s="220"/>
      <c r="Q67" s="220"/>
      <c r="R67" s="220"/>
      <c r="S67" s="220"/>
      <c r="T67" s="220"/>
      <c r="U67" s="220"/>
      <c r="V67" s="220"/>
      <c r="W67" s="220"/>
      <c r="X67" s="220"/>
      <c r="Y67" s="220"/>
      <c r="Z67" s="220"/>
      <c r="AA67" s="220"/>
      <c r="AB67" s="220"/>
      <c r="AC67" s="220"/>
      <c r="AD67" s="220"/>
      <c r="AE67" s="220"/>
      <c r="AF67" s="220"/>
      <c r="AG67" s="220"/>
    </row>
    <row r="68" spans="1:33">
      <c r="A68" s="220"/>
      <c r="B68" s="220"/>
      <c r="C68" s="220"/>
      <c r="D68" s="220"/>
      <c r="E68" s="220"/>
      <c r="F68" s="220"/>
      <c r="G68" s="220"/>
      <c r="H68" s="220"/>
      <c r="I68" s="220"/>
      <c r="J68" s="220"/>
      <c r="K68" s="220"/>
      <c r="L68" s="220"/>
      <c r="M68" s="220"/>
      <c r="N68" s="220"/>
      <c r="O68" s="220"/>
      <c r="P68" s="220"/>
      <c r="Q68" s="220"/>
      <c r="R68" s="220"/>
      <c r="S68" s="220"/>
      <c r="T68" s="220"/>
      <c r="U68" s="220"/>
      <c r="V68" s="220"/>
      <c r="W68" s="220"/>
      <c r="X68" s="220"/>
      <c r="Y68" s="220"/>
      <c r="Z68" s="220"/>
      <c r="AA68" s="220"/>
      <c r="AB68" s="220"/>
      <c r="AC68" s="220"/>
      <c r="AD68" s="220"/>
      <c r="AE68" s="220"/>
      <c r="AF68" s="220"/>
      <c r="AG68" s="220"/>
    </row>
    <row r="69" spans="1:33">
      <c r="A69" s="220"/>
      <c r="B69" s="220"/>
      <c r="C69" s="220"/>
      <c r="D69" s="220"/>
      <c r="E69" s="220"/>
      <c r="F69" s="220"/>
      <c r="G69" s="220"/>
      <c r="H69" s="220"/>
      <c r="I69" s="220"/>
      <c r="J69" s="220"/>
      <c r="K69" s="220"/>
      <c r="L69" s="220"/>
      <c r="M69" s="220"/>
      <c r="N69" s="220"/>
      <c r="O69" s="220"/>
      <c r="P69" s="220"/>
      <c r="Q69" s="220"/>
      <c r="R69" s="220"/>
      <c r="S69" s="220"/>
      <c r="T69" s="220"/>
      <c r="U69" s="220"/>
      <c r="V69" s="220"/>
      <c r="W69" s="220"/>
      <c r="X69" s="220"/>
      <c r="Y69" s="220"/>
      <c r="Z69" s="220"/>
      <c r="AA69" s="220"/>
      <c r="AB69" s="220"/>
      <c r="AC69" s="220"/>
      <c r="AD69" s="220"/>
      <c r="AE69" s="220"/>
      <c r="AF69" s="220"/>
      <c r="AG69" s="220"/>
    </row>
    <row r="70" spans="1:33">
      <c r="A70" s="220"/>
      <c r="B70" s="220"/>
      <c r="C70" s="220"/>
      <c r="D70" s="220"/>
      <c r="E70" s="220"/>
      <c r="F70" s="220"/>
      <c r="G70" s="220"/>
      <c r="H70" s="220"/>
      <c r="I70" s="220"/>
      <c r="J70" s="220"/>
      <c r="K70" s="220"/>
      <c r="L70" s="220"/>
      <c r="M70" s="220"/>
      <c r="N70" s="220"/>
      <c r="O70" s="220"/>
      <c r="P70" s="220"/>
      <c r="Q70" s="220"/>
      <c r="R70" s="220"/>
      <c r="S70" s="220"/>
      <c r="T70" s="220"/>
      <c r="U70" s="220"/>
      <c r="V70" s="220"/>
      <c r="W70" s="220"/>
      <c r="X70" s="220"/>
      <c r="Y70" s="220"/>
      <c r="Z70" s="220"/>
      <c r="AA70" s="220"/>
      <c r="AB70" s="220"/>
      <c r="AC70" s="220"/>
      <c r="AD70" s="220"/>
      <c r="AE70" s="220"/>
      <c r="AF70" s="220"/>
      <c r="AG70" s="220"/>
    </row>
    <row r="71" spans="1:33">
      <c r="A71" s="220"/>
      <c r="B71" s="220"/>
      <c r="C71" s="220"/>
      <c r="D71" s="220"/>
      <c r="E71" s="220"/>
      <c r="F71" s="220"/>
      <c r="G71" s="220"/>
      <c r="H71" s="220"/>
      <c r="I71" s="220"/>
      <c r="J71" s="220"/>
      <c r="K71" s="220"/>
      <c r="L71" s="220"/>
      <c r="M71" s="220"/>
      <c r="N71" s="220"/>
      <c r="O71" s="220"/>
      <c r="P71" s="220"/>
      <c r="Q71" s="220"/>
      <c r="R71" s="220"/>
      <c r="S71" s="220"/>
      <c r="T71" s="220"/>
      <c r="U71" s="220"/>
      <c r="V71" s="220"/>
      <c r="W71" s="220"/>
      <c r="X71" s="220"/>
      <c r="Y71" s="220"/>
      <c r="Z71" s="220"/>
      <c r="AA71" s="220"/>
      <c r="AB71" s="220"/>
      <c r="AC71" s="220"/>
      <c r="AD71" s="220"/>
      <c r="AE71" s="220"/>
      <c r="AF71" s="220"/>
      <c r="AG71" s="220"/>
    </row>
    <row r="72" spans="1:33">
      <c r="A72" s="220"/>
      <c r="B72" s="220"/>
      <c r="C72" s="220"/>
      <c r="D72" s="220"/>
      <c r="E72" s="220"/>
      <c r="F72" s="220"/>
      <c r="G72" s="220"/>
      <c r="H72" s="220"/>
      <c r="I72" s="220"/>
      <c r="J72" s="220"/>
      <c r="K72" s="220"/>
      <c r="L72" s="220"/>
      <c r="M72" s="220"/>
      <c r="N72" s="220"/>
      <c r="O72" s="220"/>
      <c r="P72" s="220"/>
      <c r="Q72" s="220"/>
      <c r="R72" s="220"/>
      <c r="S72" s="220"/>
      <c r="T72" s="220"/>
      <c r="U72" s="220"/>
      <c r="V72" s="220"/>
      <c r="W72" s="220"/>
      <c r="X72" s="220"/>
      <c r="Y72" s="220"/>
      <c r="Z72" s="220"/>
      <c r="AA72" s="220"/>
      <c r="AB72" s="220"/>
      <c r="AC72" s="220"/>
      <c r="AD72" s="220"/>
      <c r="AE72" s="220"/>
      <c r="AF72" s="220"/>
      <c r="AG72" s="220"/>
    </row>
    <row r="73" spans="1:33">
      <c r="A73" s="220"/>
      <c r="B73" s="220"/>
      <c r="C73" s="220"/>
      <c r="D73" s="220"/>
      <c r="E73" s="220"/>
      <c r="F73" s="220"/>
      <c r="G73" s="220"/>
      <c r="H73" s="220"/>
      <c r="I73" s="220"/>
      <c r="J73" s="220"/>
      <c r="K73" s="220"/>
      <c r="L73" s="220"/>
      <c r="M73" s="220"/>
      <c r="N73" s="220"/>
      <c r="O73" s="220"/>
      <c r="P73" s="220"/>
      <c r="Q73" s="220"/>
      <c r="R73" s="220"/>
      <c r="S73" s="220"/>
      <c r="T73" s="220"/>
      <c r="U73" s="220"/>
      <c r="V73" s="220"/>
      <c r="W73" s="220"/>
      <c r="X73" s="220"/>
      <c r="Y73" s="220"/>
      <c r="Z73" s="220"/>
      <c r="AA73" s="220"/>
      <c r="AB73" s="220"/>
      <c r="AC73" s="220"/>
      <c r="AD73" s="220"/>
      <c r="AE73" s="220"/>
      <c r="AF73" s="220"/>
      <c r="AG73" s="220"/>
    </row>
    <row r="74" spans="1:33">
      <c r="A74" s="220"/>
      <c r="B74" s="220"/>
      <c r="C74" s="220"/>
      <c r="D74" s="220"/>
      <c r="E74" s="220"/>
      <c r="F74" s="220"/>
      <c r="G74" s="220"/>
      <c r="H74" s="220"/>
      <c r="I74" s="220"/>
      <c r="J74" s="220"/>
      <c r="K74" s="220"/>
      <c r="L74" s="220"/>
      <c r="M74" s="220"/>
      <c r="N74" s="220"/>
      <c r="O74" s="220"/>
      <c r="P74" s="220"/>
      <c r="Q74" s="220"/>
      <c r="R74" s="220"/>
      <c r="S74" s="220"/>
      <c r="T74" s="220"/>
      <c r="U74" s="220"/>
      <c r="V74" s="220"/>
      <c r="W74" s="220"/>
      <c r="X74" s="220"/>
      <c r="Y74" s="220"/>
      <c r="Z74" s="220"/>
      <c r="AA74" s="220"/>
      <c r="AB74" s="220"/>
      <c r="AC74" s="220"/>
      <c r="AD74" s="220"/>
      <c r="AE74" s="220"/>
      <c r="AF74" s="220"/>
      <c r="AG74" s="220"/>
    </row>
    <row r="75" spans="1:33">
      <c r="A75" s="220"/>
      <c r="B75" s="220"/>
      <c r="C75" s="220"/>
      <c r="D75" s="220"/>
      <c r="E75" s="220"/>
      <c r="F75" s="220"/>
      <c r="G75" s="220"/>
      <c r="H75" s="220"/>
      <c r="I75" s="220"/>
      <c r="J75" s="220"/>
      <c r="K75" s="220"/>
      <c r="L75" s="220"/>
      <c r="M75" s="220"/>
      <c r="N75" s="220"/>
      <c r="O75" s="220"/>
      <c r="P75" s="220"/>
      <c r="Q75" s="220"/>
      <c r="R75" s="220"/>
      <c r="S75" s="220"/>
      <c r="T75" s="220"/>
      <c r="U75" s="220"/>
      <c r="V75" s="220"/>
      <c r="W75" s="220"/>
      <c r="X75" s="220"/>
      <c r="Y75" s="220"/>
      <c r="Z75" s="220"/>
      <c r="AA75" s="220"/>
      <c r="AB75" s="220"/>
      <c r="AC75" s="220"/>
      <c r="AD75" s="220"/>
      <c r="AE75" s="220"/>
      <c r="AF75" s="220"/>
      <c r="AG75" s="220"/>
    </row>
    <row r="76" spans="1:33">
      <c r="A76" s="220"/>
      <c r="B76" s="220"/>
      <c r="C76" s="220"/>
      <c r="D76" s="220"/>
      <c r="E76" s="220"/>
      <c r="F76" s="220"/>
      <c r="G76" s="220"/>
      <c r="H76" s="220"/>
      <c r="I76" s="220"/>
      <c r="J76" s="220"/>
      <c r="K76" s="220"/>
      <c r="L76" s="220"/>
      <c r="M76" s="220"/>
      <c r="N76" s="220"/>
      <c r="O76" s="220"/>
      <c r="P76" s="220"/>
      <c r="Q76" s="220"/>
      <c r="R76" s="220"/>
      <c r="S76" s="220"/>
      <c r="T76" s="220"/>
      <c r="U76" s="220"/>
      <c r="V76" s="220"/>
      <c r="W76" s="220"/>
      <c r="X76" s="220"/>
      <c r="Y76" s="220"/>
      <c r="Z76" s="220"/>
      <c r="AA76" s="220"/>
      <c r="AB76" s="220"/>
      <c r="AC76" s="220"/>
      <c r="AD76" s="220"/>
      <c r="AE76" s="220"/>
      <c r="AF76" s="220"/>
      <c r="AG76" s="220"/>
    </row>
    <row r="77" spans="1:33">
      <c r="A77" s="220"/>
      <c r="B77" s="220"/>
      <c r="C77" s="220"/>
      <c r="D77" s="220"/>
      <c r="E77" s="220"/>
      <c r="F77" s="220"/>
      <c r="G77" s="220"/>
      <c r="H77" s="220"/>
      <c r="I77" s="220"/>
      <c r="J77" s="220"/>
      <c r="K77" s="220"/>
      <c r="L77" s="220"/>
      <c r="M77" s="220"/>
      <c r="N77" s="220"/>
      <c r="O77" s="220"/>
      <c r="P77" s="220"/>
      <c r="Q77" s="220"/>
      <c r="R77" s="220"/>
      <c r="S77" s="220"/>
      <c r="T77" s="220"/>
      <c r="U77" s="220"/>
      <c r="V77" s="220"/>
      <c r="W77" s="220"/>
      <c r="X77" s="220"/>
      <c r="Y77" s="220"/>
      <c r="Z77" s="220"/>
      <c r="AA77" s="220"/>
      <c r="AB77" s="220"/>
      <c r="AC77" s="220"/>
      <c r="AD77" s="220"/>
      <c r="AE77" s="220"/>
      <c r="AF77" s="220"/>
      <c r="AG77" s="220"/>
    </row>
    <row r="78" spans="1:33">
      <c r="A78" s="220"/>
      <c r="B78" s="220"/>
      <c r="C78" s="220"/>
      <c r="D78" s="220"/>
      <c r="E78" s="220"/>
      <c r="F78" s="220"/>
      <c r="G78" s="220"/>
      <c r="H78" s="220"/>
      <c r="I78" s="220"/>
      <c r="J78" s="220"/>
      <c r="K78" s="220"/>
      <c r="L78" s="220"/>
      <c r="M78" s="220"/>
      <c r="N78" s="220"/>
      <c r="O78" s="220"/>
      <c r="P78" s="220"/>
      <c r="Q78" s="220"/>
      <c r="R78" s="220"/>
      <c r="S78" s="220"/>
      <c r="T78" s="220"/>
      <c r="U78" s="220"/>
      <c r="V78" s="220"/>
      <c r="W78" s="220"/>
      <c r="X78" s="220"/>
      <c r="Y78" s="220"/>
      <c r="Z78" s="220"/>
      <c r="AA78" s="220"/>
      <c r="AB78" s="220"/>
      <c r="AC78" s="220"/>
      <c r="AD78" s="220"/>
      <c r="AE78" s="220"/>
      <c r="AF78" s="220"/>
      <c r="AG78" s="220"/>
    </row>
    <row r="79" spans="1:33">
      <c r="A79" s="220"/>
      <c r="B79" s="220"/>
      <c r="C79" s="220"/>
      <c r="D79" s="220"/>
      <c r="E79" s="220"/>
      <c r="F79" s="220"/>
      <c r="G79" s="220"/>
      <c r="H79" s="220"/>
      <c r="I79" s="220"/>
      <c r="J79" s="220"/>
      <c r="K79" s="220"/>
      <c r="L79" s="220"/>
      <c r="M79" s="220"/>
      <c r="N79" s="220"/>
      <c r="O79" s="220"/>
      <c r="P79" s="220"/>
      <c r="Q79" s="220"/>
      <c r="R79" s="220"/>
      <c r="S79" s="220"/>
      <c r="T79" s="220"/>
      <c r="U79" s="220"/>
      <c r="V79" s="220"/>
      <c r="W79" s="220"/>
      <c r="X79" s="220"/>
      <c r="Y79" s="220"/>
      <c r="Z79" s="220"/>
      <c r="AA79" s="220"/>
      <c r="AB79" s="220"/>
      <c r="AC79" s="220"/>
      <c r="AD79" s="220"/>
      <c r="AE79" s="220"/>
      <c r="AF79" s="220"/>
      <c r="AG79" s="220"/>
    </row>
    <row r="80" spans="1:33">
      <c r="A80" s="220"/>
      <c r="B80" s="220"/>
      <c r="C80" s="220"/>
      <c r="D80" s="220"/>
      <c r="E80" s="220"/>
      <c r="F80" s="220"/>
      <c r="G80" s="220"/>
      <c r="H80" s="220"/>
      <c r="I80" s="220"/>
      <c r="J80" s="220"/>
      <c r="K80" s="220"/>
      <c r="L80" s="220"/>
      <c r="M80" s="220"/>
      <c r="N80" s="220"/>
      <c r="O80" s="220"/>
      <c r="P80" s="220"/>
      <c r="Q80" s="220"/>
      <c r="R80" s="220"/>
      <c r="S80" s="220"/>
      <c r="T80" s="220"/>
      <c r="U80" s="220"/>
      <c r="V80" s="220"/>
      <c r="W80" s="220"/>
      <c r="X80" s="220"/>
      <c r="Y80" s="220"/>
      <c r="Z80" s="220"/>
      <c r="AA80" s="220"/>
      <c r="AB80" s="220"/>
      <c r="AC80" s="220"/>
      <c r="AD80" s="220"/>
      <c r="AE80" s="220"/>
      <c r="AF80" s="220"/>
      <c r="AG80" s="220"/>
    </row>
    <row r="81" spans="1:33">
      <c r="A81" s="220"/>
      <c r="B81" s="220"/>
      <c r="C81" s="220"/>
      <c r="D81" s="220"/>
      <c r="E81" s="220"/>
      <c r="F81" s="220"/>
      <c r="G81" s="220"/>
      <c r="H81" s="220"/>
      <c r="I81" s="220"/>
      <c r="J81" s="220"/>
      <c r="K81" s="220"/>
      <c r="L81" s="220"/>
      <c r="M81" s="220"/>
      <c r="N81" s="220"/>
      <c r="O81" s="220"/>
      <c r="P81" s="220"/>
      <c r="Q81" s="220"/>
      <c r="R81" s="220"/>
      <c r="S81" s="220"/>
      <c r="T81" s="220"/>
      <c r="U81" s="220"/>
      <c r="V81" s="220"/>
      <c r="W81" s="220"/>
      <c r="X81" s="220"/>
      <c r="Y81" s="220"/>
      <c r="Z81" s="220"/>
      <c r="AA81" s="220"/>
      <c r="AB81" s="220"/>
      <c r="AC81" s="220"/>
      <c r="AD81" s="220"/>
      <c r="AE81" s="220"/>
      <c r="AF81" s="220"/>
      <c r="AG81" s="220"/>
    </row>
    <row r="82" spans="1:33">
      <c r="A82" s="220"/>
      <c r="B82" s="220"/>
      <c r="C82" s="220"/>
      <c r="D82" s="220"/>
      <c r="E82" s="220"/>
      <c r="F82" s="220"/>
      <c r="G82" s="220"/>
      <c r="H82" s="220"/>
      <c r="I82" s="220"/>
      <c r="J82" s="220"/>
      <c r="K82" s="220"/>
      <c r="L82" s="220"/>
      <c r="M82" s="220"/>
      <c r="N82" s="220"/>
      <c r="O82" s="220"/>
      <c r="P82" s="220"/>
      <c r="Q82" s="220"/>
      <c r="R82" s="220"/>
      <c r="S82" s="220"/>
      <c r="T82" s="220"/>
      <c r="U82" s="220"/>
      <c r="V82" s="220"/>
      <c r="W82" s="220"/>
      <c r="X82" s="220"/>
      <c r="Y82" s="220"/>
      <c r="Z82" s="220"/>
      <c r="AA82" s="220"/>
      <c r="AB82" s="220"/>
      <c r="AC82" s="220"/>
      <c r="AD82" s="220"/>
      <c r="AE82" s="220"/>
      <c r="AF82" s="220"/>
      <c r="AG82" s="220"/>
    </row>
    <row r="83" spans="1:33">
      <c r="A83" s="220"/>
      <c r="B83" s="220"/>
      <c r="C83" s="220"/>
      <c r="D83" s="220"/>
      <c r="E83" s="220"/>
      <c r="F83" s="220"/>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row>
    <row r="84" spans="1:33">
      <c r="A84" s="220"/>
      <c r="B84" s="220"/>
      <c r="C84" s="220"/>
      <c r="D84" s="220"/>
      <c r="E84" s="220"/>
      <c r="F84" s="220"/>
      <c r="G84" s="220"/>
      <c r="H84" s="220"/>
      <c r="I84" s="220"/>
      <c r="J84" s="220"/>
      <c r="K84" s="220"/>
      <c r="L84" s="220"/>
      <c r="M84" s="220"/>
      <c r="N84" s="220"/>
      <c r="O84" s="220"/>
      <c r="P84" s="220"/>
      <c r="Q84" s="220"/>
      <c r="R84" s="220"/>
      <c r="S84" s="220"/>
      <c r="T84" s="220"/>
      <c r="U84" s="220"/>
      <c r="V84" s="220"/>
      <c r="W84" s="220"/>
      <c r="X84" s="220"/>
      <c r="Y84" s="220"/>
      <c r="Z84" s="220"/>
      <c r="AA84" s="220"/>
      <c r="AB84" s="220"/>
      <c r="AC84" s="220"/>
      <c r="AD84" s="220"/>
      <c r="AE84" s="220"/>
      <c r="AF84" s="220"/>
      <c r="AG84" s="220"/>
    </row>
    <row r="85" spans="1:33">
      <c r="A85" s="220"/>
      <c r="B85" s="220"/>
      <c r="C85" s="220"/>
      <c r="D85" s="220"/>
      <c r="E85" s="220"/>
      <c r="F85" s="220"/>
      <c r="G85" s="220"/>
      <c r="H85" s="220"/>
      <c r="I85" s="220"/>
      <c r="J85" s="220"/>
      <c r="K85" s="220"/>
      <c r="L85" s="220"/>
      <c r="M85" s="220"/>
      <c r="N85" s="220"/>
      <c r="O85" s="220"/>
      <c r="P85" s="220"/>
      <c r="Q85" s="220"/>
      <c r="R85" s="220"/>
      <c r="S85" s="220"/>
      <c r="T85" s="220"/>
      <c r="U85" s="220"/>
      <c r="V85" s="220"/>
      <c r="W85" s="220"/>
      <c r="X85" s="220"/>
      <c r="Y85" s="220"/>
      <c r="Z85" s="220"/>
      <c r="AA85" s="220"/>
      <c r="AB85" s="220"/>
      <c r="AC85" s="220"/>
      <c r="AD85" s="220"/>
      <c r="AE85" s="220"/>
      <c r="AF85" s="220"/>
      <c r="AG85" s="220"/>
    </row>
    <row r="86" spans="1:33">
      <c r="A86" s="220"/>
      <c r="B86" s="220"/>
      <c r="C86" s="220"/>
      <c r="D86" s="220"/>
      <c r="E86" s="220"/>
      <c r="F86" s="220"/>
      <c r="G86" s="220"/>
      <c r="H86" s="220"/>
      <c r="I86" s="220"/>
      <c r="J86" s="220"/>
      <c r="K86" s="220"/>
      <c r="L86" s="220"/>
      <c r="M86" s="220"/>
      <c r="N86" s="220"/>
      <c r="O86" s="220"/>
      <c r="P86" s="220"/>
      <c r="Q86" s="220"/>
      <c r="R86" s="220"/>
      <c r="S86" s="220"/>
      <c r="T86" s="220"/>
      <c r="U86" s="220"/>
      <c r="V86" s="220"/>
      <c r="W86" s="220"/>
      <c r="X86" s="220"/>
      <c r="Y86" s="220"/>
      <c r="Z86" s="220"/>
      <c r="AA86" s="220"/>
      <c r="AB86" s="220"/>
      <c r="AC86" s="220"/>
      <c r="AD86" s="220"/>
      <c r="AE86" s="220"/>
      <c r="AF86" s="220"/>
      <c r="AG86" s="220"/>
    </row>
    <row r="87" spans="1:33">
      <c r="A87" s="220"/>
      <c r="B87" s="220"/>
      <c r="C87" s="220"/>
      <c r="D87" s="220"/>
      <c r="E87" s="220"/>
      <c r="F87" s="220"/>
      <c r="G87" s="220"/>
      <c r="H87" s="220"/>
      <c r="I87" s="220"/>
      <c r="J87" s="220"/>
      <c r="K87" s="220"/>
      <c r="L87" s="220"/>
      <c r="M87" s="220"/>
      <c r="N87" s="220"/>
      <c r="O87" s="220"/>
      <c r="P87" s="220"/>
      <c r="Q87" s="220"/>
      <c r="R87" s="220"/>
      <c r="S87" s="220"/>
      <c r="T87" s="220"/>
      <c r="U87" s="220"/>
      <c r="V87" s="220"/>
      <c r="W87" s="220"/>
      <c r="X87" s="220"/>
      <c r="Y87" s="220"/>
      <c r="Z87" s="220"/>
      <c r="AA87" s="220"/>
      <c r="AB87" s="220"/>
      <c r="AC87" s="220"/>
      <c r="AD87" s="220"/>
      <c r="AE87" s="220"/>
      <c r="AF87" s="220"/>
      <c r="AG87" s="220"/>
    </row>
    <row r="88" spans="1:33">
      <c r="A88" s="220"/>
      <c r="B88" s="220"/>
      <c r="C88" s="220"/>
      <c r="D88" s="220"/>
      <c r="E88" s="220"/>
      <c r="F88" s="220"/>
      <c r="G88" s="220"/>
      <c r="H88" s="220"/>
      <c r="I88" s="220"/>
      <c r="J88" s="220"/>
      <c r="K88" s="220"/>
      <c r="L88" s="220"/>
      <c r="M88" s="220"/>
      <c r="N88" s="220"/>
      <c r="O88" s="220"/>
      <c r="P88" s="220"/>
      <c r="Q88" s="220"/>
      <c r="R88" s="220"/>
      <c r="S88" s="220"/>
      <c r="T88" s="220"/>
      <c r="U88" s="220"/>
      <c r="V88" s="220"/>
      <c r="W88" s="220"/>
      <c r="X88" s="220"/>
      <c r="Y88" s="220"/>
      <c r="Z88" s="220"/>
      <c r="AA88" s="220"/>
      <c r="AB88" s="220"/>
      <c r="AC88" s="220"/>
      <c r="AD88" s="220"/>
      <c r="AE88" s="220"/>
      <c r="AF88" s="220"/>
      <c r="AG88" s="220"/>
    </row>
    <row r="89" spans="1:33">
      <c r="A89" s="220"/>
      <c r="B89" s="220"/>
      <c r="C89" s="220"/>
      <c r="D89" s="220"/>
      <c r="E89" s="220"/>
      <c r="F89" s="220"/>
      <c r="G89" s="220"/>
      <c r="H89" s="220"/>
      <c r="I89" s="220"/>
      <c r="J89" s="220"/>
      <c r="K89" s="220"/>
      <c r="L89" s="220"/>
      <c r="M89" s="220"/>
      <c r="N89" s="220"/>
      <c r="O89" s="220"/>
      <c r="P89" s="220"/>
      <c r="Q89" s="220"/>
      <c r="R89" s="220"/>
      <c r="S89" s="220"/>
      <c r="T89" s="220"/>
      <c r="U89" s="220"/>
      <c r="V89" s="220"/>
      <c r="W89" s="220"/>
      <c r="X89" s="220"/>
      <c r="Y89" s="220"/>
      <c r="Z89" s="220"/>
      <c r="AA89" s="220"/>
      <c r="AB89" s="220"/>
      <c r="AC89" s="220"/>
      <c r="AD89" s="220"/>
      <c r="AE89" s="220"/>
      <c r="AF89" s="220"/>
      <c r="AG89" s="220"/>
    </row>
    <row r="90" spans="1:33">
      <c r="A90" s="220"/>
      <c r="B90" s="220"/>
      <c r="C90" s="220"/>
      <c r="D90" s="220"/>
      <c r="E90" s="220"/>
      <c r="F90" s="220"/>
      <c r="G90" s="220"/>
      <c r="H90" s="220"/>
      <c r="I90" s="220"/>
      <c r="J90" s="220"/>
      <c r="K90" s="220"/>
      <c r="L90" s="220"/>
      <c r="M90" s="220"/>
      <c r="N90" s="220"/>
      <c r="O90" s="220"/>
      <c r="P90" s="220"/>
      <c r="Q90" s="220"/>
      <c r="R90" s="220"/>
      <c r="S90" s="220"/>
      <c r="T90" s="220"/>
      <c r="U90" s="220"/>
      <c r="V90" s="220"/>
      <c r="W90" s="220"/>
      <c r="X90" s="220"/>
      <c r="Y90" s="220"/>
      <c r="Z90" s="220"/>
      <c r="AA90" s="220"/>
      <c r="AB90" s="220"/>
      <c r="AC90" s="220"/>
      <c r="AD90" s="220"/>
      <c r="AE90" s="220"/>
      <c r="AF90" s="220"/>
      <c r="AG90" s="220"/>
    </row>
    <row r="91" spans="1:33">
      <c r="A91" s="220"/>
      <c r="B91" s="220"/>
      <c r="C91" s="220"/>
      <c r="D91" s="220"/>
      <c r="E91" s="220"/>
      <c r="F91" s="220"/>
      <c r="G91" s="220"/>
      <c r="H91" s="220"/>
      <c r="I91" s="220"/>
      <c r="J91" s="220"/>
      <c r="K91" s="220"/>
      <c r="L91" s="220"/>
      <c r="M91" s="220"/>
      <c r="N91" s="220"/>
      <c r="O91" s="220"/>
      <c r="P91" s="220"/>
      <c r="Q91" s="220"/>
      <c r="R91" s="220"/>
      <c r="S91" s="220"/>
      <c r="T91" s="220"/>
      <c r="U91" s="220"/>
      <c r="V91" s="220"/>
      <c r="W91" s="220"/>
      <c r="X91" s="220"/>
      <c r="Y91" s="220"/>
      <c r="Z91" s="220"/>
      <c r="AA91" s="220"/>
      <c r="AB91" s="220"/>
      <c r="AC91" s="220"/>
      <c r="AD91" s="220"/>
      <c r="AE91" s="220"/>
      <c r="AF91" s="220"/>
      <c r="AG91" s="220"/>
    </row>
    <row r="92" spans="1:33">
      <c r="A92" s="220"/>
      <c r="B92" s="220"/>
      <c r="C92" s="220"/>
      <c r="D92" s="220"/>
      <c r="E92" s="220"/>
      <c r="F92" s="220"/>
      <c r="G92" s="220"/>
      <c r="H92" s="220"/>
      <c r="I92" s="220"/>
      <c r="J92" s="220"/>
      <c r="K92" s="220"/>
      <c r="L92" s="220"/>
      <c r="M92" s="220"/>
      <c r="N92" s="220"/>
      <c r="O92" s="220"/>
      <c r="P92" s="220"/>
      <c r="Q92" s="220"/>
      <c r="R92" s="220"/>
      <c r="S92" s="220"/>
      <c r="T92" s="220"/>
      <c r="U92" s="220"/>
      <c r="V92" s="220"/>
      <c r="W92" s="220"/>
      <c r="X92" s="220"/>
      <c r="Y92" s="220"/>
      <c r="Z92" s="220"/>
      <c r="AA92" s="220"/>
      <c r="AB92" s="220"/>
      <c r="AC92" s="220"/>
      <c r="AD92" s="220"/>
      <c r="AE92" s="220"/>
      <c r="AF92" s="220"/>
      <c r="AG92" s="220"/>
    </row>
    <row r="93" spans="1:33">
      <c r="A93" s="220"/>
      <c r="B93" s="220"/>
      <c r="C93" s="220"/>
      <c r="D93" s="220"/>
      <c r="E93" s="220"/>
      <c r="F93" s="220"/>
      <c r="G93" s="220"/>
      <c r="H93" s="220"/>
      <c r="I93" s="220"/>
      <c r="J93" s="220"/>
      <c r="K93" s="220"/>
      <c r="L93" s="220"/>
      <c r="M93" s="220"/>
      <c r="N93" s="220"/>
      <c r="O93" s="220"/>
      <c r="P93" s="220"/>
      <c r="Q93" s="220"/>
      <c r="R93" s="220"/>
      <c r="S93" s="220"/>
      <c r="T93" s="220"/>
      <c r="U93" s="220"/>
      <c r="V93" s="220"/>
      <c r="W93" s="220"/>
      <c r="X93" s="220"/>
      <c r="Y93" s="220"/>
      <c r="Z93" s="220"/>
      <c r="AA93" s="220"/>
      <c r="AB93" s="220"/>
      <c r="AC93" s="220"/>
      <c r="AD93" s="220"/>
      <c r="AE93" s="220"/>
      <c r="AF93" s="220"/>
      <c r="AG93" s="220"/>
    </row>
    <row r="94" spans="1:33">
      <c r="A94" s="220"/>
      <c r="B94" s="220"/>
      <c r="C94" s="220"/>
      <c r="D94" s="220"/>
      <c r="E94" s="220"/>
      <c r="F94" s="220"/>
      <c r="G94" s="220"/>
      <c r="H94" s="220"/>
      <c r="I94" s="220"/>
      <c r="J94" s="220"/>
      <c r="K94" s="220"/>
      <c r="L94" s="220"/>
      <c r="M94" s="220"/>
      <c r="N94" s="220"/>
      <c r="O94" s="220"/>
      <c r="P94" s="220"/>
      <c r="Q94" s="220"/>
      <c r="R94" s="220"/>
      <c r="S94" s="220"/>
      <c r="T94" s="220"/>
      <c r="U94" s="220"/>
      <c r="V94" s="220"/>
      <c r="W94" s="220"/>
      <c r="X94" s="220"/>
      <c r="Y94" s="220"/>
      <c r="Z94" s="220"/>
      <c r="AA94" s="220"/>
      <c r="AB94" s="220"/>
      <c r="AC94" s="220"/>
      <c r="AD94" s="220"/>
      <c r="AE94" s="220"/>
      <c r="AF94" s="220"/>
      <c r="AG94" s="220"/>
    </row>
    <row r="95" spans="1:33">
      <c r="A95" s="220"/>
      <c r="B95" s="220"/>
      <c r="C95" s="220"/>
      <c r="D95" s="220"/>
      <c r="E95" s="220"/>
      <c r="F95" s="220"/>
      <c r="G95" s="220"/>
      <c r="H95" s="220"/>
      <c r="I95" s="220"/>
      <c r="J95" s="220"/>
      <c r="K95" s="220"/>
      <c r="L95" s="220"/>
      <c r="M95" s="220"/>
      <c r="N95" s="220"/>
      <c r="O95" s="220"/>
      <c r="P95" s="220"/>
      <c r="Q95" s="220"/>
      <c r="R95" s="220"/>
      <c r="S95" s="220"/>
      <c r="T95" s="220"/>
      <c r="U95" s="220"/>
      <c r="V95" s="220"/>
      <c r="W95" s="220"/>
      <c r="X95" s="220"/>
      <c r="Y95" s="220"/>
      <c r="Z95" s="220"/>
      <c r="AA95" s="220"/>
      <c r="AB95" s="220"/>
      <c r="AC95" s="220"/>
      <c r="AD95" s="220"/>
      <c r="AE95" s="220"/>
      <c r="AF95" s="220"/>
      <c r="AG95" s="220"/>
    </row>
    <row r="96" spans="1:33">
      <c r="A96" s="220"/>
      <c r="B96" s="220"/>
      <c r="C96" s="220"/>
      <c r="D96" s="220"/>
      <c r="E96" s="220"/>
      <c r="F96" s="220"/>
      <c r="G96" s="220"/>
      <c r="H96" s="220"/>
      <c r="I96" s="220"/>
      <c r="J96" s="220"/>
      <c r="K96" s="220"/>
      <c r="L96" s="220"/>
      <c r="M96" s="220"/>
      <c r="N96" s="220"/>
      <c r="O96" s="220"/>
      <c r="P96" s="220"/>
      <c r="Q96" s="220"/>
      <c r="R96" s="220"/>
      <c r="S96" s="220"/>
      <c r="T96" s="220"/>
      <c r="U96" s="220"/>
      <c r="V96" s="220"/>
      <c r="W96" s="220"/>
      <c r="X96" s="220"/>
      <c r="Y96" s="220"/>
      <c r="Z96" s="220"/>
      <c r="AA96" s="220"/>
      <c r="AB96" s="220"/>
      <c r="AC96" s="220"/>
      <c r="AD96" s="220"/>
      <c r="AE96" s="220"/>
      <c r="AF96" s="220"/>
      <c r="AG96" s="220"/>
    </row>
    <row r="97" spans="1:33">
      <c r="A97" s="220"/>
      <c r="B97" s="220"/>
      <c r="C97" s="220"/>
      <c r="D97" s="220"/>
      <c r="E97" s="220"/>
      <c r="F97" s="220"/>
      <c r="G97" s="220"/>
      <c r="H97" s="220"/>
      <c r="I97" s="220"/>
      <c r="J97" s="220"/>
      <c r="K97" s="220"/>
      <c r="L97" s="220"/>
      <c r="M97" s="220"/>
      <c r="N97" s="220"/>
      <c r="O97" s="220"/>
      <c r="P97" s="220"/>
      <c r="Q97" s="220"/>
      <c r="R97" s="220"/>
      <c r="S97" s="220"/>
      <c r="T97" s="220"/>
      <c r="U97" s="220"/>
      <c r="V97" s="220"/>
      <c r="W97" s="220"/>
      <c r="X97" s="220"/>
      <c r="Y97" s="220"/>
      <c r="Z97" s="220"/>
      <c r="AA97" s="220"/>
      <c r="AB97" s="220"/>
      <c r="AC97" s="220"/>
      <c r="AD97" s="220"/>
      <c r="AE97" s="220"/>
      <c r="AF97" s="220"/>
      <c r="AG97" s="220"/>
    </row>
    <row r="98" spans="1:33">
      <c r="A98" s="220"/>
      <c r="B98" s="220"/>
      <c r="C98" s="220"/>
      <c r="D98" s="220"/>
      <c r="E98" s="220"/>
      <c r="F98" s="220"/>
      <c r="G98" s="220"/>
      <c r="H98" s="220"/>
      <c r="I98" s="220"/>
      <c r="J98" s="220"/>
      <c r="K98" s="220"/>
      <c r="L98" s="220"/>
      <c r="M98" s="220"/>
      <c r="N98" s="220"/>
      <c r="O98" s="220"/>
      <c r="P98" s="220"/>
      <c r="Q98" s="220"/>
      <c r="R98" s="220"/>
      <c r="S98" s="220"/>
      <c r="T98" s="220"/>
      <c r="U98" s="220"/>
      <c r="V98" s="220"/>
      <c r="W98" s="220"/>
      <c r="X98" s="220"/>
      <c r="Y98" s="220"/>
      <c r="Z98" s="220"/>
      <c r="AA98" s="220"/>
      <c r="AB98" s="220"/>
      <c r="AC98" s="220"/>
      <c r="AD98" s="220"/>
      <c r="AE98" s="220"/>
      <c r="AF98" s="220"/>
      <c r="AG98" s="220"/>
    </row>
    <row r="99" spans="1:33">
      <c r="A99" s="220"/>
      <c r="B99" s="220"/>
      <c r="C99" s="220"/>
      <c r="D99" s="220"/>
      <c r="E99" s="220"/>
      <c r="F99" s="220"/>
      <c r="G99" s="220"/>
      <c r="H99" s="220"/>
      <c r="I99" s="220"/>
      <c r="J99" s="220"/>
      <c r="K99" s="220"/>
      <c r="L99" s="220"/>
      <c r="M99" s="220"/>
      <c r="N99" s="220"/>
      <c r="O99" s="220"/>
      <c r="P99" s="220"/>
      <c r="Q99" s="220"/>
      <c r="R99" s="220"/>
      <c r="S99" s="220"/>
      <c r="T99" s="220"/>
      <c r="U99" s="220"/>
      <c r="V99" s="220"/>
      <c r="W99" s="220"/>
      <c r="X99" s="220"/>
      <c r="Y99" s="220"/>
      <c r="Z99" s="220"/>
      <c r="AA99" s="220"/>
      <c r="AB99" s="220"/>
      <c r="AC99" s="220"/>
      <c r="AD99" s="220"/>
      <c r="AE99" s="220"/>
      <c r="AF99" s="220"/>
      <c r="AG99" s="220"/>
    </row>
    <row r="100" spans="1:33">
      <c r="A100" s="220"/>
      <c r="B100" s="220"/>
      <c r="C100" s="220"/>
      <c r="D100" s="220"/>
      <c r="E100" s="220"/>
      <c r="F100" s="220"/>
      <c r="G100" s="220"/>
      <c r="H100" s="220"/>
      <c r="I100" s="220"/>
      <c r="J100" s="220"/>
      <c r="K100" s="220"/>
      <c r="L100" s="220"/>
      <c r="M100" s="220"/>
      <c r="N100" s="220"/>
      <c r="O100" s="220"/>
      <c r="P100" s="220"/>
      <c r="Q100" s="220"/>
      <c r="R100" s="220"/>
      <c r="S100" s="220"/>
      <c r="T100" s="220"/>
      <c r="U100" s="220"/>
      <c r="V100" s="220"/>
      <c r="W100" s="220"/>
      <c r="X100" s="220"/>
      <c r="Y100" s="220"/>
      <c r="Z100" s="220"/>
      <c r="AA100" s="220"/>
      <c r="AB100" s="220"/>
      <c r="AC100" s="220"/>
      <c r="AD100" s="220"/>
      <c r="AE100" s="220"/>
      <c r="AF100" s="220"/>
      <c r="AG100" s="220"/>
    </row>
    <row r="101" spans="1:33">
      <c r="A101" s="220"/>
      <c r="B101" s="220"/>
      <c r="C101" s="220"/>
      <c r="D101" s="220"/>
      <c r="E101" s="220"/>
      <c r="F101" s="220"/>
      <c r="G101" s="220"/>
      <c r="H101" s="220"/>
      <c r="I101" s="220"/>
      <c r="J101" s="220"/>
      <c r="K101" s="220"/>
      <c r="L101" s="220"/>
      <c r="M101" s="220"/>
      <c r="N101" s="220"/>
      <c r="O101" s="220"/>
      <c r="P101" s="220"/>
      <c r="Q101" s="220"/>
      <c r="R101" s="220"/>
      <c r="S101" s="220"/>
      <c r="T101" s="220"/>
      <c r="U101" s="220"/>
      <c r="V101" s="220"/>
      <c r="W101" s="220"/>
      <c r="X101" s="220"/>
      <c r="Y101" s="220"/>
      <c r="Z101" s="220"/>
      <c r="AA101" s="220"/>
      <c r="AB101" s="220"/>
      <c r="AC101" s="220"/>
      <c r="AD101" s="220"/>
      <c r="AE101" s="220"/>
      <c r="AF101" s="220"/>
      <c r="AG101" s="220"/>
    </row>
    <row r="102" spans="1:33">
      <c r="A102" s="220"/>
      <c r="B102" s="220"/>
      <c r="C102" s="220"/>
      <c r="D102" s="220"/>
      <c r="E102" s="220"/>
      <c r="F102" s="220"/>
      <c r="G102" s="220"/>
      <c r="H102" s="220"/>
      <c r="I102" s="220"/>
      <c r="J102" s="220"/>
      <c r="K102" s="220"/>
      <c r="L102" s="220"/>
      <c r="M102" s="220"/>
      <c r="N102" s="220"/>
      <c r="O102" s="220"/>
      <c r="P102" s="220"/>
      <c r="Q102" s="220"/>
      <c r="R102" s="220"/>
      <c r="S102" s="220"/>
      <c r="T102" s="220"/>
      <c r="U102" s="220"/>
      <c r="V102" s="220"/>
      <c r="W102" s="220"/>
      <c r="X102" s="220"/>
      <c r="Y102" s="220"/>
      <c r="Z102" s="220"/>
      <c r="AA102" s="220"/>
      <c r="AB102" s="220"/>
      <c r="AC102" s="220"/>
      <c r="AD102" s="220"/>
      <c r="AE102" s="220"/>
      <c r="AF102" s="220"/>
      <c r="AG102" s="220"/>
    </row>
    <row r="103" spans="1:33">
      <c r="A103" s="220"/>
      <c r="B103" s="220"/>
      <c r="C103" s="220"/>
      <c r="D103" s="220"/>
      <c r="E103" s="220"/>
      <c r="F103" s="220"/>
      <c r="G103" s="220"/>
      <c r="H103" s="220"/>
      <c r="I103" s="220"/>
      <c r="J103" s="220"/>
      <c r="K103" s="220"/>
      <c r="L103" s="220"/>
      <c r="M103" s="220"/>
      <c r="N103" s="220"/>
      <c r="O103" s="220"/>
      <c r="P103" s="220"/>
      <c r="Q103" s="220"/>
      <c r="R103" s="220"/>
      <c r="S103" s="220"/>
      <c r="T103" s="220"/>
      <c r="U103" s="220"/>
      <c r="V103" s="220"/>
      <c r="W103" s="220"/>
      <c r="X103" s="220"/>
      <c r="Y103" s="220"/>
      <c r="Z103" s="220"/>
      <c r="AA103" s="220"/>
      <c r="AB103" s="220"/>
      <c r="AC103" s="220"/>
      <c r="AD103" s="220"/>
      <c r="AE103" s="220"/>
      <c r="AF103" s="220"/>
      <c r="AG103" s="220"/>
    </row>
    <row r="104" spans="1:33">
      <c r="A104" s="220"/>
      <c r="B104" s="220"/>
      <c r="C104" s="220"/>
      <c r="D104" s="220"/>
      <c r="E104" s="220"/>
      <c r="F104" s="220"/>
      <c r="G104" s="220"/>
      <c r="H104" s="220"/>
      <c r="I104" s="220"/>
      <c r="J104" s="220"/>
      <c r="K104" s="220"/>
      <c r="L104" s="220"/>
      <c r="M104" s="220"/>
      <c r="N104" s="220"/>
      <c r="O104" s="220"/>
      <c r="P104" s="220"/>
      <c r="Q104" s="220"/>
      <c r="R104" s="220"/>
      <c r="S104" s="220"/>
      <c r="T104" s="220"/>
      <c r="U104" s="220"/>
      <c r="V104" s="220"/>
      <c r="W104" s="220"/>
      <c r="X104" s="220"/>
      <c r="Y104" s="220"/>
      <c r="Z104" s="220"/>
      <c r="AA104" s="220"/>
      <c r="AB104" s="220"/>
      <c r="AC104" s="220"/>
      <c r="AD104" s="220"/>
      <c r="AE104" s="220"/>
      <c r="AF104" s="220"/>
      <c r="AG104" s="220"/>
    </row>
    <row r="105" spans="1:33">
      <c r="A105" s="220"/>
      <c r="B105" s="220"/>
      <c r="C105" s="220"/>
      <c r="D105" s="220"/>
      <c r="E105" s="220"/>
      <c r="F105" s="220"/>
      <c r="G105" s="220"/>
      <c r="H105" s="220"/>
      <c r="I105" s="220"/>
      <c r="J105" s="220"/>
      <c r="K105" s="220"/>
      <c r="L105" s="220"/>
      <c r="M105" s="220"/>
      <c r="N105" s="220"/>
      <c r="O105" s="220"/>
      <c r="P105" s="220"/>
      <c r="Q105" s="220"/>
      <c r="R105" s="220"/>
      <c r="S105" s="220"/>
      <c r="T105" s="220"/>
      <c r="U105" s="220"/>
      <c r="V105" s="220"/>
      <c r="W105" s="220"/>
      <c r="X105" s="220"/>
      <c r="Y105" s="220"/>
      <c r="Z105" s="220"/>
      <c r="AA105" s="220"/>
      <c r="AB105" s="220"/>
      <c r="AC105" s="220"/>
      <c r="AD105" s="220"/>
      <c r="AE105" s="220"/>
      <c r="AF105" s="220"/>
      <c r="AG105" s="220"/>
    </row>
    <row r="106" spans="1:33">
      <c r="A106" s="220"/>
      <c r="B106" s="220"/>
      <c r="C106" s="220"/>
      <c r="D106" s="220"/>
      <c r="E106" s="220"/>
      <c r="F106" s="220"/>
      <c r="G106" s="220"/>
      <c r="H106" s="220"/>
      <c r="I106" s="220"/>
      <c r="J106" s="220"/>
      <c r="K106" s="220"/>
      <c r="L106" s="220"/>
      <c r="M106" s="220"/>
      <c r="N106" s="220"/>
      <c r="O106" s="220"/>
      <c r="P106" s="220"/>
      <c r="Q106" s="220"/>
      <c r="R106" s="220"/>
      <c r="S106" s="220"/>
      <c r="T106" s="220"/>
      <c r="U106" s="220"/>
      <c r="V106" s="220"/>
      <c r="W106" s="220"/>
      <c r="X106" s="220"/>
      <c r="Y106" s="220"/>
      <c r="Z106" s="220"/>
      <c r="AA106" s="220"/>
      <c r="AB106" s="220"/>
      <c r="AC106" s="220"/>
      <c r="AD106" s="220"/>
      <c r="AE106" s="220"/>
      <c r="AF106" s="220"/>
      <c r="AG106" s="220"/>
    </row>
    <row r="107" spans="1:33">
      <c r="A107" s="220"/>
      <c r="B107" s="220"/>
      <c r="C107" s="220"/>
      <c r="D107" s="220"/>
      <c r="E107" s="220"/>
      <c r="F107" s="220"/>
      <c r="G107" s="220"/>
      <c r="H107" s="220"/>
      <c r="I107" s="220"/>
      <c r="J107" s="220"/>
      <c r="K107" s="220"/>
      <c r="L107" s="220"/>
      <c r="M107" s="220"/>
      <c r="N107" s="220"/>
      <c r="O107" s="220"/>
      <c r="P107" s="220"/>
      <c r="Q107" s="220"/>
      <c r="R107" s="220"/>
      <c r="S107" s="220"/>
      <c r="T107" s="220"/>
      <c r="U107" s="220"/>
      <c r="V107" s="220"/>
      <c r="W107" s="220"/>
      <c r="X107" s="220"/>
      <c r="Y107" s="220"/>
      <c r="Z107" s="220"/>
      <c r="AA107" s="220"/>
      <c r="AB107" s="220"/>
      <c r="AC107" s="220"/>
      <c r="AD107" s="220"/>
      <c r="AE107" s="220"/>
      <c r="AF107" s="220"/>
      <c r="AG107" s="220"/>
    </row>
    <row r="108" spans="1:33">
      <c r="A108" s="220"/>
      <c r="B108" s="220"/>
      <c r="C108" s="220"/>
      <c r="D108" s="220"/>
      <c r="E108" s="220"/>
      <c r="F108" s="220"/>
      <c r="G108" s="220"/>
      <c r="H108" s="220"/>
      <c r="I108" s="220"/>
      <c r="J108" s="220"/>
      <c r="K108" s="220"/>
      <c r="L108" s="220"/>
      <c r="M108" s="220"/>
      <c r="N108" s="220"/>
      <c r="O108" s="220"/>
      <c r="P108" s="220"/>
      <c r="Q108" s="220"/>
      <c r="R108" s="220"/>
      <c r="S108" s="220"/>
      <c r="T108" s="220"/>
      <c r="U108" s="220"/>
      <c r="V108" s="220"/>
      <c r="W108" s="220"/>
      <c r="X108" s="220"/>
      <c r="Y108" s="220"/>
      <c r="Z108" s="220"/>
      <c r="AA108" s="220"/>
      <c r="AB108" s="220"/>
      <c r="AC108" s="220"/>
      <c r="AD108" s="220"/>
      <c r="AE108" s="220"/>
      <c r="AF108" s="220"/>
      <c r="AG108" s="220"/>
    </row>
    <row r="109" spans="1:33">
      <c r="A109" s="220"/>
      <c r="B109" s="220"/>
      <c r="C109" s="220"/>
      <c r="D109" s="220"/>
      <c r="E109" s="220"/>
      <c r="F109" s="220"/>
      <c r="G109" s="220"/>
      <c r="H109" s="220"/>
      <c r="I109" s="220"/>
      <c r="J109" s="220"/>
      <c r="K109" s="220"/>
      <c r="L109" s="220"/>
      <c r="M109" s="220"/>
      <c r="N109" s="220"/>
      <c r="O109" s="220"/>
      <c r="P109" s="220"/>
      <c r="Q109" s="220"/>
      <c r="R109" s="220"/>
      <c r="S109" s="220"/>
      <c r="T109" s="220"/>
      <c r="U109" s="220"/>
      <c r="V109" s="220"/>
      <c r="W109" s="220"/>
      <c r="X109" s="220"/>
      <c r="Y109" s="220"/>
      <c r="Z109" s="220"/>
      <c r="AA109" s="220"/>
      <c r="AB109" s="220"/>
      <c r="AC109" s="220"/>
      <c r="AD109" s="220"/>
      <c r="AE109" s="220"/>
      <c r="AF109" s="220"/>
      <c r="AG109" s="220"/>
    </row>
    <row r="110" spans="1:33">
      <c r="A110" s="220"/>
      <c r="B110" s="220"/>
      <c r="C110" s="220"/>
      <c r="D110" s="220"/>
      <c r="E110" s="220"/>
      <c r="F110" s="220"/>
      <c r="G110" s="220"/>
      <c r="H110" s="220"/>
      <c r="I110" s="220"/>
      <c r="J110" s="220"/>
      <c r="K110" s="220"/>
      <c r="L110" s="220"/>
      <c r="M110" s="220"/>
      <c r="N110" s="220"/>
      <c r="O110" s="220"/>
      <c r="P110" s="220"/>
      <c r="Q110" s="220"/>
      <c r="R110" s="220"/>
      <c r="S110" s="220"/>
      <c r="T110" s="220"/>
      <c r="U110" s="220"/>
      <c r="V110" s="220"/>
      <c r="W110" s="220"/>
      <c r="X110" s="220"/>
      <c r="Y110" s="220"/>
      <c r="Z110" s="220"/>
      <c r="AA110" s="220"/>
      <c r="AB110" s="220"/>
      <c r="AC110" s="220"/>
      <c r="AD110" s="220"/>
      <c r="AE110" s="220"/>
      <c r="AF110" s="220"/>
      <c r="AG110" s="220"/>
    </row>
    <row r="111" spans="1:33">
      <c r="A111" s="220"/>
      <c r="B111" s="220"/>
      <c r="C111" s="220"/>
      <c r="D111" s="220"/>
      <c r="E111" s="220"/>
      <c r="F111" s="220"/>
      <c r="G111" s="220"/>
      <c r="H111" s="220"/>
      <c r="I111" s="220"/>
      <c r="J111" s="220"/>
      <c r="K111" s="220"/>
      <c r="L111" s="220"/>
      <c r="M111" s="220"/>
      <c r="N111" s="220"/>
      <c r="O111" s="220"/>
      <c r="P111" s="220"/>
      <c r="Q111" s="220"/>
      <c r="R111" s="220"/>
      <c r="S111" s="220"/>
      <c r="T111" s="220"/>
      <c r="U111" s="220"/>
      <c r="V111" s="220"/>
      <c r="W111" s="220"/>
      <c r="X111" s="220"/>
      <c r="Y111" s="220"/>
      <c r="Z111" s="220"/>
      <c r="AA111" s="220"/>
      <c r="AB111" s="220"/>
      <c r="AC111" s="220"/>
      <c r="AD111" s="220"/>
      <c r="AE111" s="220"/>
      <c r="AF111" s="220"/>
      <c r="AG111" s="220"/>
    </row>
    <row r="112" spans="1:33">
      <c r="A112" s="220"/>
      <c r="B112" s="220"/>
      <c r="C112" s="220"/>
      <c r="D112" s="220"/>
      <c r="E112" s="220"/>
      <c r="F112" s="220"/>
      <c r="G112" s="220"/>
      <c r="H112" s="220"/>
      <c r="I112" s="220"/>
      <c r="J112" s="220"/>
      <c r="K112" s="220"/>
      <c r="L112" s="220"/>
      <c r="M112" s="220"/>
      <c r="N112" s="220"/>
      <c r="O112" s="220"/>
      <c r="P112" s="220"/>
      <c r="Q112" s="220"/>
      <c r="R112" s="220"/>
      <c r="S112" s="220"/>
      <c r="T112" s="220"/>
      <c r="U112" s="220"/>
      <c r="V112" s="220"/>
      <c r="W112" s="220"/>
      <c r="X112" s="220"/>
      <c r="Y112" s="220"/>
      <c r="Z112" s="220"/>
      <c r="AA112" s="220"/>
      <c r="AB112" s="220"/>
      <c r="AC112" s="220"/>
      <c r="AD112" s="220"/>
      <c r="AE112" s="220"/>
      <c r="AF112" s="220"/>
      <c r="AG112" s="220"/>
    </row>
    <row r="113" spans="1:33">
      <c r="A113" s="220"/>
      <c r="B113" s="220"/>
      <c r="C113" s="220"/>
      <c r="D113" s="220"/>
      <c r="E113" s="220"/>
      <c r="F113" s="220"/>
      <c r="G113" s="220"/>
      <c r="H113" s="220"/>
      <c r="I113" s="220"/>
      <c r="J113" s="220"/>
      <c r="K113" s="220"/>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row>
    <row r="114" spans="1:33">
      <c r="A114" s="220"/>
      <c r="B114" s="220"/>
      <c r="C114" s="220"/>
      <c r="D114" s="220"/>
      <c r="E114" s="220"/>
      <c r="F114" s="220"/>
      <c r="G114" s="220"/>
      <c r="H114" s="220"/>
      <c r="I114" s="220"/>
      <c r="J114" s="220"/>
      <c r="K114" s="220"/>
      <c r="L114" s="220"/>
      <c r="M114" s="220"/>
      <c r="N114" s="220"/>
      <c r="O114" s="220"/>
      <c r="P114" s="220"/>
      <c r="Q114" s="220"/>
      <c r="R114" s="220"/>
      <c r="S114" s="220"/>
      <c r="T114" s="220"/>
      <c r="U114" s="220"/>
      <c r="V114" s="220"/>
      <c r="W114" s="220"/>
      <c r="X114" s="220"/>
      <c r="Y114" s="220"/>
      <c r="Z114" s="220"/>
      <c r="AA114" s="220"/>
      <c r="AB114" s="220"/>
      <c r="AC114" s="220"/>
      <c r="AD114" s="220"/>
      <c r="AE114" s="220"/>
      <c r="AF114" s="220"/>
      <c r="AG114" s="220"/>
    </row>
    <row r="115" spans="1:33">
      <c r="A115" s="220"/>
      <c r="B115" s="220"/>
      <c r="C115" s="220"/>
      <c r="D115" s="220"/>
      <c r="E115" s="220"/>
      <c r="F115" s="220"/>
      <c r="G115" s="220"/>
      <c r="H115" s="220"/>
      <c r="I115" s="220"/>
      <c r="J115" s="220"/>
      <c r="K115" s="220"/>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row>
    <row r="116" spans="1:33">
      <c r="A116" s="220"/>
      <c r="B116" s="220"/>
      <c r="C116" s="220"/>
      <c r="D116" s="220"/>
      <c r="E116" s="220"/>
      <c r="F116" s="220"/>
      <c r="G116" s="220"/>
      <c r="H116" s="220"/>
      <c r="I116" s="220"/>
      <c r="J116" s="220"/>
      <c r="K116" s="220"/>
      <c r="L116" s="220"/>
      <c r="M116" s="220"/>
      <c r="N116" s="220"/>
      <c r="O116" s="220"/>
      <c r="P116" s="220"/>
      <c r="Q116" s="220"/>
      <c r="R116" s="220"/>
      <c r="S116" s="220"/>
      <c r="T116" s="220"/>
      <c r="U116" s="220"/>
      <c r="V116" s="220"/>
      <c r="W116" s="220"/>
      <c r="X116" s="220"/>
      <c r="Y116" s="220"/>
      <c r="Z116" s="220"/>
      <c r="AA116" s="220"/>
      <c r="AB116" s="220"/>
      <c r="AC116" s="220"/>
      <c r="AD116" s="220"/>
      <c r="AE116" s="220"/>
      <c r="AF116" s="220"/>
      <c r="AG116" s="220"/>
    </row>
    <row r="117" spans="1:33">
      <c r="A117" s="220"/>
      <c r="B117" s="220"/>
      <c r="C117" s="220"/>
      <c r="D117" s="220"/>
      <c r="E117" s="220"/>
      <c r="F117" s="220"/>
      <c r="G117" s="220"/>
      <c r="H117" s="220"/>
      <c r="I117" s="220"/>
      <c r="J117" s="220"/>
      <c r="K117" s="220"/>
      <c r="L117" s="220"/>
      <c r="M117" s="220"/>
      <c r="N117" s="220"/>
      <c r="O117" s="220"/>
      <c r="P117" s="220"/>
      <c r="Q117" s="220"/>
      <c r="R117" s="220"/>
      <c r="S117" s="220"/>
      <c r="T117" s="220"/>
      <c r="U117" s="220"/>
      <c r="V117" s="220"/>
      <c r="W117" s="220"/>
      <c r="X117" s="220"/>
      <c r="Y117" s="220"/>
      <c r="Z117" s="220"/>
      <c r="AA117" s="220"/>
      <c r="AB117" s="220"/>
      <c r="AC117" s="220"/>
      <c r="AD117" s="220"/>
      <c r="AE117" s="220"/>
      <c r="AF117" s="220"/>
      <c r="AG117" s="220"/>
    </row>
    <row r="118" spans="1:33">
      <c r="A118" s="220"/>
      <c r="B118" s="220"/>
      <c r="C118" s="220"/>
      <c r="D118" s="220"/>
      <c r="E118" s="220"/>
      <c r="F118" s="220"/>
      <c r="G118" s="220"/>
      <c r="H118" s="220"/>
      <c r="I118" s="220"/>
      <c r="J118" s="220"/>
      <c r="K118" s="220"/>
      <c r="L118" s="220"/>
      <c r="M118" s="220"/>
      <c r="N118" s="220"/>
      <c r="O118" s="220"/>
      <c r="P118" s="220"/>
      <c r="Q118" s="220"/>
      <c r="R118" s="220"/>
      <c r="S118" s="220"/>
      <c r="T118" s="220"/>
      <c r="U118" s="220"/>
      <c r="V118" s="220"/>
      <c r="W118" s="220"/>
      <c r="X118" s="220"/>
      <c r="Y118" s="220"/>
      <c r="Z118" s="220"/>
      <c r="AA118" s="220"/>
      <c r="AB118" s="220"/>
      <c r="AC118" s="220"/>
      <c r="AD118" s="220"/>
      <c r="AE118" s="220"/>
      <c r="AF118" s="220"/>
      <c r="AG118" s="220"/>
    </row>
    <row r="119" spans="1:33">
      <c r="A119" s="220"/>
      <c r="B119" s="220"/>
      <c r="C119" s="220"/>
      <c r="D119" s="220"/>
      <c r="E119" s="220"/>
      <c r="F119" s="220"/>
      <c r="G119" s="220"/>
      <c r="H119" s="220"/>
      <c r="I119" s="220"/>
      <c r="J119" s="220"/>
      <c r="K119" s="220"/>
      <c r="L119" s="220"/>
      <c r="M119" s="220"/>
      <c r="N119" s="220"/>
      <c r="O119" s="220"/>
      <c r="P119" s="220"/>
      <c r="Q119" s="220"/>
      <c r="R119" s="220"/>
      <c r="S119" s="220"/>
      <c r="T119" s="220"/>
      <c r="U119" s="220"/>
      <c r="V119" s="220"/>
      <c r="W119" s="220"/>
      <c r="X119" s="220"/>
      <c r="Y119" s="220"/>
      <c r="Z119" s="220"/>
      <c r="AA119" s="220"/>
      <c r="AB119" s="220"/>
      <c r="AC119" s="220"/>
      <c r="AD119" s="220"/>
      <c r="AE119" s="220"/>
      <c r="AF119" s="220"/>
      <c r="AG119" s="220"/>
    </row>
    <row r="120" spans="1:33">
      <c r="A120" s="220"/>
      <c r="B120" s="220"/>
      <c r="C120" s="220"/>
      <c r="D120" s="220"/>
      <c r="E120" s="220"/>
      <c r="F120" s="220"/>
      <c r="G120" s="220"/>
      <c r="H120" s="220"/>
      <c r="I120" s="220"/>
      <c r="J120" s="220"/>
      <c r="K120" s="220"/>
      <c r="L120" s="220"/>
      <c r="M120" s="220"/>
      <c r="N120" s="220"/>
      <c r="O120" s="220"/>
      <c r="P120" s="220"/>
      <c r="Q120" s="220"/>
      <c r="R120" s="220"/>
      <c r="S120" s="220"/>
      <c r="T120" s="220"/>
      <c r="U120" s="220"/>
      <c r="V120" s="220"/>
      <c r="W120" s="220"/>
      <c r="X120" s="220"/>
      <c r="Y120" s="220"/>
      <c r="Z120" s="220"/>
      <c r="AA120" s="220"/>
      <c r="AB120" s="220"/>
      <c r="AC120" s="220"/>
      <c r="AD120" s="220"/>
      <c r="AE120" s="220"/>
      <c r="AF120" s="220"/>
      <c r="AG120" s="220"/>
    </row>
    <row r="121" spans="1:33">
      <c r="A121" s="220"/>
      <c r="B121" s="220"/>
      <c r="C121" s="220"/>
      <c r="D121" s="220"/>
      <c r="E121" s="220"/>
      <c r="F121" s="220"/>
      <c r="G121" s="220"/>
      <c r="H121" s="220"/>
      <c r="I121" s="220"/>
      <c r="J121" s="220"/>
      <c r="K121" s="220"/>
      <c r="L121" s="220"/>
      <c r="M121" s="220"/>
      <c r="N121" s="220"/>
      <c r="O121" s="220"/>
      <c r="P121" s="220"/>
      <c r="Q121" s="220"/>
      <c r="R121" s="220"/>
      <c r="S121" s="220"/>
      <c r="T121" s="220"/>
      <c r="U121" s="220"/>
      <c r="V121" s="220"/>
      <c r="W121" s="220"/>
      <c r="X121" s="220"/>
      <c r="Y121" s="220"/>
      <c r="Z121" s="220"/>
      <c r="AA121" s="220"/>
      <c r="AB121" s="220"/>
      <c r="AC121" s="220"/>
      <c r="AD121" s="220"/>
      <c r="AE121" s="220"/>
      <c r="AF121" s="220"/>
      <c r="AG121" s="220"/>
    </row>
    <row r="122" spans="1:33">
      <c r="A122" s="220"/>
      <c r="B122" s="220"/>
      <c r="C122" s="220"/>
      <c r="D122" s="220"/>
      <c r="E122" s="220"/>
      <c r="F122" s="220"/>
      <c r="G122" s="220"/>
      <c r="H122" s="220"/>
      <c r="I122" s="220"/>
      <c r="J122" s="220"/>
      <c r="K122" s="220"/>
      <c r="L122" s="220"/>
      <c r="M122" s="220"/>
      <c r="N122" s="220"/>
      <c r="O122" s="220"/>
      <c r="P122" s="220"/>
      <c r="Q122" s="220"/>
      <c r="R122" s="220"/>
      <c r="S122" s="220"/>
      <c r="T122" s="220"/>
      <c r="U122" s="220"/>
      <c r="V122" s="220"/>
      <c r="W122" s="220"/>
      <c r="X122" s="220"/>
      <c r="Y122" s="220"/>
      <c r="Z122" s="220"/>
      <c r="AA122" s="220"/>
      <c r="AB122" s="220"/>
      <c r="AC122" s="220"/>
      <c r="AD122" s="220"/>
      <c r="AE122" s="220"/>
      <c r="AF122" s="220"/>
      <c r="AG122" s="220"/>
    </row>
    <row r="123" spans="1:33">
      <c r="A123" s="220"/>
      <c r="B123" s="220"/>
      <c r="C123" s="220"/>
      <c r="D123" s="220"/>
      <c r="E123" s="220"/>
      <c r="F123" s="220"/>
      <c r="G123" s="220"/>
      <c r="H123" s="220"/>
      <c r="I123" s="220"/>
      <c r="J123" s="220"/>
      <c r="K123" s="220"/>
      <c r="L123" s="220"/>
      <c r="M123" s="220"/>
      <c r="N123" s="220"/>
      <c r="O123" s="220"/>
      <c r="P123" s="220"/>
      <c r="Q123" s="220"/>
      <c r="R123" s="220"/>
      <c r="S123" s="220"/>
      <c r="T123" s="220"/>
      <c r="U123" s="220"/>
      <c r="V123" s="220"/>
      <c r="W123" s="220"/>
      <c r="X123" s="220"/>
      <c r="Y123" s="220"/>
      <c r="Z123" s="220"/>
      <c r="AA123" s="220"/>
      <c r="AB123" s="220"/>
      <c r="AC123" s="220"/>
      <c r="AD123" s="220"/>
      <c r="AE123" s="220"/>
      <c r="AF123" s="220"/>
      <c r="AG123" s="220"/>
    </row>
    <row r="124" spans="1:33">
      <c r="A124" s="220"/>
      <c r="B124" s="220"/>
      <c r="C124" s="220"/>
      <c r="D124" s="220"/>
      <c r="E124" s="220"/>
      <c r="F124" s="220"/>
      <c r="G124" s="220"/>
      <c r="H124" s="220"/>
      <c r="I124" s="220"/>
      <c r="J124" s="220"/>
      <c r="K124" s="220"/>
      <c r="L124" s="220"/>
      <c r="M124" s="220"/>
      <c r="N124" s="220"/>
      <c r="O124" s="220"/>
      <c r="P124" s="220"/>
      <c r="Q124" s="220"/>
      <c r="R124" s="220"/>
      <c r="S124" s="220"/>
      <c r="T124" s="220"/>
      <c r="U124" s="220"/>
      <c r="V124" s="220"/>
      <c r="W124" s="220"/>
      <c r="X124" s="220"/>
      <c r="Y124" s="220"/>
      <c r="Z124" s="220"/>
      <c r="AA124" s="220"/>
      <c r="AB124" s="220"/>
      <c r="AC124" s="220"/>
      <c r="AD124" s="220"/>
      <c r="AE124" s="220"/>
      <c r="AF124" s="220"/>
      <c r="AG124" s="220"/>
    </row>
    <row r="125" spans="1:33">
      <c r="A125" s="220"/>
      <c r="B125" s="220"/>
      <c r="C125" s="220"/>
      <c r="D125" s="220"/>
      <c r="E125" s="220"/>
      <c r="F125" s="220"/>
      <c r="G125" s="220"/>
      <c r="H125" s="220"/>
      <c r="I125" s="220"/>
      <c r="J125" s="220"/>
      <c r="K125" s="220"/>
      <c r="L125" s="220"/>
      <c r="M125" s="220"/>
      <c r="N125" s="220"/>
      <c r="O125" s="220"/>
      <c r="P125" s="220"/>
      <c r="Q125" s="220"/>
      <c r="R125" s="220"/>
      <c r="S125" s="220"/>
      <c r="T125" s="220"/>
      <c r="U125" s="220"/>
      <c r="V125" s="220"/>
      <c r="W125" s="220"/>
      <c r="X125" s="220"/>
      <c r="Y125" s="220"/>
      <c r="Z125" s="220"/>
      <c r="AA125" s="220"/>
      <c r="AB125" s="220"/>
      <c r="AC125" s="220"/>
      <c r="AD125" s="220"/>
      <c r="AE125" s="220"/>
      <c r="AF125" s="220"/>
      <c r="AG125" s="220"/>
    </row>
    <row r="126" spans="1:33">
      <c r="A126" s="220"/>
      <c r="B126" s="220"/>
      <c r="C126" s="220"/>
      <c r="D126" s="220"/>
      <c r="E126" s="220"/>
      <c r="F126" s="220"/>
      <c r="G126" s="220"/>
      <c r="H126" s="220"/>
      <c r="I126" s="220"/>
      <c r="J126" s="220"/>
      <c r="K126" s="220"/>
      <c r="L126" s="220"/>
      <c r="M126" s="220"/>
      <c r="N126" s="220"/>
      <c r="O126" s="220"/>
      <c r="P126" s="220"/>
      <c r="Q126" s="220"/>
      <c r="R126" s="220"/>
      <c r="S126" s="220"/>
      <c r="T126" s="220"/>
      <c r="U126" s="220"/>
      <c r="V126" s="220"/>
      <c r="W126" s="220"/>
      <c r="X126" s="220"/>
      <c r="Y126" s="220"/>
      <c r="Z126" s="220"/>
      <c r="AA126" s="220"/>
      <c r="AB126" s="220"/>
      <c r="AC126" s="220"/>
      <c r="AD126" s="220"/>
      <c r="AE126" s="220"/>
      <c r="AF126" s="220"/>
      <c r="AG126" s="220"/>
    </row>
    <row r="127" spans="1:33">
      <c r="A127" s="220"/>
      <c r="B127" s="220"/>
      <c r="C127" s="220"/>
      <c r="D127" s="220"/>
      <c r="E127" s="220"/>
      <c r="F127" s="220"/>
      <c r="G127" s="220"/>
      <c r="H127" s="220"/>
      <c r="I127" s="220"/>
      <c r="J127" s="220"/>
      <c r="K127" s="220"/>
      <c r="L127" s="220"/>
      <c r="M127" s="220"/>
      <c r="N127" s="220"/>
      <c r="O127" s="220"/>
      <c r="P127" s="220"/>
      <c r="Q127" s="220"/>
      <c r="R127" s="220"/>
      <c r="S127" s="220"/>
      <c r="T127" s="220"/>
      <c r="U127" s="220"/>
      <c r="V127" s="220"/>
      <c r="W127" s="220"/>
      <c r="X127" s="220"/>
      <c r="Y127" s="220"/>
      <c r="Z127" s="220"/>
      <c r="AA127" s="220"/>
      <c r="AB127" s="220"/>
      <c r="AC127" s="220"/>
      <c r="AD127" s="220"/>
      <c r="AE127" s="220"/>
      <c r="AF127" s="220"/>
      <c r="AG127" s="220"/>
    </row>
  </sheetData>
  <mergeCells count="18">
    <mergeCell ref="O8:P8"/>
    <mergeCell ref="Q8:R8"/>
    <mergeCell ref="S8:T8"/>
    <mergeCell ref="W8:X8"/>
    <mergeCell ref="Y8:Z8"/>
    <mergeCell ref="AA8:AB8"/>
    <mergeCell ref="A1:AI1"/>
    <mergeCell ref="A2:AI2"/>
    <mergeCell ref="A3:AI3"/>
    <mergeCell ref="AC8:AD8"/>
    <mergeCell ref="AE8:AF8"/>
    <mergeCell ref="C8:D8"/>
    <mergeCell ref="E8:F8"/>
    <mergeCell ref="M8:N8"/>
    <mergeCell ref="U8:V8"/>
    <mergeCell ref="G8:H8"/>
    <mergeCell ref="I8:J8"/>
    <mergeCell ref="K8:L8"/>
  </mergeCells>
  <phoneticPr fontId="19" type="noConversion"/>
  <pageMargins left="0.59055118110236227" right="0" top="1.1811023622047245" bottom="0.98425196850393704" header="0.51181102362204722" footer="0.51181102362204722"/>
  <pageSetup paperSize="5" scale="85" orientation="landscape" horizontalDpi="300" verticalDpi="300" r:id="rId1"/>
  <headerFooter alignWithMargins="0"/>
  <ignoredErrors>
    <ignoredError sqref="AE11:AF11" formula="1"/>
    <ignoredError sqref="AI10 AI26 AI11:AI25 AI27:AI34" formulaRange="1"/>
  </ignoredErrors>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8"/>
  <sheetViews>
    <sheetView zoomScale="75" workbookViewId="0">
      <selection activeCell="D7" sqref="D7"/>
    </sheetView>
  </sheetViews>
  <sheetFormatPr baseColWidth="10" defaultRowHeight="12.75"/>
  <cols>
    <col min="1" max="1" width="48.85546875" customWidth="1"/>
    <col min="2" max="3" width="9.140625" customWidth="1"/>
    <col min="4" max="4" width="11" customWidth="1"/>
    <col min="5" max="20" width="9.140625" customWidth="1"/>
    <col min="21" max="21" width="9.7109375" customWidth="1"/>
  </cols>
  <sheetData>
    <row r="1" spans="1:23">
      <c r="A1" s="1456" t="s">
        <v>1237</v>
      </c>
      <c r="B1" s="1456"/>
      <c r="C1" s="1456"/>
      <c r="D1" s="1456"/>
      <c r="E1" s="1456"/>
      <c r="F1" s="1456"/>
      <c r="G1" s="1456"/>
      <c r="H1" s="1456"/>
      <c r="I1" s="1456"/>
      <c r="J1" s="1456"/>
      <c r="K1" s="1456"/>
      <c r="L1" s="1456"/>
      <c r="M1" s="1456"/>
      <c r="N1" s="1456"/>
      <c r="O1" s="1456"/>
      <c r="P1" s="1456"/>
      <c r="Q1" s="1456"/>
      <c r="R1" s="1456"/>
      <c r="S1" s="1456"/>
      <c r="T1" s="1456"/>
      <c r="U1" s="1456"/>
    </row>
    <row r="2" spans="1:23">
      <c r="A2" s="1456" t="str">
        <f>+'63'!A2:AI2</f>
        <v>SERVICIO SALUD  ACONCAGUA   2015</v>
      </c>
      <c r="B2" s="1456"/>
      <c r="C2" s="1456"/>
      <c r="D2" s="1456"/>
      <c r="E2" s="1456"/>
      <c r="F2" s="1456"/>
      <c r="G2" s="1456"/>
      <c r="H2" s="1456"/>
      <c r="I2" s="1456"/>
      <c r="J2" s="1456"/>
      <c r="K2" s="1456"/>
      <c r="L2" s="1456"/>
      <c r="M2" s="1456"/>
      <c r="N2" s="1456"/>
      <c r="O2" s="1456"/>
      <c r="P2" s="1456"/>
      <c r="Q2" s="1456"/>
      <c r="R2" s="1456"/>
      <c r="S2" s="1456"/>
      <c r="T2" s="1456"/>
      <c r="U2" s="1456"/>
    </row>
    <row r="3" spans="1:23">
      <c r="A3" s="1457"/>
      <c r="B3" s="1457"/>
      <c r="C3" s="1457"/>
      <c r="D3" s="1457"/>
      <c r="E3" s="1457"/>
      <c r="F3" s="1457"/>
      <c r="G3" s="1457"/>
      <c r="H3" s="1457"/>
      <c r="I3" s="1457"/>
      <c r="J3" s="1457"/>
      <c r="K3" s="1457"/>
      <c r="L3" s="1457"/>
      <c r="M3" s="1457"/>
      <c r="N3" s="1457"/>
      <c r="O3" s="1457"/>
      <c r="P3" s="1457"/>
      <c r="Q3" s="1457"/>
      <c r="R3" s="1457"/>
      <c r="S3" s="1457"/>
      <c r="T3" s="1457"/>
      <c r="U3" s="1457"/>
    </row>
    <row r="4" spans="1:23">
      <c r="A4" s="639"/>
      <c r="B4" s="639"/>
      <c r="C4" s="639"/>
      <c r="D4" s="639"/>
      <c r="E4" s="639"/>
      <c r="F4" s="639"/>
      <c r="G4" s="639"/>
      <c r="H4" s="639"/>
      <c r="I4" s="639"/>
      <c r="J4" s="639"/>
      <c r="K4" s="639"/>
      <c r="L4" s="639"/>
      <c r="M4" s="639"/>
      <c r="N4" s="639"/>
      <c r="O4" s="639"/>
      <c r="P4" s="639"/>
      <c r="Q4" s="639"/>
      <c r="R4" s="639"/>
      <c r="S4" s="639"/>
      <c r="T4" s="639"/>
      <c r="U4" s="639"/>
    </row>
    <row r="6" spans="1:23" ht="18.75" customHeight="1">
      <c r="A6" s="247" t="s">
        <v>1238</v>
      </c>
      <c r="B6" s="1463" t="s">
        <v>1239</v>
      </c>
      <c r="C6" s="1464"/>
      <c r="D6" s="1464"/>
      <c r="E6" s="1464"/>
      <c r="F6" s="1464"/>
      <c r="G6" s="1464"/>
      <c r="H6" s="1464"/>
      <c r="I6" s="1464"/>
      <c r="J6" s="1464"/>
      <c r="K6" s="1464"/>
      <c r="L6" s="1464"/>
      <c r="M6" s="1464"/>
      <c r="N6" s="1464"/>
      <c r="O6" s="1464"/>
      <c r="P6" s="1464"/>
      <c r="Q6" s="1464"/>
      <c r="R6" s="1464"/>
      <c r="S6" s="1465"/>
      <c r="T6" s="293" t="s">
        <v>1240</v>
      </c>
      <c r="U6" s="311"/>
    </row>
    <row r="7" spans="1:23" ht="26.25" customHeight="1">
      <c r="A7" s="329"/>
      <c r="B7" s="656" t="s">
        <v>1447</v>
      </c>
      <c r="C7" s="656" t="s">
        <v>1309</v>
      </c>
      <c r="D7" s="656" t="s">
        <v>318</v>
      </c>
      <c r="E7" s="657" t="s">
        <v>1241</v>
      </c>
      <c r="F7" s="656" t="s">
        <v>1279</v>
      </c>
      <c r="G7" s="658" t="s">
        <v>1242</v>
      </c>
      <c r="H7" s="659" t="s">
        <v>447</v>
      </c>
      <c r="I7" s="660" t="s">
        <v>1446</v>
      </c>
      <c r="J7" s="660" t="s">
        <v>1445</v>
      </c>
      <c r="K7" s="656" t="s">
        <v>1253</v>
      </c>
      <c r="L7" s="657" t="s">
        <v>431</v>
      </c>
      <c r="M7" s="661" t="s">
        <v>411</v>
      </c>
      <c r="N7" s="656" t="s">
        <v>429</v>
      </c>
      <c r="O7" s="656" t="s">
        <v>305</v>
      </c>
      <c r="P7" s="656" t="s">
        <v>434</v>
      </c>
      <c r="Q7" s="656" t="s">
        <v>672</v>
      </c>
      <c r="R7" s="659" t="s">
        <v>436</v>
      </c>
      <c r="S7" s="656" t="s">
        <v>1310</v>
      </c>
      <c r="T7" s="661" t="s">
        <v>1243</v>
      </c>
      <c r="U7" s="662" t="s">
        <v>535</v>
      </c>
    </row>
    <row r="8" spans="1:23" ht="26.25" customHeight="1">
      <c r="A8" s="1067" t="s">
        <v>1252</v>
      </c>
      <c r="B8" s="483">
        <v>952</v>
      </c>
      <c r="C8" s="483">
        <v>93</v>
      </c>
      <c r="D8" s="1101">
        <v>1135</v>
      </c>
      <c r="E8" s="483">
        <v>457</v>
      </c>
      <c r="F8" s="483">
        <v>17</v>
      </c>
      <c r="G8" s="1101">
        <v>461</v>
      </c>
      <c r="H8" s="483">
        <v>341</v>
      </c>
      <c r="I8" s="483">
        <v>1217</v>
      </c>
      <c r="J8" s="483">
        <v>1184</v>
      </c>
      <c r="K8" s="483">
        <v>184</v>
      </c>
      <c r="L8" s="483">
        <v>238</v>
      </c>
      <c r="M8" s="483">
        <v>662</v>
      </c>
      <c r="N8" s="483">
        <v>584</v>
      </c>
      <c r="O8" s="483">
        <v>95</v>
      </c>
      <c r="P8" s="483">
        <v>287</v>
      </c>
      <c r="Q8" s="483">
        <v>852</v>
      </c>
      <c r="R8" s="483">
        <v>454</v>
      </c>
      <c r="S8" s="483">
        <v>41</v>
      </c>
      <c r="T8" s="483">
        <v>1682</v>
      </c>
      <c r="U8" s="1068">
        <f>SUM(B8:T8)</f>
        <v>10936</v>
      </c>
      <c r="W8" s="1260"/>
    </row>
    <row r="9" spans="1:23" s="6" customFormat="1" ht="18.75" customHeight="1">
      <c r="A9" s="491" t="s">
        <v>302</v>
      </c>
      <c r="B9" s="663">
        <v>31</v>
      </c>
      <c r="C9" s="663">
        <v>2</v>
      </c>
      <c r="D9" s="664">
        <v>58</v>
      </c>
      <c r="E9" s="663">
        <v>20</v>
      </c>
      <c r="F9" s="663"/>
      <c r="G9" s="664">
        <v>11</v>
      </c>
      <c r="H9" s="665">
        <v>11</v>
      </c>
      <c r="I9" s="664">
        <v>38</v>
      </c>
      <c r="J9" s="663">
        <v>34</v>
      </c>
      <c r="K9" s="663">
        <v>9</v>
      </c>
      <c r="L9" s="663">
        <v>14</v>
      </c>
      <c r="M9" s="261">
        <v>72</v>
      </c>
      <c r="N9" s="663">
        <v>3</v>
      </c>
      <c r="O9" s="664">
        <v>2</v>
      </c>
      <c r="P9" s="663">
        <v>11</v>
      </c>
      <c r="Q9" s="663">
        <v>40</v>
      </c>
      <c r="R9" s="665">
        <v>27</v>
      </c>
      <c r="S9" s="665"/>
      <c r="T9" s="666"/>
      <c r="U9" s="667">
        <f t="shared" ref="U9:U16" si="0">SUM(B9:T9)</f>
        <v>383</v>
      </c>
      <c r="W9" s="354"/>
    </row>
    <row r="10" spans="1:23" s="6" customFormat="1" ht="18.75" customHeight="1">
      <c r="A10" s="491" t="s">
        <v>303</v>
      </c>
      <c r="B10" s="663">
        <v>6</v>
      </c>
      <c r="C10" s="663">
        <v>2</v>
      </c>
      <c r="D10" s="664">
        <v>17</v>
      </c>
      <c r="E10" s="663"/>
      <c r="F10" s="663"/>
      <c r="G10" s="664">
        <v>1</v>
      </c>
      <c r="H10" s="665">
        <v>3</v>
      </c>
      <c r="I10" s="664">
        <v>7</v>
      </c>
      <c r="J10" s="663">
        <v>25</v>
      </c>
      <c r="K10" s="663">
        <v>1</v>
      </c>
      <c r="L10" s="663">
        <v>5</v>
      </c>
      <c r="M10" s="261">
        <v>21</v>
      </c>
      <c r="N10" s="663">
        <v>3</v>
      </c>
      <c r="O10" s="664">
        <v>1</v>
      </c>
      <c r="P10" s="663">
        <v>1</v>
      </c>
      <c r="Q10" s="663">
        <v>7</v>
      </c>
      <c r="R10" s="665">
        <v>7</v>
      </c>
      <c r="S10" s="665"/>
      <c r="T10" s="666"/>
      <c r="U10" s="667">
        <f t="shared" si="0"/>
        <v>107</v>
      </c>
      <c r="W10" s="354"/>
    </row>
    <row r="11" spans="1:23" s="6" customFormat="1" ht="18.75" customHeight="1">
      <c r="A11" s="491" t="s">
        <v>1244</v>
      </c>
      <c r="B11" s="663">
        <v>0</v>
      </c>
      <c r="C11" s="663"/>
      <c r="D11" s="664"/>
      <c r="E11" s="663"/>
      <c r="F11" s="663"/>
      <c r="G11" s="664"/>
      <c r="H11" s="665"/>
      <c r="I11" s="664">
        <v>1</v>
      </c>
      <c r="J11" s="663">
        <v>0</v>
      </c>
      <c r="K11" s="663">
        <v>1</v>
      </c>
      <c r="L11" s="663">
        <v>0</v>
      </c>
      <c r="M11" s="261">
        <v>2</v>
      </c>
      <c r="N11" s="663">
        <v>0</v>
      </c>
      <c r="O11" s="664">
        <v>0</v>
      </c>
      <c r="P11" s="663">
        <v>1</v>
      </c>
      <c r="Q11" s="663">
        <v>0</v>
      </c>
      <c r="R11" s="665">
        <v>2</v>
      </c>
      <c r="S11" s="665"/>
      <c r="T11" s="666"/>
      <c r="U11" s="667">
        <f t="shared" si="0"/>
        <v>7</v>
      </c>
      <c r="W11" s="354"/>
    </row>
    <row r="12" spans="1:23" s="6" customFormat="1" ht="18.75" customHeight="1">
      <c r="A12" s="491" t="s">
        <v>1455</v>
      </c>
      <c r="B12" s="663">
        <v>6</v>
      </c>
      <c r="C12" s="663">
        <v>1</v>
      </c>
      <c r="D12" s="664">
        <v>30</v>
      </c>
      <c r="E12" s="663"/>
      <c r="F12" s="663"/>
      <c r="G12" s="664"/>
      <c r="H12" s="665">
        <v>11</v>
      </c>
      <c r="I12" s="664">
        <v>2</v>
      </c>
      <c r="J12" s="663">
        <v>20</v>
      </c>
      <c r="K12" s="663">
        <v>4</v>
      </c>
      <c r="L12" s="663">
        <v>0</v>
      </c>
      <c r="M12" s="261">
        <v>20</v>
      </c>
      <c r="N12" s="663">
        <v>0</v>
      </c>
      <c r="O12" s="664">
        <v>0</v>
      </c>
      <c r="P12" s="663">
        <v>0</v>
      </c>
      <c r="Q12" s="663">
        <v>3</v>
      </c>
      <c r="R12" s="665">
        <v>5</v>
      </c>
      <c r="S12" s="665"/>
      <c r="T12" s="666"/>
      <c r="U12" s="667">
        <f t="shared" si="0"/>
        <v>102</v>
      </c>
      <c r="W12" s="354"/>
    </row>
    <row r="13" spans="1:23" s="6" customFormat="1" ht="18.75" customHeight="1">
      <c r="A13" s="491" t="s">
        <v>1245</v>
      </c>
      <c r="B13" s="663">
        <v>1</v>
      </c>
      <c r="C13" s="663"/>
      <c r="D13" s="664">
        <v>6</v>
      </c>
      <c r="E13" s="663"/>
      <c r="F13" s="663"/>
      <c r="G13" s="664">
        <v>1</v>
      </c>
      <c r="H13" s="665">
        <v>3</v>
      </c>
      <c r="I13" s="664">
        <v>2</v>
      </c>
      <c r="J13" s="663">
        <v>10</v>
      </c>
      <c r="K13" s="663">
        <v>3</v>
      </c>
      <c r="L13" s="663">
        <v>0</v>
      </c>
      <c r="M13" s="261">
        <v>7</v>
      </c>
      <c r="N13" s="663">
        <v>0</v>
      </c>
      <c r="O13" s="664">
        <v>0</v>
      </c>
      <c r="P13" s="663">
        <v>0</v>
      </c>
      <c r="Q13" s="663">
        <v>5</v>
      </c>
      <c r="R13" s="665">
        <v>3</v>
      </c>
      <c r="S13" s="665"/>
      <c r="T13" s="666"/>
      <c r="U13" s="667">
        <f t="shared" si="0"/>
        <v>41</v>
      </c>
      <c r="W13" s="354"/>
    </row>
    <row r="14" spans="1:23" s="6" customFormat="1" ht="18.75" customHeight="1">
      <c r="A14" s="251" t="s">
        <v>1456</v>
      </c>
      <c r="B14" s="663">
        <v>3</v>
      </c>
      <c r="C14" s="663"/>
      <c r="D14" s="664">
        <v>21</v>
      </c>
      <c r="E14" s="663"/>
      <c r="F14" s="663"/>
      <c r="G14" s="664">
        <v>1</v>
      </c>
      <c r="H14" s="665"/>
      <c r="I14" s="664">
        <v>30</v>
      </c>
      <c r="J14" s="663">
        <v>10</v>
      </c>
      <c r="K14" s="663"/>
      <c r="L14" s="663">
        <v>1</v>
      </c>
      <c r="M14" s="261">
        <v>14</v>
      </c>
      <c r="N14" s="663">
        <v>0</v>
      </c>
      <c r="O14" s="664">
        <v>0</v>
      </c>
      <c r="P14" s="663">
        <v>0</v>
      </c>
      <c r="Q14" s="663">
        <v>3</v>
      </c>
      <c r="R14" s="665">
        <v>2</v>
      </c>
      <c r="S14" s="665"/>
      <c r="T14" s="666"/>
      <c r="U14" s="667">
        <f t="shared" si="0"/>
        <v>85</v>
      </c>
      <c r="W14" s="354"/>
    </row>
    <row r="15" spans="1:23" s="6" customFormat="1" ht="18.75" customHeight="1">
      <c r="A15" s="1259" t="s">
        <v>1457</v>
      </c>
      <c r="B15" s="663">
        <v>15</v>
      </c>
      <c r="C15" s="663">
        <v>1</v>
      </c>
      <c r="D15" s="664">
        <v>37</v>
      </c>
      <c r="E15" s="663"/>
      <c r="F15" s="663"/>
      <c r="G15" s="664"/>
      <c r="H15" s="665">
        <v>3</v>
      </c>
      <c r="I15" s="664">
        <v>0</v>
      </c>
      <c r="J15" s="663">
        <v>2</v>
      </c>
      <c r="K15" s="663"/>
      <c r="L15" s="663">
        <v>0</v>
      </c>
      <c r="M15" s="261">
        <v>17</v>
      </c>
      <c r="N15" s="663">
        <v>12</v>
      </c>
      <c r="O15" s="664">
        <v>2</v>
      </c>
      <c r="P15" s="663">
        <v>2</v>
      </c>
      <c r="Q15" s="663">
        <v>9</v>
      </c>
      <c r="R15" s="665">
        <v>3</v>
      </c>
      <c r="S15" s="665"/>
      <c r="T15" s="666"/>
      <c r="U15" s="667">
        <f t="shared" si="0"/>
        <v>103</v>
      </c>
      <c r="W15" s="354"/>
    </row>
    <row r="16" spans="1:23" s="6" customFormat="1" ht="18.75" customHeight="1">
      <c r="A16" s="668" t="s">
        <v>1248</v>
      </c>
      <c r="B16" s="669">
        <v>10</v>
      </c>
      <c r="C16" s="669">
        <v>1</v>
      </c>
      <c r="D16" s="664">
        <v>67</v>
      </c>
      <c r="E16" s="663"/>
      <c r="F16" s="663"/>
      <c r="G16" s="664">
        <v>2</v>
      </c>
      <c r="H16" s="665">
        <v>1</v>
      </c>
      <c r="I16" s="664">
        <v>15</v>
      </c>
      <c r="J16" s="663">
        <v>6</v>
      </c>
      <c r="K16" s="663"/>
      <c r="L16" s="663">
        <v>17</v>
      </c>
      <c r="M16" s="261">
        <v>34</v>
      </c>
      <c r="N16" s="663">
        <v>0</v>
      </c>
      <c r="O16" s="664">
        <v>0</v>
      </c>
      <c r="P16" s="663">
        <v>10</v>
      </c>
      <c r="Q16" s="663">
        <v>18</v>
      </c>
      <c r="R16" s="665">
        <v>2</v>
      </c>
      <c r="S16" s="665"/>
      <c r="T16" s="666"/>
      <c r="U16" s="667">
        <f t="shared" si="0"/>
        <v>183</v>
      </c>
      <c r="W16" s="354"/>
    </row>
    <row r="17" spans="1:23" s="6" customFormat="1" ht="18.75" customHeight="1">
      <c r="A17" s="491" t="s">
        <v>1249</v>
      </c>
      <c r="B17" s="46">
        <v>124</v>
      </c>
      <c r="C17" s="46">
        <v>6</v>
      </c>
      <c r="D17" s="47">
        <v>186</v>
      </c>
      <c r="E17" s="46">
        <v>183</v>
      </c>
      <c r="F17" s="46">
        <v>8</v>
      </c>
      <c r="G17" s="47">
        <v>27</v>
      </c>
      <c r="H17" s="46">
        <v>6</v>
      </c>
      <c r="I17" s="47">
        <v>62</v>
      </c>
      <c r="J17" s="46">
        <v>43</v>
      </c>
      <c r="K17" s="46">
        <v>3</v>
      </c>
      <c r="L17" s="46">
        <v>41</v>
      </c>
      <c r="M17" s="47">
        <v>31</v>
      </c>
      <c r="N17" s="46">
        <v>18</v>
      </c>
      <c r="O17" s="47">
        <v>7</v>
      </c>
      <c r="P17" s="46">
        <v>20</v>
      </c>
      <c r="Q17" s="46">
        <v>100</v>
      </c>
      <c r="R17" s="46">
        <v>34</v>
      </c>
      <c r="S17" s="46">
        <v>5</v>
      </c>
      <c r="T17" s="320">
        <v>34</v>
      </c>
      <c r="U17" s="667">
        <f t="shared" ref="U17:U38" si="1">SUM(B17:T17)</f>
        <v>938</v>
      </c>
      <c r="W17" s="354"/>
    </row>
    <row r="18" spans="1:23" s="6" customFormat="1" ht="18.75" customHeight="1">
      <c r="A18" s="491" t="s">
        <v>1250</v>
      </c>
      <c r="B18" s="46">
        <v>264</v>
      </c>
      <c r="C18" s="46">
        <v>17</v>
      </c>
      <c r="D18" s="47">
        <v>212</v>
      </c>
      <c r="E18" s="46">
        <v>55</v>
      </c>
      <c r="F18" s="46">
        <v>2</v>
      </c>
      <c r="G18" s="47">
        <v>75</v>
      </c>
      <c r="H18" s="46">
        <v>69</v>
      </c>
      <c r="I18" s="47">
        <v>335</v>
      </c>
      <c r="J18" s="46">
        <v>177</v>
      </c>
      <c r="K18" s="46">
        <v>17</v>
      </c>
      <c r="L18" s="46">
        <v>26</v>
      </c>
      <c r="M18" s="47">
        <v>196</v>
      </c>
      <c r="N18" s="46">
        <v>73</v>
      </c>
      <c r="O18" s="47">
        <v>10</v>
      </c>
      <c r="P18" s="46">
        <v>73</v>
      </c>
      <c r="Q18" s="46">
        <v>287</v>
      </c>
      <c r="R18" s="46">
        <v>59</v>
      </c>
      <c r="S18" s="46">
        <v>5</v>
      </c>
      <c r="T18" s="320">
        <v>0</v>
      </c>
      <c r="U18" s="667">
        <f t="shared" si="1"/>
        <v>1952</v>
      </c>
      <c r="W18" s="354"/>
    </row>
    <row r="19" spans="1:23" s="6" customFormat="1" ht="18.75" customHeight="1">
      <c r="A19" s="491" t="s">
        <v>1251</v>
      </c>
      <c r="B19" s="46">
        <v>27</v>
      </c>
      <c r="C19" s="46">
        <v>3</v>
      </c>
      <c r="D19" s="47">
        <v>13</v>
      </c>
      <c r="E19" s="46"/>
      <c r="F19" s="46"/>
      <c r="G19" s="47">
        <v>6</v>
      </c>
      <c r="H19" s="46">
        <v>7</v>
      </c>
      <c r="I19" s="47">
        <v>42</v>
      </c>
      <c r="J19" s="46">
        <v>18</v>
      </c>
      <c r="K19" s="46">
        <v>1</v>
      </c>
      <c r="L19" s="46">
        <v>0</v>
      </c>
      <c r="M19" s="47">
        <v>13</v>
      </c>
      <c r="N19" s="46">
        <v>5</v>
      </c>
      <c r="O19" s="47">
        <v>0</v>
      </c>
      <c r="P19" s="46">
        <v>12</v>
      </c>
      <c r="Q19" s="46">
        <v>37</v>
      </c>
      <c r="R19" s="46">
        <v>5</v>
      </c>
      <c r="S19" s="46">
        <v>0</v>
      </c>
      <c r="T19" s="320">
        <v>443</v>
      </c>
      <c r="U19" s="667">
        <f t="shared" si="1"/>
        <v>632</v>
      </c>
      <c r="W19" s="354"/>
    </row>
    <row r="20" spans="1:23" s="6" customFormat="1" ht="18.75" customHeight="1">
      <c r="A20" s="491" t="s">
        <v>1246</v>
      </c>
      <c r="B20" s="46">
        <v>15</v>
      </c>
      <c r="C20" s="46"/>
      <c r="D20" s="47">
        <v>10</v>
      </c>
      <c r="E20" s="46"/>
      <c r="F20" s="46"/>
      <c r="G20" s="47"/>
      <c r="H20" s="46">
        <v>1</v>
      </c>
      <c r="I20" s="47">
        <v>12</v>
      </c>
      <c r="J20" s="46">
        <v>3</v>
      </c>
      <c r="K20" s="46">
        <v>0</v>
      </c>
      <c r="L20" s="46">
        <v>0</v>
      </c>
      <c r="M20" s="47">
        <v>4</v>
      </c>
      <c r="N20" s="46">
        <v>0</v>
      </c>
      <c r="O20" s="47">
        <v>0</v>
      </c>
      <c r="P20" s="46">
        <v>1</v>
      </c>
      <c r="Q20" s="46">
        <v>16</v>
      </c>
      <c r="R20" s="46">
        <v>0</v>
      </c>
      <c r="S20" s="46">
        <v>0</v>
      </c>
      <c r="T20" s="320">
        <v>0</v>
      </c>
      <c r="U20" s="667">
        <f t="shared" si="1"/>
        <v>62</v>
      </c>
      <c r="W20" s="354"/>
    </row>
    <row r="21" spans="1:23" s="6" customFormat="1" ht="18.75" customHeight="1">
      <c r="A21" s="491" t="s">
        <v>1247</v>
      </c>
      <c r="B21" s="46">
        <v>4</v>
      </c>
      <c r="C21" s="46"/>
      <c r="D21" s="47">
        <v>8</v>
      </c>
      <c r="E21" s="46"/>
      <c r="F21" s="46"/>
      <c r="G21" s="47">
        <v>1</v>
      </c>
      <c r="H21" s="46"/>
      <c r="I21" s="47">
        <v>2</v>
      </c>
      <c r="J21" s="46">
        <v>7</v>
      </c>
      <c r="K21" s="46">
        <v>1</v>
      </c>
      <c r="L21" s="46">
        <v>1</v>
      </c>
      <c r="M21" s="47">
        <v>0</v>
      </c>
      <c r="N21" s="46">
        <v>0</v>
      </c>
      <c r="O21" s="47">
        <v>0</v>
      </c>
      <c r="P21" s="46">
        <v>0</v>
      </c>
      <c r="Q21" s="46">
        <v>7</v>
      </c>
      <c r="R21" s="46">
        <v>2</v>
      </c>
      <c r="S21" s="46">
        <v>0</v>
      </c>
      <c r="T21" s="320">
        <v>173</v>
      </c>
      <c r="U21" s="667">
        <f t="shared" si="1"/>
        <v>206</v>
      </c>
      <c r="W21" s="354"/>
    </row>
    <row r="22" spans="1:23" s="6" customFormat="1" ht="18.75" customHeight="1">
      <c r="A22" s="1256" t="s">
        <v>1453</v>
      </c>
      <c r="B22" s="320">
        <v>17</v>
      </c>
      <c r="C22" s="46"/>
      <c r="D22" s="47">
        <v>38</v>
      </c>
      <c r="E22" s="46"/>
      <c r="F22" s="46">
        <v>1</v>
      </c>
      <c r="G22" s="47">
        <v>10</v>
      </c>
      <c r="H22" s="46">
        <v>3</v>
      </c>
      <c r="I22" s="47">
        <v>20</v>
      </c>
      <c r="J22" s="46">
        <v>21</v>
      </c>
      <c r="K22" s="46">
        <v>1</v>
      </c>
      <c r="L22" s="46">
        <v>11</v>
      </c>
      <c r="M22" s="47">
        <v>20</v>
      </c>
      <c r="N22" s="46">
        <v>6</v>
      </c>
      <c r="O22" s="47">
        <v>0</v>
      </c>
      <c r="P22" s="46">
        <v>3</v>
      </c>
      <c r="Q22" s="46">
        <v>0</v>
      </c>
      <c r="R22" s="46">
        <v>10</v>
      </c>
      <c r="S22" s="46">
        <v>1</v>
      </c>
      <c r="T22" s="320">
        <v>42</v>
      </c>
      <c r="U22" s="667">
        <f t="shared" si="1"/>
        <v>204</v>
      </c>
      <c r="W22" s="354"/>
    </row>
    <row r="23" spans="1:23" s="6" customFormat="1" ht="18.75" customHeight="1">
      <c r="A23" s="1256" t="s">
        <v>1454</v>
      </c>
      <c r="B23" s="320">
        <v>6</v>
      </c>
      <c r="C23" s="46"/>
      <c r="D23" s="47">
        <v>33</v>
      </c>
      <c r="E23" s="46">
        <v>18</v>
      </c>
      <c r="F23" s="46"/>
      <c r="G23" s="47">
        <v>7</v>
      </c>
      <c r="H23" s="46">
        <v>5</v>
      </c>
      <c r="I23" s="47">
        <v>18</v>
      </c>
      <c r="J23" s="46">
        <v>14</v>
      </c>
      <c r="K23" s="46">
        <v>4</v>
      </c>
      <c r="L23" s="46">
        <v>4</v>
      </c>
      <c r="M23" s="47">
        <v>21</v>
      </c>
      <c r="N23" s="46">
        <v>9</v>
      </c>
      <c r="O23" s="47">
        <v>1</v>
      </c>
      <c r="P23" s="46">
        <v>11</v>
      </c>
      <c r="Q23" s="46">
        <v>23</v>
      </c>
      <c r="R23" s="46">
        <v>6</v>
      </c>
      <c r="S23" s="46">
        <v>0</v>
      </c>
      <c r="T23" s="320">
        <v>10</v>
      </c>
      <c r="U23" s="667">
        <f t="shared" si="1"/>
        <v>190</v>
      </c>
      <c r="W23" s="354"/>
    </row>
    <row r="24" spans="1:23" s="6" customFormat="1" ht="18.75" customHeight="1">
      <c r="A24" s="1257" t="s">
        <v>0</v>
      </c>
      <c r="B24" s="320">
        <v>21</v>
      </c>
      <c r="C24" s="46">
        <v>2</v>
      </c>
      <c r="D24" s="47">
        <v>49</v>
      </c>
      <c r="E24" s="46"/>
      <c r="F24" s="46"/>
      <c r="G24" s="47">
        <v>2</v>
      </c>
      <c r="H24" s="46"/>
      <c r="I24" s="47">
        <v>0</v>
      </c>
      <c r="J24" s="46">
        <v>17</v>
      </c>
      <c r="K24" s="46">
        <v>0</v>
      </c>
      <c r="L24" s="46">
        <v>4</v>
      </c>
      <c r="M24" s="47">
        <v>9</v>
      </c>
      <c r="N24" s="46">
        <v>0</v>
      </c>
      <c r="O24" s="47">
        <v>0</v>
      </c>
      <c r="P24" s="46">
        <v>1</v>
      </c>
      <c r="Q24" s="46">
        <v>12</v>
      </c>
      <c r="R24" s="46">
        <v>3</v>
      </c>
      <c r="S24" s="46">
        <v>0</v>
      </c>
      <c r="T24" s="320">
        <v>55</v>
      </c>
      <c r="U24" s="667">
        <f t="shared" si="1"/>
        <v>175</v>
      </c>
      <c r="W24" s="354"/>
    </row>
    <row r="25" spans="1:23" s="6" customFormat="1" ht="18.75" customHeight="1">
      <c r="A25" s="1258" t="s">
        <v>1452</v>
      </c>
      <c r="B25" s="320">
        <v>77</v>
      </c>
      <c r="C25" s="46">
        <v>11</v>
      </c>
      <c r="D25" s="47">
        <v>95</v>
      </c>
      <c r="E25" s="46">
        <v>23</v>
      </c>
      <c r="F25" s="46"/>
      <c r="G25" s="47">
        <v>13</v>
      </c>
      <c r="H25" s="46">
        <v>42</v>
      </c>
      <c r="I25" s="47">
        <v>38</v>
      </c>
      <c r="J25" s="46">
        <v>103</v>
      </c>
      <c r="K25" s="46">
        <v>12</v>
      </c>
      <c r="L25" s="46">
        <v>14</v>
      </c>
      <c r="M25" s="47">
        <v>39</v>
      </c>
      <c r="N25" s="46">
        <v>32</v>
      </c>
      <c r="O25" s="47">
        <v>5</v>
      </c>
      <c r="P25" s="46">
        <v>17</v>
      </c>
      <c r="Q25" s="46">
        <v>104</v>
      </c>
      <c r="R25" s="46">
        <v>50</v>
      </c>
      <c r="S25" s="46">
        <v>6</v>
      </c>
      <c r="T25" s="320">
        <v>195</v>
      </c>
      <c r="U25" s="667">
        <f t="shared" si="1"/>
        <v>876</v>
      </c>
      <c r="W25" s="354"/>
    </row>
    <row r="26" spans="1:23" s="6" customFormat="1" ht="28.5" customHeight="1">
      <c r="A26" s="1255" t="s">
        <v>1451</v>
      </c>
      <c r="B26" s="320">
        <v>2</v>
      </c>
      <c r="C26" s="46"/>
      <c r="D26" s="47">
        <v>4</v>
      </c>
      <c r="E26" s="46"/>
      <c r="F26" s="46"/>
      <c r="G26" s="47"/>
      <c r="H26" s="46">
        <v>6</v>
      </c>
      <c r="I26" s="47">
        <v>0</v>
      </c>
      <c r="J26" s="46">
        <v>80</v>
      </c>
      <c r="K26" s="46">
        <v>2</v>
      </c>
      <c r="L26" s="46">
        <v>3</v>
      </c>
      <c r="M26" s="47">
        <v>0</v>
      </c>
      <c r="N26" s="46">
        <v>0</v>
      </c>
      <c r="O26" s="47">
        <v>0</v>
      </c>
      <c r="P26" s="46">
        <v>0</v>
      </c>
      <c r="Q26" s="46">
        <v>4</v>
      </c>
      <c r="R26" s="46">
        <v>1</v>
      </c>
      <c r="S26" s="46">
        <v>0</v>
      </c>
      <c r="T26" s="320">
        <v>40</v>
      </c>
      <c r="U26" s="667">
        <f t="shared" si="1"/>
        <v>142</v>
      </c>
      <c r="W26" s="354"/>
    </row>
    <row r="27" spans="1:23" s="6" customFormat="1" ht="33.75" customHeight="1">
      <c r="A27" s="1254" t="s">
        <v>1450</v>
      </c>
      <c r="B27" s="46"/>
      <c r="C27" s="46"/>
      <c r="D27" s="47"/>
      <c r="E27" s="46"/>
      <c r="F27" s="46"/>
      <c r="G27" s="47"/>
      <c r="H27" s="46">
        <v>2</v>
      </c>
      <c r="I27" s="47">
        <v>0</v>
      </c>
      <c r="J27" s="46">
        <v>2</v>
      </c>
      <c r="K27" s="46">
        <v>4</v>
      </c>
      <c r="L27" s="46">
        <v>1</v>
      </c>
      <c r="M27" s="47">
        <v>10</v>
      </c>
      <c r="N27" s="46">
        <v>0</v>
      </c>
      <c r="O27" s="47">
        <v>0</v>
      </c>
      <c r="P27" s="46">
        <v>4</v>
      </c>
      <c r="Q27" s="46">
        <v>1</v>
      </c>
      <c r="R27" s="46">
        <v>5</v>
      </c>
      <c r="S27" s="46">
        <v>1</v>
      </c>
      <c r="T27" s="320">
        <v>6</v>
      </c>
      <c r="U27" s="667">
        <f t="shared" si="1"/>
        <v>36</v>
      </c>
      <c r="W27" s="354"/>
    </row>
    <row r="28" spans="1:23" s="6" customFormat="1" ht="36.75" customHeight="1">
      <c r="A28" s="1254" t="s">
        <v>1449</v>
      </c>
      <c r="B28" s="46">
        <v>198</v>
      </c>
      <c r="C28" s="46">
        <v>21</v>
      </c>
      <c r="D28" s="47"/>
      <c r="E28" s="46">
        <v>61</v>
      </c>
      <c r="F28" s="46"/>
      <c r="G28" s="47">
        <v>54</v>
      </c>
      <c r="H28" s="46">
        <v>62</v>
      </c>
      <c r="I28" s="47">
        <v>91</v>
      </c>
      <c r="J28" s="46">
        <v>120</v>
      </c>
      <c r="K28" s="46">
        <v>48</v>
      </c>
      <c r="L28" s="46">
        <v>47</v>
      </c>
      <c r="M28" s="47">
        <v>65</v>
      </c>
      <c r="N28" s="46">
        <v>115</v>
      </c>
      <c r="O28" s="47">
        <v>13</v>
      </c>
      <c r="P28" s="46">
        <v>24</v>
      </c>
      <c r="Q28" s="46">
        <v>37</v>
      </c>
      <c r="R28" s="46">
        <v>52</v>
      </c>
      <c r="S28" s="46">
        <v>3</v>
      </c>
      <c r="T28" s="320">
        <v>20</v>
      </c>
      <c r="U28" s="667">
        <f t="shared" si="1"/>
        <v>1031</v>
      </c>
      <c r="W28" s="354"/>
    </row>
    <row r="29" spans="1:23" s="6" customFormat="1" ht="18.75" customHeight="1">
      <c r="A29" s="491" t="s">
        <v>1</v>
      </c>
      <c r="B29" s="46">
        <v>278</v>
      </c>
      <c r="C29" s="46">
        <v>44</v>
      </c>
      <c r="D29" s="47">
        <v>143</v>
      </c>
      <c r="E29" s="46">
        <v>97</v>
      </c>
      <c r="F29" s="46">
        <v>6</v>
      </c>
      <c r="G29" s="47">
        <v>219</v>
      </c>
      <c r="H29" s="46">
        <v>107</v>
      </c>
      <c r="I29" s="47">
        <v>416</v>
      </c>
      <c r="J29" s="46">
        <v>571</v>
      </c>
      <c r="K29" s="46">
        <v>129</v>
      </c>
      <c r="L29" s="46">
        <v>137</v>
      </c>
      <c r="M29" s="47">
        <v>128</v>
      </c>
      <c r="N29" s="46">
        <v>290</v>
      </c>
      <c r="O29" s="47">
        <v>52</v>
      </c>
      <c r="P29" s="46">
        <v>86</v>
      </c>
      <c r="Q29" s="46">
        <v>392</v>
      </c>
      <c r="R29" s="46">
        <v>182</v>
      </c>
      <c r="S29" s="46">
        <v>13</v>
      </c>
      <c r="T29" s="320">
        <v>419</v>
      </c>
      <c r="U29" s="667">
        <f t="shared" si="1"/>
        <v>3709</v>
      </c>
      <c r="W29" s="354"/>
    </row>
    <row r="30" spans="1:23" s="6" customFormat="1" ht="18.75" customHeight="1">
      <c r="A30" s="491" t="s">
        <v>2</v>
      </c>
      <c r="B30" s="46">
        <v>4</v>
      </c>
      <c r="C30" s="46">
        <v>1</v>
      </c>
      <c r="D30" s="47">
        <v>5</v>
      </c>
      <c r="E30" s="46"/>
      <c r="F30" s="46"/>
      <c r="G30" s="47">
        <v>7</v>
      </c>
      <c r="H30" s="46">
        <v>2</v>
      </c>
      <c r="I30" s="47">
        <v>18</v>
      </c>
      <c r="J30" s="46">
        <v>3</v>
      </c>
      <c r="K30" s="46">
        <v>0</v>
      </c>
      <c r="L30" s="46">
        <v>2</v>
      </c>
      <c r="M30" s="47">
        <v>23</v>
      </c>
      <c r="N30" s="46">
        <v>1</v>
      </c>
      <c r="O30" s="47">
        <v>0</v>
      </c>
      <c r="P30" s="46">
        <v>1</v>
      </c>
      <c r="Q30" s="46">
        <v>6</v>
      </c>
      <c r="R30" s="46">
        <v>11</v>
      </c>
      <c r="S30" s="46">
        <v>3</v>
      </c>
      <c r="T30" s="320">
        <v>258</v>
      </c>
      <c r="U30" s="667">
        <f t="shared" si="1"/>
        <v>345</v>
      </c>
      <c r="W30" s="354"/>
    </row>
    <row r="31" spans="1:23" s="6" customFormat="1" ht="18.75" customHeight="1">
      <c r="A31" s="491" t="s">
        <v>1272</v>
      </c>
      <c r="B31" s="46"/>
      <c r="C31" s="46"/>
      <c r="D31" s="47"/>
      <c r="E31" s="46"/>
      <c r="F31" s="46"/>
      <c r="G31" s="47"/>
      <c r="H31" s="46"/>
      <c r="I31" s="47">
        <v>0</v>
      </c>
      <c r="J31" s="46">
        <v>0</v>
      </c>
      <c r="K31" s="46">
        <v>1</v>
      </c>
      <c r="L31" s="46">
        <v>2</v>
      </c>
      <c r="M31" s="47">
        <v>0</v>
      </c>
      <c r="N31" s="46">
        <v>0</v>
      </c>
      <c r="O31" s="47">
        <v>0</v>
      </c>
      <c r="P31" s="46">
        <v>0</v>
      </c>
      <c r="Q31" s="46">
        <v>0</v>
      </c>
      <c r="R31" s="46">
        <v>8</v>
      </c>
      <c r="S31" s="46">
        <v>0</v>
      </c>
      <c r="T31" s="320">
        <v>0</v>
      </c>
      <c r="U31" s="667">
        <f t="shared" si="1"/>
        <v>11</v>
      </c>
      <c r="W31" s="354"/>
    </row>
    <row r="32" spans="1:23" s="6" customFormat="1" ht="18.75" customHeight="1">
      <c r="A32" s="491" t="s">
        <v>3</v>
      </c>
      <c r="B32" s="46">
        <v>3</v>
      </c>
      <c r="C32" s="46"/>
      <c r="D32" s="47"/>
      <c r="E32" s="46"/>
      <c r="F32" s="46"/>
      <c r="G32" s="47"/>
      <c r="H32" s="46"/>
      <c r="I32" s="47">
        <v>0</v>
      </c>
      <c r="J32" s="46">
        <v>2</v>
      </c>
      <c r="K32" s="46">
        <v>0</v>
      </c>
      <c r="L32" s="46">
        <v>2</v>
      </c>
      <c r="M32" s="47">
        <v>0</v>
      </c>
      <c r="N32" s="46">
        <v>0</v>
      </c>
      <c r="O32" s="47">
        <v>0</v>
      </c>
      <c r="P32" s="46">
        <v>0</v>
      </c>
      <c r="Q32" s="46">
        <v>4</v>
      </c>
      <c r="R32" s="46">
        <v>0</v>
      </c>
      <c r="S32" s="46">
        <v>0</v>
      </c>
      <c r="T32" s="320">
        <v>318</v>
      </c>
      <c r="U32" s="667">
        <f t="shared" si="1"/>
        <v>329</v>
      </c>
      <c r="W32" s="354"/>
    </row>
    <row r="33" spans="1:23" s="6" customFormat="1" ht="18.75" customHeight="1">
      <c r="A33" s="491" t="s">
        <v>304</v>
      </c>
      <c r="B33" s="46"/>
      <c r="C33" s="46"/>
      <c r="D33" s="47">
        <v>1</v>
      </c>
      <c r="E33" s="46"/>
      <c r="F33" s="46"/>
      <c r="G33" s="47"/>
      <c r="H33" s="46">
        <v>1</v>
      </c>
      <c r="I33" s="47">
        <v>1</v>
      </c>
      <c r="J33" s="46">
        <v>0</v>
      </c>
      <c r="K33" s="46">
        <v>0</v>
      </c>
      <c r="L33" s="46">
        <v>0</v>
      </c>
      <c r="M33" s="47">
        <v>1</v>
      </c>
      <c r="N33" s="46">
        <v>0</v>
      </c>
      <c r="O33" s="47">
        <v>0</v>
      </c>
      <c r="P33" s="46">
        <v>0</v>
      </c>
      <c r="Q33" s="46">
        <v>0</v>
      </c>
      <c r="R33" s="46">
        <v>0</v>
      </c>
      <c r="S33" s="46">
        <v>0</v>
      </c>
      <c r="T33" s="320">
        <v>0</v>
      </c>
      <c r="U33" s="667">
        <f t="shared" si="1"/>
        <v>4</v>
      </c>
      <c r="W33" s="354"/>
    </row>
    <row r="34" spans="1:23" s="6" customFormat="1" ht="18.75" customHeight="1">
      <c r="A34" s="491" t="s">
        <v>4</v>
      </c>
      <c r="B34" s="46">
        <v>3</v>
      </c>
      <c r="C34" s="46">
        <v>1</v>
      </c>
      <c r="D34" s="47">
        <v>17</v>
      </c>
      <c r="E34" s="46"/>
      <c r="F34" s="46"/>
      <c r="G34" s="47">
        <v>3</v>
      </c>
      <c r="H34" s="46">
        <v>5</v>
      </c>
      <c r="I34" s="47">
        <v>5</v>
      </c>
      <c r="J34" s="46">
        <v>14</v>
      </c>
      <c r="K34" s="46">
        <v>3</v>
      </c>
      <c r="L34" s="46">
        <v>0</v>
      </c>
      <c r="M34" s="47">
        <v>16</v>
      </c>
      <c r="N34" s="46">
        <v>1</v>
      </c>
      <c r="O34" s="47">
        <v>0</v>
      </c>
      <c r="P34" s="46">
        <v>2</v>
      </c>
      <c r="Q34" s="46">
        <v>3</v>
      </c>
      <c r="R34" s="46">
        <v>6</v>
      </c>
      <c r="S34" s="46">
        <v>0</v>
      </c>
      <c r="T34" s="320">
        <v>6</v>
      </c>
      <c r="U34" s="667">
        <f t="shared" si="1"/>
        <v>85</v>
      </c>
      <c r="W34" s="354"/>
    </row>
    <row r="35" spans="1:23" s="6" customFormat="1" ht="18.75" customHeight="1">
      <c r="A35" s="491" t="s">
        <v>5</v>
      </c>
      <c r="B35" s="46">
        <v>9</v>
      </c>
      <c r="C35" s="46"/>
      <c r="D35" s="47">
        <v>15</v>
      </c>
      <c r="E35" s="46"/>
      <c r="F35" s="46"/>
      <c r="G35" s="47">
        <v>6</v>
      </c>
      <c r="H35" s="46">
        <v>13</v>
      </c>
      <c r="I35" s="47">
        <v>4</v>
      </c>
      <c r="J35" s="46">
        <v>3</v>
      </c>
      <c r="K35" s="46">
        <v>0</v>
      </c>
      <c r="L35" s="46">
        <v>3</v>
      </c>
      <c r="M35" s="47">
        <v>16</v>
      </c>
      <c r="N35" s="46">
        <v>0</v>
      </c>
      <c r="O35" s="47">
        <v>0</v>
      </c>
      <c r="P35" s="46">
        <v>0</v>
      </c>
      <c r="Q35" s="46">
        <v>9</v>
      </c>
      <c r="R35" s="46">
        <v>12</v>
      </c>
      <c r="S35" s="46">
        <v>1</v>
      </c>
      <c r="T35" s="320">
        <v>40</v>
      </c>
      <c r="U35" s="667">
        <f t="shared" si="1"/>
        <v>131</v>
      </c>
      <c r="W35" s="354"/>
    </row>
    <row r="36" spans="1:23" s="6" customFormat="1" ht="18.75" customHeight="1">
      <c r="A36" s="491" t="s">
        <v>6</v>
      </c>
      <c r="B36" s="46">
        <v>74</v>
      </c>
      <c r="C36" s="46">
        <v>16</v>
      </c>
      <c r="D36" s="47">
        <v>58</v>
      </c>
      <c r="E36" s="46"/>
      <c r="F36" s="46"/>
      <c r="G36" s="47">
        <v>12</v>
      </c>
      <c r="H36" s="46">
        <v>6</v>
      </c>
      <c r="I36" s="47">
        <v>51</v>
      </c>
      <c r="J36" s="46">
        <v>45</v>
      </c>
      <c r="K36" s="46">
        <v>6</v>
      </c>
      <c r="L36" s="46">
        <v>10</v>
      </c>
      <c r="M36" s="47">
        <v>76</v>
      </c>
      <c r="N36" s="46">
        <v>15</v>
      </c>
      <c r="O36" s="47">
        <v>2</v>
      </c>
      <c r="P36" s="46">
        <v>7</v>
      </c>
      <c r="Q36" s="46">
        <v>38</v>
      </c>
      <c r="R36" s="46">
        <v>17</v>
      </c>
      <c r="S36" s="46">
        <v>0</v>
      </c>
      <c r="T36" s="320">
        <v>84</v>
      </c>
      <c r="U36" s="667">
        <f t="shared" si="1"/>
        <v>517</v>
      </c>
      <c r="W36" s="354"/>
    </row>
    <row r="37" spans="1:23" s="6" customFormat="1" ht="18.75" customHeight="1">
      <c r="A37" s="491" t="s">
        <v>7</v>
      </c>
      <c r="B37" s="46">
        <v>5</v>
      </c>
      <c r="C37" s="46">
        <v>1</v>
      </c>
      <c r="D37" s="47">
        <v>2</v>
      </c>
      <c r="E37" s="46"/>
      <c r="F37" s="46"/>
      <c r="G37" s="47">
        <v>3</v>
      </c>
      <c r="H37" s="46"/>
      <c r="I37" s="47">
        <v>1</v>
      </c>
      <c r="J37" s="46">
        <v>3</v>
      </c>
      <c r="K37" s="46">
        <v>0</v>
      </c>
      <c r="L37" s="46">
        <v>4</v>
      </c>
      <c r="M37" s="47">
        <v>0</v>
      </c>
      <c r="N37" s="46">
        <v>1</v>
      </c>
      <c r="O37" s="47">
        <v>0</v>
      </c>
      <c r="P37" s="46">
        <v>0</v>
      </c>
      <c r="Q37" s="46">
        <v>5</v>
      </c>
      <c r="R37" s="46">
        <v>2</v>
      </c>
      <c r="S37" s="46">
        <v>0</v>
      </c>
      <c r="T37" s="320">
        <v>43</v>
      </c>
      <c r="U37" s="667">
        <f t="shared" si="1"/>
        <v>70</v>
      </c>
      <c r="W37" s="354"/>
    </row>
    <row r="38" spans="1:23" s="6" customFormat="1" ht="18.75" customHeight="1">
      <c r="A38" s="487" t="s">
        <v>763</v>
      </c>
      <c r="B38" s="69">
        <f>SUM(B9:B37)</f>
        <v>1203</v>
      </c>
      <c r="C38" s="69">
        <f>SUM(C9:C37)</f>
        <v>130</v>
      </c>
      <c r="D38" s="670">
        <f t="shared" ref="D38:T38" si="2">SUM(D9:D37)</f>
        <v>1125</v>
      </c>
      <c r="E38" s="69">
        <f t="shared" si="2"/>
        <v>457</v>
      </c>
      <c r="F38" s="69">
        <f t="shared" si="2"/>
        <v>17</v>
      </c>
      <c r="G38" s="670">
        <f t="shared" si="2"/>
        <v>461</v>
      </c>
      <c r="H38" s="69">
        <f t="shared" si="2"/>
        <v>369</v>
      </c>
      <c r="I38" s="671">
        <f t="shared" si="2"/>
        <v>1211</v>
      </c>
      <c r="J38" s="671">
        <f t="shared" si="2"/>
        <v>1353</v>
      </c>
      <c r="K38" s="671">
        <f t="shared" si="2"/>
        <v>250</v>
      </c>
      <c r="L38" s="69">
        <f t="shared" si="2"/>
        <v>349</v>
      </c>
      <c r="M38" s="69">
        <f t="shared" si="2"/>
        <v>855</v>
      </c>
      <c r="N38" s="69">
        <f t="shared" si="2"/>
        <v>584</v>
      </c>
      <c r="O38" s="69">
        <f t="shared" si="2"/>
        <v>95</v>
      </c>
      <c r="P38" s="69">
        <f t="shared" si="2"/>
        <v>287</v>
      </c>
      <c r="Q38" s="69">
        <f t="shared" si="2"/>
        <v>1170</v>
      </c>
      <c r="R38" s="69">
        <f>SUM(R9:R37)</f>
        <v>516</v>
      </c>
      <c r="S38" s="69">
        <f t="shared" si="2"/>
        <v>38</v>
      </c>
      <c r="T38" s="69">
        <f t="shared" si="2"/>
        <v>2186</v>
      </c>
      <c r="U38" s="670">
        <f t="shared" si="1"/>
        <v>12656</v>
      </c>
    </row>
    <row r="39" spans="1:23">
      <c r="A39" s="307" t="s">
        <v>1448</v>
      </c>
      <c r="B39" s="47"/>
      <c r="C39" s="47"/>
      <c r="D39" s="47"/>
      <c r="E39" s="47"/>
      <c r="F39" s="47"/>
      <c r="G39" s="47"/>
      <c r="H39" s="47"/>
      <c r="I39" s="47"/>
      <c r="J39" s="47"/>
      <c r="K39" s="47"/>
      <c r="L39" s="47"/>
      <c r="M39" s="47"/>
      <c r="N39" s="47"/>
      <c r="O39" s="47"/>
      <c r="P39" s="47"/>
      <c r="Q39" s="47"/>
      <c r="R39" s="47"/>
      <c r="S39" s="47"/>
      <c r="T39" s="47"/>
      <c r="U39" s="332"/>
    </row>
    <row r="40" spans="1:23">
      <c r="A40" s="220"/>
    </row>
    <row r="41" spans="1:23">
      <c r="A41" s="220"/>
    </row>
    <row r="42" spans="1:23">
      <c r="A42" s="220"/>
    </row>
    <row r="43" spans="1:23">
      <c r="A43" s="220"/>
    </row>
    <row r="44" spans="1:23">
      <c r="A44" s="220"/>
    </row>
    <row r="45" spans="1:23">
      <c r="A45" s="220"/>
    </row>
    <row r="46" spans="1:23">
      <c r="A46" s="220"/>
    </row>
    <row r="47" spans="1:23">
      <c r="A47" s="220"/>
    </row>
    <row r="48" spans="1:23">
      <c r="A48" s="220"/>
    </row>
  </sheetData>
  <mergeCells count="4">
    <mergeCell ref="A1:U1"/>
    <mergeCell ref="A2:U2"/>
    <mergeCell ref="A3:U3"/>
    <mergeCell ref="B6:S6"/>
  </mergeCells>
  <phoneticPr fontId="19" type="noConversion"/>
  <dataValidations count="1">
    <dataValidation allowBlank="1" showInputMessage="1" showErrorMessage="1" errorTitle="Error" error="Por favor ingrese números enteros" sqref="A22:A28"/>
  </dataValidations>
  <pageMargins left="0.78740157480314965" right="0.59055118110236227" top="0.59055118110236227" bottom="0.78740157480314965" header="0" footer="0"/>
  <pageSetup paperSize="5" scale="89" orientation="landscape" horizontalDpi="300" verticalDpi="3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1"/>
  <sheetViews>
    <sheetView topLeftCell="A28" zoomScale="75" workbookViewId="0">
      <selection sqref="A1:H1"/>
    </sheetView>
  </sheetViews>
  <sheetFormatPr baseColWidth="10" defaultRowHeight="12.75"/>
  <cols>
    <col min="1" max="1" width="59.42578125" customWidth="1"/>
    <col min="2" max="7" width="12.85546875" style="1294" customWidth="1"/>
    <col min="8" max="20" width="9.140625" customWidth="1"/>
    <col min="21" max="21" width="9.7109375" customWidth="1"/>
  </cols>
  <sheetData>
    <row r="1" spans="1:8" ht="24.75" customHeight="1">
      <c r="A1" s="1466" t="s">
        <v>1488</v>
      </c>
      <c r="B1" s="1467"/>
      <c r="C1" s="1467"/>
      <c r="D1" s="1467"/>
      <c r="E1" s="1467"/>
      <c r="F1" s="1467"/>
      <c r="G1" s="1467"/>
      <c r="H1" s="1467"/>
    </row>
    <row r="2" spans="1:8" ht="24.75" customHeight="1">
      <c r="A2" s="1466" t="s">
        <v>1496</v>
      </c>
      <c r="B2" s="1467"/>
      <c r="C2" s="1467"/>
      <c r="D2" s="1467"/>
      <c r="E2" s="1467"/>
      <c r="F2" s="1467"/>
      <c r="G2" s="1467"/>
      <c r="H2" s="1467"/>
    </row>
    <row r="3" spans="1:8" ht="24.75" customHeight="1">
      <c r="A3" s="1297"/>
      <c r="B3" s="1297"/>
      <c r="C3" s="1297"/>
      <c r="D3" s="1297"/>
      <c r="E3" s="1297"/>
      <c r="F3" s="1297"/>
      <c r="G3" s="1297"/>
      <c r="H3" s="1297"/>
    </row>
    <row r="4" spans="1:8" ht="22.5" customHeight="1">
      <c r="A4" s="1296"/>
      <c r="B4" s="1296"/>
      <c r="C4" s="1296"/>
      <c r="D4" s="1296"/>
      <c r="E4" s="1296"/>
      <c r="F4" s="1296"/>
      <c r="G4" s="1296"/>
      <c r="H4" s="1296"/>
    </row>
    <row r="5" spans="1:8" ht="33" customHeight="1">
      <c r="B5" s="1302">
        <v>2010</v>
      </c>
      <c r="C5" s="1302">
        <v>2011</v>
      </c>
      <c r="D5" s="1302">
        <v>2012</v>
      </c>
      <c r="E5" s="1302">
        <v>2013</v>
      </c>
      <c r="F5" s="1302">
        <v>2014</v>
      </c>
      <c r="G5" s="1302">
        <v>2015</v>
      </c>
      <c r="H5" s="6"/>
    </row>
    <row r="6" spans="1:8" ht="29.25" customHeight="1">
      <c r="A6" s="6" t="s">
        <v>1491</v>
      </c>
      <c r="B6" s="1298">
        <v>27204</v>
      </c>
      <c r="C6" s="1298">
        <v>28478</v>
      </c>
      <c r="D6" s="1298">
        <v>30776</v>
      </c>
      <c r="E6" s="1298">
        <v>32019</v>
      </c>
      <c r="F6" s="1298">
        <v>33489</v>
      </c>
      <c r="G6" s="1298">
        <v>34287</v>
      </c>
      <c r="H6" s="6"/>
    </row>
    <row r="7" spans="1:8" ht="29.25" customHeight="1">
      <c r="A7" s="1037" t="s">
        <v>1485</v>
      </c>
      <c r="B7" s="1298">
        <v>21901</v>
      </c>
      <c r="C7" s="1298">
        <v>24102</v>
      </c>
      <c r="D7" s="1298">
        <v>25827</v>
      </c>
      <c r="E7" s="1298">
        <v>26490</v>
      </c>
      <c r="F7" s="1298">
        <v>27894</v>
      </c>
      <c r="G7" s="1298">
        <v>28536</v>
      </c>
      <c r="H7" s="6"/>
    </row>
    <row r="8" spans="1:8" ht="29.25" customHeight="1">
      <c r="A8" s="1037" t="s">
        <v>1486</v>
      </c>
      <c r="B8" s="1298">
        <v>8314</v>
      </c>
      <c r="C8" s="1298">
        <v>9055</v>
      </c>
      <c r="D8" s="1298">
        <v>9999</v>
      </c>
      <c r="E8" s="1298">
        <v>10949</v>
      </c>
      <c r="F8" s="1298">
        <v>11993</v>
      </c>
      <c r="G8" s="1298">
        <v>13059</v>
      </c>
      <c r="H8" s="6"/>
    </row>
    <row r="9" spans="1:8" ht="29.25" customHeight="1">
      <c r="A9" s="1037" t="s">
        <v>1487</v>
      </c>
      <c r="B9" s="1298">
        <v>5910</v>
      </c>
      <c r="C9" s="1298">
        <v>6354</v>
      </c>
      <c r="D9" s="1298">
        <v>7624</v>
      </c>
      <c r="E9" s="1298">
        <v>8694</v>
      </c>
      <c r="F9" s="1298">
        <v>9837</v>
      </c>
      <c r="G9" s="1298">
        <v>10139</v>
      </c>
      <c r="H9" s="6"/>
    </row>
    <row r="10" spans="1:8" ht="29.25" customHeight="1">
      <c r="A10" s="1037" t="s">
        <v>1492</v>
      </c>
      <c r="B10" s="1298">
        <v>2861</v>
      </c>
      <c r="C10" s="1298">
        <v>3158</v>
      </c>
      <c r="D10" s="1298">
        <v>3603</v>
      </c>
      <c r="E10" s="1298">
        <v>3321</v>
      </c>
      <c r="F10" s="1298">
        <v>4169</v>
      </c>
      <c r="G10" s="1298">
        <v>2349</v>
      </c>
      <c r="H10" s="6"/>
    </row>
    <row r="11" spans="1:8" ht="29.25" customHeight="1">
      <c r="A11" s="1037" t="s">
        <v>1493</v>
      </c>
      <c r="B11" s="1298">
        <v>8089</v>
      </c>
      <c r="C11" s="1298">
        <v>9115</v>
      </c>
      <c r="D11" s="1298">
        <v>9719</v>
      </c>
      <c r="E11" s="1298">
        <v>10860</v>
      </c>
      <c r="F11" s="1298">
        <v>11496</v>
      </c>
      <c r="G11" s="1298" t="s">
        <v>1494</v>
      </c>
      <c r="H11" s="6"/>
    </row>
    <row r="12" spans="1:8" ht="29.25" customHeight="1">
      <c r="A12" s="6" t="s">
        <v>1489</v>
      </c>
      <c r="B12" s="1298" t="s">
        <v>1494</v>
      </c>
      <c r="C12" s="1298" t="s">
        <v>1494</v>
      </c>
      <c r="D12" s="1298">
        <v>386</v>
      </c>
      <c r="E12" s="1298">
        <v>458</v>
      </c>
      <c r="F12" s="1298">
        <v>752</v>
      </c>
      <c r="G12" s="1298">
        <v>562</v>
      </c>
      <c r="H12" s="6"/>
    </row>
    <row r="13" spans="1:8" ht="29.25" customHeight="1">
      <c r="A13" s="6" t="s">
        <v>1490</v>
      </c>
      <c r="B13" s="1298" t="s">
        <v>1494</v>
      </c>
      <c r="C13" s="1298" t="s">
        <v>1494</v>
      </c>
      <c r="D13" s="1298">
        <v>640</v>
      </c>
      <c r="E13" s="1298">
        <v>724</v>
      </c>
      <c r="F13" s="1298">
        <v>1110</v>
      </c>
      <c r="G13" s="1298">
        <v>1143</v>
      </c>
      <c r="H13" s="6"/>
    </row>
    <row r="14" spans="1:8" ht="18.75" customHeight="1"/>
    <row r="15" spans="1:8" ht="18.75" customHeight="1">
      <c r="A15" s="1300" t="s">
        <v>1495</v>
      </c>
      <c r="B15" s="1301">
        <v>201751</v>
      </c>
      <c r="C15" s="1301">
        <v>204911</v>
      </c>
      <c r="D15" s="1301">
        <v>208073</v>
      </c>
      <c r="E15" s="1301">
        <v>211245</v>
      </c>
      <c r="F15" s="1301">
        <v>214417</v>
      </c>
      <c r="G15" s="1301">
        <v>217579</v>
      </c>
    </row>
    <row r="16" spans="1:8" ht="18.75" customHeight="1">
      <c r="A16" s="6"/>
      <c r="B16" s="713"/>
      <c r="C16" s="713"/>
      <c r="D16" s="713"/>
      <c r="E16" s="713"/>
      <c r="F16" s="713"/>
      <c r="G16" s="713"/>
    </row>
    <row r="17" spans="1:10" ht="18.75" customHeight="1">
      <c r="A17" s="1466" t="s">
        <v>1498</v>
      </c>
      <c r="B17" s="1467"/>
      <c r="C17" s="1467"/>
      <c r="D17" s="1467"/>
      <c r="E17" s="1467"/>
      <c r="F17" s="1467"/>
      <c r="G17" s="1467"/>
      <c r="H17" s="1467"/>
    </row>
    <row r="18" spans="1:10" ht="18.75" customHeight="1">
      <c r="A18" s="6"/>
      <c r="B18" s="713"/>
      <c r="C18" s="713"/>
      <c r="D18" s="713"/>
      <c r="E18" s="713"/>
      <c r="F18" s="713"/>
      <c r="G18" s="713"/>
    </row>
    <row r="19" spans="1:10" ht="28.5" customHeight="1">
      <c r="A19" s="6" t="s">
        <v>1491</v>
      </c>
      <c r="B19" s="1299">
        <f>+B6/B$15*100</f>
        <v>13.483948034953977</v>
      </c>
      <c r="C19" s="1299">
        <f t="shared" ref="C19:G19" si="0">+C6/C$15*100</f>
        <v>13.897740970470107</v>
      </c>
      <c r="D19" s="1299">
        <f t="shared" si="0"/>
        <v>14.790962787098758</v>
      </c>
      <c r="E19" s="1299">
        <f t="shared" si="0"/>
        <v>15.157281829155719</v>
      </c>
      <c r="F19" s="1299">
        <f t="shared" si="0"/>
        <v>15.618630985416267</v>
      </c>
      <c r="G19" s="1299">
        <f t="shared" si="0"/>
        <v>15.758414185192503</v>
      </c>
    </row>
    <row r="20" spans="1:10" ht="28.5" customHeight="1">
      <c r="A20" s="1037" t="s">
        <v>1485</v>
      </c>
      <c r="B20" s="1299">
        <f t="shared" ref="B20:G24" si="1">+B7/B$15*100</f>
        <v>10.855460443814405</v>
      </c>
      <c r="C20" s="1299">
        <f t="shared" si="1"/>
        <v>11.762179678006548</v>
      </c>
      <c r="D20" s="1299">
        <f t="shared" si="1"/>
        <v>12.412470623290863</v>
      </c>
      <c r="E20" s="1299">
        <f t="shared" si="1"/>
        <v>12.539941773769794</v>
      </c>
      <c r="F20" s="1299">
        <f t="shared" si="1"/>
        <v>13.009229678616901</v>
      </c>
      <c r="G20" s="1299">
        <f t="shared" si="1"/>
        <v>13.115236304974283</v>
      </c>
    </row>
    <row r="21" spans="1:10" ht="28.5" customHeight="1">
      <c r="A21" s="1037" t="s">
        <v>1486</v>
      </c>
      <c r="B21" s="1299">
        <f t="shared" si="1"/>
        <v>4.1209213337232526</v>
      </c>
      <c r="C21" s="1299">
        <f t="shared" si="1"/>
        <v>4.4189916597937637</v>
      </c>
      <c r="D21" s="1299">
        <f t="shared" si="1"/>
        <v>4.8055249840200309</v>
      </c>
      <c r="E21" s="1299">
        <f t="shared" si="1"/>
        <v>5.1830812563610973</v>
      </c>
      <c r="F21" s="1299">
        <f t="shared" si="1"/>
        <v>5.5933065008837923</v>
      </c>
      <c r="G21" s="1299">
        <f t="shared" si="1"/>
        <v>6.0019579095409021</v>
      </c>
    </row>
    <row r="22" spans="1:10" ht="28.5" customHeight="1">
      <c r="A22" s="1037" t="s">
        <v>1487</v>
      </c>
      <c r="B22" s="1299">
        <f t="shared" si="1"/>
        <v>2.929353510019777</v>
      </c>
      <c r="C22" s="1299">
        <f t="shared" si="1"/>
        <v>3.1008584214610244</v>
      </c>
      <c r="D22" s="1299">
        <f t="shared" si="1"/>
        <v>3.66409865768264</v>
      </c>
      <c r="E22" s="1299">
        <f t="shared" si="1"/>
        <v>4.1156003692395089</v>
      </c>
      <c r="F22" s="1299">
        <f t="shared" si="1"/>
        <v>4.587789214474598</v>
      </c>
      <c r="G22" s="1299">
        <f t="shared" si="1"/>
        <v>4.6599166279833995</v>
      </c>
    </row>
    <row r="23" spans="1:10" ht="28.5" customHeight="1">
      <c r="A23" s="1037" t="s">
        <v>1492</v>
      </c>
      <c r="B23" s="1299">
        <f t="shared" si="1"/>
        <v>1.4180846687253099</v>
      </c>
      <c r="C23" s="1299">
        <f t="shared" si="1"/>
        <v>1.5411568925045507</v>
      </c>
      <c r="D23" s="1299">
        <f t="shared" si="1"/>
        <v>1.7316038121236297</v>
      </c>
      <c r="E23" s="1299">
        <f t="shared" si="1"/>
        <v>1.5721082155790669</v>
      </c>
      <c r="F23" s="1299">
        <f t="shared" si="1"/>
        <v>1.9443420997402256</v>
      </c>
      <c r="G23" s="1299">
        <f t="shared" si="1"/>
        <v>1.0796078665680051</v>
      </c>
    </row>
    <row r="24" spans="1:10" ht="28.5" customHeight="1">
      <c r="A24" s="1037" t="s">
        <v>1493</v>
      </c>
      <c r="B24" s="1299">
        <f t="shared" si="1"/>
        <v>4.0093977229356978</v>
      </c>
      <c r="C24" s="1299">
        <f t="shared" si="1"/>
        <v>4.4482726647178534</v>
      </c>
      <c r="D24" s="1299">
        <f t="shared" si="1"/>
        <v>4.6709568276518336</v>
      </c>
      <c r="E24" s="1299">
        <f t="shared" si="1"/>
        <v>5.1409500816587377</v>
      </c>
      <c r="F24" s="1299">
        <f t="shared" si="1"/>
        <v>5.3615151783673864</v>
      </c>
      <c r="G24" s="1299" t="s">
        <v>1497</v>
      </c>
    </row>
    <row r="25" spans="1:10" ht="28.5" customHeight="1">
      <c r="A25" s="6" t="s">
        <v>1489</v>
      </c>
      <c r="B25" s="1299" t="s">
        <v>1497</v>
      </c>
      <c r="C25" s="1299" t="s">
        <v>1497</v>
      </c>
      <c r="D25" s="1299">
        <f t="shared" ref="D25:G25" si="2">+D12/D$15*100</f>
        <v>0.1855118155647297</v>
      </c>
      <c r="E25" s="1299">
        <f t="shared" si="2"/>
        <v>0.21680986532225613</v>
      </c>
      <c r="F25" s="1299">
        <f t="shared" si="2"/>
        <v>0.35071845982361471</v>
      </c>
      <c r="G25" s="1299">
        <f t="shared" si="2"/>
        <v>0.2582969863819578</v>
      </c>
    </row>
    <row r="26" spans="1:10" ht="28.5" customHeight="1">
      <c r="A26" s="6" t="s">
        <v>1490</v>
      </c>
      <c r="B26" s="1299" t="s">
        <v>1497</v>
      </c>
      <c r="C26" s="1299" t="s">
        <v>1497</v>
      </c>
      <c r="D26" s="1299">
        <f t="shared" ref="D26:G26" si="3">+D13/D$15*100</f>
        <v>0.30758435741302331</v>
      </c>
      <c r="E26" s="1299">
        <f t="shared" si="3"/>
        <v>0.34273000544391585</v>
      </c>
      <c r="F26" s="1299">
        <f t="shared" si="3"/>
        <v>0.51768283298432494</v>
      </c>
      <c r="G26" s="1299">
        <f t="shared" si="3"/>
        <v>0.52532643315761174</v>
      </c>
    </row>
    <row r="27" spans="1:10" ht="18.75" customHeight="1">
      <c r="A27" s="6"/>
      <c r="B27" s="713"/>
      <c r="C27" s="713"/>
      <c r="D27" s="713"/>
      <c r="E27" s="713"/>
      <c r="F27" s="713"/>
      <c r="G27" s="713"/>
    </row>
    <row r="28" spans="1:10" ht="18.75" customHeight="1">
      <c r="A28" s="6"/>
      <c r="B28" s="713"/>
      <c r="C28" s="713"/>
      <c r="D28" s="713"/>
      <c r="E28" s="713"/>
      <c r="F28" s="713"/>
      <c r="G28" s="713"/>
    </row>
    <row r="29" spans="1:10" ht="18.75" customHeight="1">
      <c r="A29" s="6"/>
      <c r="B29" s="713"/>
      <c r="C29" s="713"/>
      <c r="D29" s="713"/>
      <c r="E29" s="713"/>
      <c r="F29" s="713"/>
      <c r="G29" s="713"/>
      <c r="J29" s="1303"/>
    </row>
    <row r="30" spans="1:10" ht="18.75" customHeight="1">
      <c r="A30" s="6"/>
      <c r="B30" s="713"/>
      <c r="C30" s="713"/>
      <c r="D30" s="713"/>
      <c r="E30" s="713"/>
      <c r="F30" s="713"/>
      <c r="G30" s="713"/>
    </row>
    <row r="31" spans="1:10" ht="18.75" customHeight="1">
      <c r="A31" s="6"/>
      <c r="B31" s="713"/>
      <c r="C31" s="713"/>
      <c r="D31" s="713"/>
      <c r="E31" s="713"/>
      <c r="F31" s="713"/>
      <c r="G31" s="713"/>
    </row>
    <row r="32" spans="1:10" ht="18.75" customHeight="1">
      <c r="A32" s="6"/>
      <c r="B32" s="713"/>
      <c r="C32" s="713"/>
      <c r="D32" s="713"/>
      <c r="E32" s="713"/>
      <c r="F32" s="713"/>
      <c r="G32" s="713"/>
    </row>
    <row r="33" spans="1:7" ht="18.75" customHeight="1">
      <c r="A33" s="6"/>
      <c r="B33" s="713"/>
      <c r="C33" s="713"/>
      <c r="D33" s="713"/>
      <c r="E33" s="713"/>
      <c r="F33" s="713"/>
      <c r="G33" s="713"/>
    </row>
    <row r="34" spans="1:7" ht="18.75" customHeight="1">
      <c r="A34" s="6"/>
      <c r="B34" s="713"/>
      <c r="C34" s="713"/>
      <c r="D34" s="713"/>
      <c r="E34" s="713"/>
      <c r="F34" s="713"/>
      <c r="G34" s="713"/>
    </row>
    <row r="35" spans="1:7" ht="18.75" customHeight="1">
      <c r="A35" s="6"/>
      <c r="B35" s="713"/>
      <c r="C35" s="713"/>
      <c r="D35" s="713"/>
      <c r="E35" s="713"/>
      <c r="F35" s="713"/>
      <c r="G35" s="713"/>
    </row>
    <row r="36" spans="1:7" ht="18.75" customHeight="1"/>
    <row r="37" spans="1:7" ht="18.75" customHeight="1"/>
    <row r="48" spans="1:7">
      <c r="B48" s="713"/>
      <c r="C48" s="713"/>
      <c r="D48" s="713"/>
      <c r="E48" s="713"/>
      <c r="F48" s="713"/>
      <c r="G48" s="713"/>
    </row>
    <row r="49" spans="2:7">
      <c r="B49" s="713"/>
      <c r="C49" s="713"/>
      <c r="D49" s="713"/>
      <c r="E49" s="713"/>
      <c r="F49" s="713"/>
      <c r="G49" s="713"/>
    </row>
    <row r="50" spans="2:7">
      <c r="B50" s="713"/>
      <c r="C50" s="713"/>
      <c r="D50" s="713"/>
      <c r="E50" s="713"/>
      <c r="F50" s="713"/>
      <c r="G50" s="713"/>
    </row>
    <row r="51" spans="2:7">
      <c r="B51" s="713"/>
      <c r="C51" s="713"/>
      <c r="D51" s="713"/>
      <c r="E51" s="713"/>
      <c r="F51" s="713"/>
      <c r="G51" s="713"/>
    </row>
    <row r="52" spans="2:7">
      <c r="B52" s="713"/>
      <c r="C52" s="713"/>
      <c r="D52" s="713"/>
      <c r="E52" s="713"/>
      <c r="F52" s="713"/>
      <c r="G52" s="713"/>
    </row>
    <row r="53" spans="2:7">
      <c r="B53" s="713"/>
      <c r="C53" s="713"/>
      <c r="D53" s="713"/>
      <c r="E53" s="713"/>
      <c r="F53" s="713"/>
      <c r="G53" s="713"/>
    </row>
    <row r="70" spans="2:7">
      <c r="B70" s="713"/>
      <c r="C70" s="713"/>
      <c r="D70" s="713"/>
      <c r="E70" s="713"/>
      <c r="F70" s="713"/>
      <c r="G70"/>
    </row>
    <row r="71" spans="2:7">
      <c r="B71" s="713"/>
      <c r="C71" s="713"/>
      <c r="D71" s="713"/>
      <c r="E71" s="713"/>
      <c r="F71" s="713"/>
      <c r="G71" s="713"/>
    </row>
    <row r="72" spans="2:7">
      <c r="B72" s="713"/>
      <c r="C72" s="713"/>
      <c r="D72" s="713"/>
      <c r="E72" s="713"/>
      <c r="F72" s="713"/>
      <c r="G72" s="713"/>
    </row>
    <row r="73" spans="2:7">
      <c r="B73" s="713"/>
      <c r="C73" s="713"/>
      <c r="D73" s="713"/>
      <c r="E73" s="713"/>
      <c r="F73" s="713"/>
      <c r="G73" s="713"/>
    </row>
    <row r="74" spans="2:7">
      <c r="B74" s="713"/>
      <c r="C74" s="713"/>
      <c r="D74" s="713"/>
      <c r="E74" s="713"/>
      <c r="F74" s="713"/>
      <c r="G74" s="713"/>
    </row>
    <row r="75" spans="2:7">
      <c r="B75" s="713"/>
      <c r="C75" s="713"/>
      <c r="D75" s="713"/>
      <c r="E75" s="713"/>
      <c r="F75" s="713"/>
      <c r="G75" s="713"/>
    </row>
    <row r="92" spans="2:7">
      <c r="B92" s="713"/>
      <c r="C92" s="713"/>
      <c r="D92" s="713"/>
      <c r="E92" s="713"/>
      <c r="F92" s="713"/>
      <c r="G92"/>
    </row>
    <row r="93" spans="2:7">
      <c r="B93" s="713"/>
      <c r="C93" s="713"/>
      <c r="D93" s="713"/>
      <c r="E93" s="713"/>
      <c r="F93" s="713"/>
      <c r="G93" s="713"/>
    </row>
    <row r="94" spans="2:7">
      <c r="B94" s="713"/>
      <c r="C94" s="713"/>
      <c r="D94" s="713"/>
      <c r="E94" s="713"/>
      <c r="F94" s="713"/>
      <c r="G94" s="713"/>
    </row>
    <row r="95" spans="2:7">
      <c r="B95" s="713"/>
      <c r="C95" s="713"/>
      <c r="D95" s="713"/>
      <c r="E95" s="713"/>
      <c r="F95" s="713"/>
      <c r="G95" s="713"/>
    </row>
    <row r="96" spans="2:7">
      <c r="B96" s="713"/>
      <c r="C96" s="713"/>
      <c r="D96" s="713"/>
      <c r="E96" s="713"/>
      <c r="F96" s="713"/>
      <c r="G96" s="713"/>
    </row>
    <row r="97" spans="2:7">
      <c r="B97" s="713"/>
      <c r="C97" s="713"/>
      <c r="D97" s="713"/>
      <c r="E97" s="713"/>
      <c r="F97" s="713"/>
      <c r="G97" s="713"/>
    </row>
    <row r="98" spans="2:7">
      <c r="B98" s="1312"/>
      <c r="C98" s="1312"/>
      <c r="D98" s="1312"/>
      <c r="E98" s="1312"/>
      <c r="F98" s="1312"/>
      <c r="G98" s="1312"/>
    </row>
    <row r="99" spans="2:7">
      <c r="B99" s="1312"/>
      <c r="C99" s="1312"/>
      <c r="D99" s="1312"/>
      <c r="E99" s="1312"/>
      <c r="F99" s="1312"/>
      <c r="G99" s="1312"/>
    </row>
    <row r="100" spans="2:7">
      <c r="B100" s="1312"/>
      <c r="C100" s="1312"/>
      <c r="D100" s="1312"/>
      <c r="E100" s="1312"/>
      <c r="F100" s="1312"/>
      <c r="G100" s="1312"/>
    </row>
    <row r="101" spans="2:7">
      <c r="B101" s="1312"/>
      <c r="C101" s="1312"/>
      <c r="D101" s="1312"/>
      <c r="E101" s="1312"/>
      <c r="F101" s="1312"/>
      <c r="G101" s="1312"/>
    </row>
    <row r="102" spans="2:7">
      <c r="B102" s="1312"/>
      <c r="C102" s="1312"/>
      <c r="D102" s="1312"/>
      <c r="E102" s="1312"/>
      <c r="F102" s="1312"/>
      <c r="G102" s="1312"/>
    </row>
    <row r="103" spans="2:7">
      <c r="B103" s="1312"/>
      <c r="C103" s="1312"/>
      <c r="D103" s="1312"/>
      <c r="E103" s="1312"/>
      <c r="F103" s="1312"/>
      <c r="G103" s="1312"/>
    </row>
    <row r="104" spans="2:7">
      <c r="B104" s="1312"/>
      <c r="C104" s="1312"/>
      <c r="D104" s="1312"/>
      <c r="E104" s="1312"/>
      <c r="F104" s="1312"/>
      <c r="G104" s="1312"/>
    </row>
    <row r="105" spans="2:7">
      <c r="B105" s="1312"/>
      <c r="C105" s="1312"/>
      <c r="D105" s="1312"/>
      <c r="E105" s="1312"/>
      <c r="F105" s="1312"/>
      <c r="G105" s="1312"/>
    </row>
    <row r="106" spans="2:7">
      <c r="B106" s="1312"/>
      <c r="C106" s="1312"/>
      <c r="D106" s="1312"/>
      <c r="E106" s="1312"/>
      <c r="F106" s="1312"/>
      <c r="G106" s="1312"/>
    </row>
    <row r="107" spans="2:7">
      <c r="B107" s="1312"/>
      <c r="C107" s="1312"/>
      <c r="D107" s="1312"/>
      <c r="E107" s="1312"/>
      <c r="F107" s="1312"/>
      <c r="G107" s="1312"/>
    </row>
    <row r="108" spans="2:7">
      <c r="B108" s="1312"/>
      <c r="C108" s="1312"/>
      <c r="D108" s="1312"/>
      <c r="E108" s="1312"/>
      <c r="F108" s="1312"/>
      <c r="G108" s="1312"/>
    </row>
    <row r="109" spans="2:7">
      <c r="B109" s="1312"/>
      <c r="C109" s="1312"/>
      <c r="D109" s="1312"/>
      <c r="E109" s="1312"/>
      <c r="F109" s="1312"/>
      <c r="G109" s="1312"/>
    </row>
    <row r="110" spans="2:7">
      <c r="B110" s="1312"/>
      <c r="C110" s="1312"/>
      <c r="D110" s="1312"/>
      <c r="E110" s="1312"/>
      <c r="F110" s="1312"/>
      <c r="G110" s="1312"/>
    </row>
    <row r="111" spans="2:7">
      <c r="B111" s="1312"/>
      <c r="C111" s="1312"/>
      <c r="D111" s="1312"/>
      <c r="E111" s="1312"/>
      <c r="F111" s="1312"/>
      <c r="G111" s="1312"/>
    </row>
  </sheetData>
  <mergeCells count="3">
    <mergeCell ref="A1:H1"/>
    <mergeCell ref="A2:H2"/>
    <mergeCell ref="A17:H17"/>
  </mergeCells>
  <dataValidations count="1">
    <dataValidation allowBlank="1" showInputMessage="1" showErrorMessage="1" errorTitle="Error" error="Por favor ingrese números enteros" sqref="A1:A4 A17"/>
  </dataValidations>
  <pageMargins left="0.78740157480314965" right="0.59055118110236227" top="0.59055118110236227" bottom="0.78740157480314965" header="0" footer="0"/>
  <pageSetup paperSize="5" scale="89" orientation="landscape" horizontalDpi="300" verticalDpi="300"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85"/>
  <sheetViews>
    <sheetView topLeftCell="A78" workbookViewId="0">
      <selection activeCell="H24" sqref="H7:H24"/>
    </sheetView>
  </sheetViews>
  <sheetFormatPr baseColWidth="10" defaultRowHeight="12.75"/>
  <cols>
    <col min="1" max="1" width="13.7109375" customWidth="1"/>
    <col min="2" max="2" width="20.28515625" customWidth="1"/>
    <col min="3" max="7" width="9.5703125" customWidth="1"/>
  </cols>
  <sheetData>
    <row r="3" spans="1:8">
      <c r="A3" t="s">
        <v>1222</v>
      </c>
    </row>
    <row r="5" spans="1:8" ht="25.5">
      <c r="A5" s="119" t="s">
        <v>1228</v>
      </c>
      <c r="B5" s="672" t="s">
        <v>8</v>
      </c>
      <c r="C5" s="224">
        <v>2010</v>
      </c>
      <c r="D5" s="224">
        <v>2011</v>
      </c>
      <c r="E5" s="224">
        <v>2012</v>
      </c>
      <c r="F5" s="224">
        <v>2013</v>
      </c>
      <c r="G5" s="224">
        <v>2014</v>
      </c>
      <c r="H5" s="224">
        <v>2015</v>
      </c>
    </row>
    <row r="6" spans="1:8">
      <c r="A6" s="673"/>
      <c r="B6" s="674"/>
      <c r="C6" s="311"/>
      <c r="D6" s="311"/>
      <c r="E6" s="311"/>
      <c r="F6" s="311"/>
      <c r="G6" s="311"/>
      <c r="H6" s="311"/>
    </row>
    <row r="7" spans="1:8">
      <c r="A7" s="251" t="s">
        <v>962</v>
      </c>
      <c r="B7" s="299" t="s">
        <v>1432</v>
      </c>
      <c r="C7" s="675">
        <v>10788</v>
      </c>
      <c r="D7" s="675">
        <v>9533</v>
      </c>
      <c r="E7" s="675">
        <v>9557</v>
      </c>
      <c r="F7" s="675">
        <v>9539</v>
      </c>
      <c r="G7" s="675">
        <v>9524</v>
      </c>
      <c r="H7" s="675">
        <f>+SUM('8'!$D$11:$I$13)-H9</f>
        <v>9527</v>
      </c>
    </row>
    <row r="8" spans="1:8">
      <c r="A8" s="251"/>
      <c r="B8" s="299" t="s">
        <v>1433</v>
      </c>
      <c r="C8" s="676">
        <v>11157</v>
      </c>
      <c r="D8" s="676">
        <v>11126</v>
      </c>
      <c r="E8" s="676">
        <v>11175</v>
      </c>
      <c r="F8" s="676">
        <v>11153</v>
      </c>
      <c r="G8" s="676">
        <v>11128</v>
      </c>
      <c r="H8" s="675">
        <f>+SUM('8'!$D$10:$I$10)+SUM('8'!$D$14:$I$14)</f>
        <v>11078</v>
      </c>
    </row>
    <row r="9" spans="1:8">
      <c r="A9" s="251"/>
      <c r="B9" s="299" t="s">
        <v>399</v>
      </c>
      <c r="C9" s="676"/>
      <c r="D9" s="676">
        <v>1260</v>
      </c>
      <c r="E9" s="676">
        <v>1198</v>
      </c>
      <c r="F9" s="676">
        <v>1196</v>
      </c>
      <c r="G9" s="676">
        <v>1194</v>
      </c>
      <c r="H9" s="676">
        <f>SUM('8'!$D$12:$I$12)</f>
        <v>1194</v>
      </c>
    </row>
    <row r="10" spans="1:8">
      <c r="A10" s="251" t="s">
        <v>636</v>
      </c>
      <c r="B10" s="299" t="s">
        <v>1444</v>
      </c>
      <c r="C10" s="676">
        <v>5111</v>
      </c>
      <c r="D10" s="676">
        <v>5069</v>
      </c>
      <c r="E10" s="676">
        <v>5026</v>
      </c>
      <c r="F10" s="676">
        <v>3999</v>
      </c>
      <c r="G10" s="676">
        <v>3963</v>
      </c>
      <c r="H10" s="676">
        <f>SUM('8'!$D$17:$I$17)-H11</f>
        <v>3924</v>
      </c>
    </row>
    <row r="11" spans="1:8">
      <c r="A11" s="251"/>
      <c r="B11" s="299" t="s">
        <v>1263</v>
      </c>
      <c r="C11" s="676"/>
      <c r="D11" s="676"/>
      <c r="E11" s="676"/>
      <c r="F11" s="676">
        <v>981</v>
      </c>
      <c r="G11" s="676">
        <v>975</v>
      </c>
      <c r="H11" s="676">
        <f>SUM('8'!$D$20:$I$20)</f>
        <v>972</v>
      </c>
    </row>
    <row r="12" spans="1:8">
      <c r="A12" s="251" t="s">
        <v>859</v>
      </c>
      <c r="B12" s="299" t="s">
        <v>1434</v>
      </c>
      <c r="C12" s="676">
        <v>3402</v>
      </c>
      <c r="D12" s="676">
        <v>3348</v>
      </c>
      <c r="E12" s="676">
        <v>3288</v>
      </c>
      <c r="F12" s="676">
        <v>3233</v>
      </c>
      <c r="G12" s="676">
        <v>3174</v>
      </c>
      <c r="H12" s="676">
        <f>SUM('8'!$D$25:$I$25)</f>
        <v>3118</v>
      </c>
    </row>
    <row r="13" spans="1:8">
      <c r="A13" s="251" t="s">
        <v>637</v>
      </c>
      <c r="B13" s="299" t="s">
        <v>1435</v>
      </c>
      <c r="C13" s="676">
        <v>2371</v>
      </c>
      <c r="D13" s="676">
        <v>2349</v>
      </c>
      <c r="E13" s="676">
        <v>2329</v>
      </c>
      <c r="F13" s="676">
        <v>2307</v>
      </c>
      <c r="G13" s="676">
        <v>2286</v>
      </c>
      <c r="H13" s="676">
        <f>SUM('8'!$D$29:$I$29)</f>
        <v>2264</v>
      </c>
    </row>
    <row r="14" spans="1:8">
      <c r="A14" s="251" t="s">
        <v>638</v>
      </c>
      <c r="B14" s="299" t="s">
        <v>1443</v>
      </c>
      <c r="C14" s="676">
        <v>10824</v>
      </c>
      <c r="D14" s="676">
        <v>10793</v>
      </c>
      <c r="E14" s="676">
        <v>10886</v>
      </c>
      <c r="F14" s="676">
        <v>10864</v>
      </c>
      <c r="G14" s="676">
        <v>10843</v>
      </c>
      <c r="H14" s="676">
        <f>SUM('8'!$D$38:$I$38)</f>
        <v>10012</v>
      </c>
    </row>
    <row r="15" spans="1:8">
      <c r="A15" s="251"/>
      <c r="B15" s="299" t="s">
        <v>1442</v>
      </c>
      <c r="C15" s="675">
        <v>11463</v>
      </c>
      <c r="D15" s="675">
        <v>11448</v>
      </c>
      <c r="E15" s="675">
        <v>11403</v>
      </c>
      <c r="F15" s="675">
        <v>10235</v>
      </c>
      <c r="G15" s="675">
        <v>10208</v>
      </c>
      <c r="H15" s="676">
        <f>SUM('8'!$D$37:$I$37)-H17-H14-H16</f>
        <v>10821</v>
      </c>
    </row>
    <row r="16" spans="1:8">
      <c r="A16" s="251"/>
      <c r="B16" s="299" t="s">
        <v>1302</v>
      </c>
      <c r="C16" s="675"/>
      <c r="D16" s="675"/>
      <c r="E16" s="675"/>
      <c r="F16" s="675">
        <v>1144</v>
      </c>
      <c r="G16" s="675">
        <v>1143</v>
      </c>
      <c r="H16" s="676">
        <f>SUM('8'!$D$41:$I$41)</f>
        <v>1135</v>
      </c>
    </row>
    <row r="17" spans="1:11">
      <c r="A17" s="251"/>
      <c r="B17" s="299" t="s">
        <v>1436</v>
      </c>
      <c r="C17" s="675">
        <v>2277</v>
      </c>
      <c r="D17" s="675">
        <v>2267</v>
      </c>
      <c r="E17" s="675">
        <v>2172</v>
      </c>
      <c r="F17" s="675">
        <v>2170</v>
      </c>
      <c r="G17" s="675">
        <v>2168</v>
      </c>
      <c r="H17" s="676">
        <f>SUM('8'!$D$40:$I$40)</f>
        <v>2343</v>
      </c>
    </row>
    <row r="18" spans="1:11">
      <c r="A18" s="251" t="s">
        <v>639</v>
      </c>
      <c r="B18" s="299" t="s">
        <v>1437</v>
      </c>
      <c r="C18" s="676">
        <v>5288</v>
      </c>
      <c r="D18" s="676">
        <v>5263</v>
      </c>
      <c r="E18" s="676">
        <v>5237</v>
      </c>
      <c r="F18" s="676">
        <v>5212</v>
      </c>
      <c r="G18" s="676">
        <v>5187</v>
      </c>
      <c r="H18" s="676">
        <f>SUM('8'!$D$43:$I$43)</f>
        <v>5159</v>
      </c>
    </row>
    <row r="19" spans="1:11">
      <c r="A19" s="251" t="s">
        <v>861</v>
      </c>
      <c r="B19" s="299" t="s">
        <v>1438</v>
      </c>
      <c r="C19" s="676">
        <v>4643</v>
      </c>
      <c r="D19" s="676">
        <v>4086</v>
      </c>
      <c r="E19" s="676">
        <v>4049</v>
      </c>
      <c r="F19" s="676">
        <v>4024</v>
      </c>
      <c r="G19" s="676">
        <v>3996</v>
      </c>
      <c r="H19" s="676">
        <f>SUM('8'!$D$56:$I$56)-H20</f>
        <v>3972</v>
      </c>
    </row>
    <row r="20" spans="1:11">
      <c r="A20" s="251"/>
      <c r="B20" s="299" t="s">
        <v>400</v>
      </c>
      <c r="C20" s="676"/>
      <c r="D20" s="676">
        <v>530</v>
      </c>
      <c r="E20" s="676">
        <v>536</v>
      </c>
      <c r="F20" s="676">
        <v>531</v>
      </c>
      <c r="G20" s="676">
        <v>531</v>
      </c>
      <c r="H20" s="676">
        <f>SUM('8'!$D$58:$I$58)</f>
        <v>528</v>
      </c>
    </row>
    <row r="21" spans="1:11">
      <c r="A21" s="251" t="s">
        <v>641</v>
      </c>
      <c r="B21" s="299" t="s">
        <v>1439</v>
      </c>
      <c r="C21" s="676">
        <v>2409</v>
      </c>
      <c r="D21" s="676">
        <v>2384</v>
      </c>
      <c r="E21" s="676">
        <v>2363</v>
      </c>
      <c r="F21" s="676">
        <v>2341</v>
      </c>
      <c r="G21" s="676">
        <v>2319</v>
      </c>
      <c r="H21" s="676">
        <f>SUM('8'!$D$61:$I$61)</f>
        <v>2293</v>
      </c>
    </row>
    <row r="22" spans="1:11">
      <c r="A22" s="251" t="s">
        <v>642</v>
      </c>
      <c r="B22" s="299" t="s">
        <v>1440</v>
      </c>
      <c r="C22" s="676">
        <v>7292</v>
      </c>
      <c r="D22" s="676">
        <v>7197</v>
      </c>
      <c r="E22" s="676">
        <v>7099</v>
      </c>
      <c r="F22" s="676">
        <v>7005</v>
      </c>
      <c r="G22" s="676">
        <v>6910</v>
      </c>
      <c r="H22" s="676">
        <f>SUM('8'!$D$67:$I$67)</f>
        <v>6814</v>
      </c>
    </row>
    <row r="23" spans="1:11">
      <c r="A23" s="251" t="s">
        <v>643</v>
      </c>
      <c r="B23" s="299" t="s">
        <v>1441</v>
      </c>
      <c r="C23" s="676">
        <v>4148</v>
      </c>
      <c r="D23" s="676">
        <v>4099</v>
      </c>
      <c r="E23" s="676">
        <v>4045</v>
      </c>
      <c r="F23" s="676">
        <v>3577</v>
      </c>
      <c r="G23" s="676">
        <v>3529</v>
      </c>
      <c r="H23" s="676">
        <f>SUM('8'!$D$73:$I$73)-H24</f>
        <v>3487</v>
      </c>
    </row>
    <row r="24" spans="1:11">
      <c r="A24" s="251"/>
      <c r="B24" s="299" t="s">
        <v>1264</v>
      </c>
      <c r="C24" s="196"/>
      <c r="D24" s="196"/>
      <c r="E24" s="196"/>
      <c r="F24" s="676">
        <v>420</v>
      </c>
      <c r="G24" s="1142">
        <v>420</v>
      </c>
      <c r="H24" s="676">
        <f>SUM('8'!$D$75:$I$75)</f>
        <v>410</v>
      </c>
    </row>
    <row r="25" spans="1:11">
      <c r="A25" s="677" t="s">
        <v>644</v>
      </c>
      <c r="B25" s="302"/>
      <c r="C25" s="678">
        <f t="shared" ref="C25:H25" si="0">SUM(C7:C24)</f>
        <v>81173</v>
      </c>
      <c r="D25" s="678">
        <f t="shared" si="0"/>
        <v>80752</v>
      </c>
      <c r="E25" s="678">
        <f t="shared" si="0"/>
        <v>80363</v>
      </c>
      <c r="F25" s="678">
        <f t="shared" si="0"/>
        <v>79931</v>
      </c>
      <c r="G25" s="678">
        <f t="shared" si="0"/>
        <v>79498</v>
      </c>
      <c r="H25" s="678">
        <f t="shared" si="0"/>
        <v>79051</v>
      </c>
    </row>
    <row r="26" spans="1:11">
      <c r="A26" t="s">
        <v>9</v>
      </c>
      <c r="C26" s="1046"/>
      <c r="D26" s="153"/>
      <c r="E26" s="1046"/>
      <c r="F26" s="153"/>
      <c r="G26" s="1046"/>
    </row>
    <row r="28" spans="1:11">
      <c r="A28" t="s">
        <v>10</v>
      </c>
    </row>
    <row r="29" spans="1:11" ht="25.5">
      <c r="A29" s="119" t="s">
        <v>1228</v>
      </c>
      <c r="B29" s="672" t="s">
        <v>8</v>
      </c>
      <c r="C29" s="224">
        <v>2010</v>
      </c>
      <c r="D29" s="224">
        <v>2011</v>
      </c>
      <c r="E29" s="224">
        <v>2012</v>
      </c>
      <c r="F29" s="224">
        <v>2013</v>
      </c>
      <c r="G29" s="224">
        <v>2014</v>
      </c>
      <c r="H29" s="224">
        <f t="shared" ref="H29" si="1">+H5</f>
        <v>2015</v>
      </c>
      <c r="I29" s="240"/>
    </row>
    <row r="30" spans="1:11">
      <c r="A30" s="673"/>
      <c r="B30" s="674"/>
      <c r="C30" s="311"/>
      <c r="D30" s="311"/>
      <c r="E30" s="311"/>
      <c r="F30" s="311"/>
      <c r="G30" s="311"/>
      <c r="H30" s="311"/>
    </row>
    <row r="31" spans="1:11">
      <c r="A31" s="251" t="s">
        <v>962</v>
      </c>
      <c r="B31" s="299" t="s">
        <v>1432</v>
      </c>
      <c r="C31" s="679">
        <v>2632</v>
      </c>
      <c r="D31" s="680">
        <v>3696</v>
      </c>
      <c r="E31" s="680">
        <v>4915</v>
      </c>
      <c r="F31" s="680">
        <v>4929</v>
      </c>
      <c r="G31" s="680">
        <v>3961</v>
      </c>
      <c r="H31" s="681">
        <f>+SUM([9]A09!$E$21:$L$26)+SUM([11]A09!$E$21:$L$26)</f>
        <v>7063</v>
      </c>
      <c r="K31" s="682"/>
    </row>
    <row r="32" spans="1:11">
      <c r="A32" s="251"/>
      <c r="B32" s="299" t="s">
        <v>1433</v>
      </c>
      <c r="C32" s="679">
        <v>8867</v>
      </c>
      <c r="D32" s="680">
        <v>2815</v>
      </c>
      <c r="E32" s="680">
        <v>5400</v>
      </c>
      <c r="F32" s="680">
        <v>4355</v>
      </c>
      <c r="G32" s="680">
        <v>4279</v>
      </c>
      <c r="H32" s="681">
        <f>+SUM([12]A09!$E$21:$L$26)</f>
        <v>3923</v>
      </c>
      <c r="K32" s="682"/>
    </row>
    <row r="33" spans="1:11">
      <c r="A33" s="251"/>
      <c r="B33" s="299" t="s">
        <v>399</v>
      </c>
      <c r="C33" s="679"/>
      <c r="D33" s="680"/>
      <c r="E33" s="680">
        <v>1159</v>
      </c>
      <c r="F33" s="680">
        <v>995</v>
      </c>
      <c r="G33" s="680">
        <v>1109</v>
      </c>
      <c r="H33" s="681">
        <f>+SUM([10]A09!$E$21:$L$26)</f>
        <v>1537</v>
      </c>
    </row>
    <row r="34" spans="1:11">
      <c r="A34" s="251" t="s">
        <v>636</v>
      </c>
      <c r="B34" s="299" t="s">
        <v>1444</v>
      </c>
      <c r="C34" s="679">
        <v>2012</v>
      </c>
      <c r="D34" s="680">
        <v>3534</v>
      </c>
      <c r="E34" s="680">
        <v>3498</v>
      </c>
      <c r="F34" s="680">
        <v>3440</v>
      </c>
      <c r="G34" s="680">
        <v>3278</v>
      </c>
      <c r="H34" s="681">
        <f>+SUM([13]A09!$E$21:$L$26)+SUM([15]A09!$E$21:$L$26)</f>
        <v>4864</v>
      </c>
      <c r="J34" s="682"/>
    </row>
    <row r="35" spans="1:11">
      <c r="A35" s="251"/>
      <c r="B35" s="299" t="s">
        <v>1263</v>
      </c>
      <c r="C35" s="679"/>
      <c r="D35" s="680"/>
      <c r="E35" s="680"/>
      <c r="F35" s="680">
        <v>1326</v>
      </c>
      <c r="G35" s="680">
        <v>1071</v>
      </c>
      <c r="H35" s="681">
        <f>+SUM([14]A09!$E$21:$L$26)</f>
        <v>1225</v>
      </c>
      <c r="J35" s="682"/>
    </row>
    <row r="36" spans="1:11">
      <c r="A36" s="251" t="s">
        <v>859</v>
      </c>
      <c r="B36" s="299" t="s">
        <v>1434</v>
      </c>
      <c r="C36" s="679">
        <v>5471</v>
      </c>
      <c r="D36" s="680">
        <v>4819</v>
      </c>
      <c r="E36" s="680">
        <v>3986</v>
      </c>
      <c r="F36" s="680">
        <v>4989</v>
      </c>
      <c r="G36" s="680">
        <v>3302</v>
      </c>
      <c r="H36" s="681">
        <f>+SUM([16]A09!$E$21:$L$26)+SUM([17]A09!$E$21:$L$26)</f>
        <v>7225</v>
      </c>
      <c r="J36" s="682"/>
    </row>
    <row r="37" spans="1:11">
      <c r="A37" s="251" t="s">
        <v>637</v>
      </c>
      <c r="B37" s="299" t="s">
        <v>1435</v>
      </c>
      <c r="C37" s="679">
        <v>5298</v>
      </c>
      <c r="D37" s="680">
        <v>5302</v>
      </c>
      <c r="E37" s="680">
        <v>9398</v>
      </c>
      <c r="F37" s="680">
        <v>9451</v>
      </c>
      <c r="G37" s="680">
        <v>5221</v>
      </c>
      <c r="H37" s="681">
        <f>+SUM([18]A09!$E$21:$L$26)</f>
        <v>7177</v>
      </c>
    </row>
    <row r="38" spans="1:11">
      <c r="A38" s="251" t="s">
        <v>638</v>
      </c>
      <c r="B38" s="299" t="s">
        <v>1443</v>
      </c>
      <c r="C38" s="679">
        <v>12390</v>
      </c>
      <c r="D38" s="680">
        <v>12246</v>
      </c>
      <c r="E38" s="680">
        <v>9563</v>
      </c>
      <c r="F38" s="680">
        <v>9671</v>
      </c>
      <c r="G38" s="680">
        <v>8511</v>
      </c>
      <c r="H38" s="681">
        <f>+SUM([19]A09!$E$21:$L$26)</f>
        <v>9913</v>
      </c>
    </row>
    <row r="39" spans="1:11">
      <c r="A39" s="251"/>
      <c r="B39" s="299" t="s">
        <v>1442</v>
      </c>
      <c r="C39" s="679"/>
      <c r="D39" s="680">
        <v>12236</v>
      </c>
      <c r="E39" s="680">
        <v>13688</v>
      </c>
      <c r="F39" s="680">
        <v>12669</v>
      </c>
      <c r="G39" s="680">
        <v>15653</v>
      </c>
      <c r="H39" s="681">
        <f>+SUM([20]A09!$E$21:$L$26)</f>
        <v>16283</v>
      </c>
    </row>
    <row r="40" spans="1:11">
      <c r="A40" s="251"/>
      <c r="B40" s="299" t="s">
        <v>1302</v>
      </c>
      <c r="C40" s="679"/>
      <c r="D40" s="680"/>
      <c r="E40" s="680"/>
      <c r="F40" s="680">
        <v>1764</v>
      </c>
      <c r="G40" s="680">
        <v>1615</v>
      </c>
      <c r="H40" s="681">
        <f>+SUM([21]A09!$E$21:$L$26)</f>
        <v>1663</v>
      </c>
    </row>
    <row r="41" spans="1:11">
      <c r="A41" s="251"/>
      <c r="B41" s="299" t="s">
        <v>1436</v>
      </c>
      <c r="C41" s="679">
        <v>1523</v>
      </c>
      <c r="D41" s="680">
        <v>1772</v>
      </c>
      <c r="E41" s="680">
        <v>2532</v>
      </c>
      <c r="F41" s="680">
        <v>3233</v>
      </c>
      <c r="G41" s="680">
        <v>3744</v>
      </c>
      <c r="H41" s="681">
        <f>+SUM([22]A09!$E$21:$L$26)</f>
        <v>2361</v>
      </c>
    </row>
    <row r="42" spans="1:11">
      <c r="A42" s="251" t="s">
        <v>639</v>
      </c>
      <c r="B42" s="299" t="s">
        <v>1437</v>
      </c>
      <c r="C42" s="679">
        <v>2943</v>
      </c>
      <c r="D42" s="680">
        <v>5649</v>
      </c>
      <c r="E42" s="680">
        <v>5834</v>
      </c>
      <c r="F42" s="680">
        <v>4973</v>
      </c>
      <c r="G42" s="680">
        <v>3316</v>
      </c>
      <c r="H42" s="681">
        <f>+SUM([23]A09!$E$21:$L$26)+SUM([24]A09!$E$21:$L$26)</f>
        <v>4420</v>
      </c>
    </row>
    <row r="43" spans="1:11">
      <c r="A43" s="251" t="s">
        <v>861</v>
      </c>
      <c r="B43" s="299" t="s">
        <v>1438</v>
      </c>
      <c r="C43" s="679">
        <v>1678</v>
      </c>
      <c r="D43" s="680">
        <v>2148</v>
      </c>
      <c r="E43" s="680">
        <v>2685</v>
      </c>
      <c r="F43" s="680">
        <v>3341</v>
      </c>
      <c r="G43" s="680">
        <v>3736</v>
      </c>
      <c r="H43" s="681">
        <f>+SUM([25]A09!$E$21:$L$26)+SUM([27]A09!$E$21:$L$26)</f>
        <v>5539</v>
      </c>
    </row>
    <row r="44" spans="1:11">
      <c r="A44" s="251"/>
      <c r="B44" s="299" t="s">
        <v>400</v>
      </c>
      <c r="C44" s="679"/>
      <c r="D44" s="680"/>
      <c r="E44" s="680">
        <v>653</v>
      </c>
      <c r="F44" s="680">
        <v>667</v>
      </c>
      <c r="G44" s="680">
        <v>1090</v>
      </c>
      <c r="H44" s="681">
        <f>+SUM([26]A09!$E$21:$L$26)</f>
        <v>882</v>
      </c>
    </row>
    <row r="45" spans="1:11">
      <c r="A45" s="251" t="s">
        <v>641</v>
      </c>
      <c r="B45" s="299" t="s">
        <v>1439</v>
      </c>
      <c r="C45" s="679">
        <v>892</v>
      </c>
      <c r="D45" s="680">
        <v>794</v>
      </c>
      <c r="E45" s="680">
        <v>1656</v>
      </c>
      <c r="F45" s="680">
        <v>2245</v>
      </c>
      <c r="G45" s="680">
        <v>1857</v>
      </c>
      <c r="H45" s="681">
        <f>+SUM([36]A09!$E$21:$L$26)</f>
        <v>2385</v>
      </c>
      <c r="I45" s="682"/>
      <c r="J45" s="1047"/>
      <c r="K45" s="682"/>
    </row>
    <row r="46" spans="1:11">
      <c r="A46" s="251" t="s">
        <v>642</v>
      </c>
      <c r="B46" s="299" t="s">
        <v>1440</v>
      </c>
      <c r="C46" s="679">
        <v>7253</v>
      </c>
      <c r="D46" s="680">
        <v>6687</v>
      </c>
      <c r="E46" s="680">
        <v>4467</v>
      </c>
      <c r="F46" s="680">
        <v>3527</v>
      </c>
      <c r="G46" s="680">
        <v>4297</v>
      </c>
      <c r="H46" s="681">
        <f>+SUM([28]A09!$E$21:$L$26)</f>
        <v>5165</v>
      </c>
      <c r="I46" s="682"/>
      <c r="J46" s="1047"/>
      <c r="K46" s="682"/>
    </row>
    <row r="47" spans="1:11">
      <c r="A47" s="251" t="s">
        <v>643</v>
      </c>
      <c r="B47" s="299" t="s">
        <v>1441</v>
      </c>
      <c r="C47" s="679">
        <v>835</v>
      </c>
      <c r="D47" s="680">
        <v>451</v>
      </c>
      <c r="E47" s="680">
        <v>1896</v>
      </c>
      <c r="F47" s="680">
        <v>2112</v>
      </c>
      <c r="G47" s="680">
        <v>2182</v>
      </c>
      <c r="H47" s="681">
        <f>+SUM([29]A09!$E$21:$L$26)</f>
        <v>3357</v>
      </c>
    </row>
    <row r="48" spans="1:11">
      <c r="A48" s="251"/>
      <c r="B48" s="299" t="s">
        <v>1264</v>
      </c>
      <c r="C48" s="196"/>
      <c r="D48" s="196"/>
      <c r="E48" s="196"/>
      <c r="F48" s="679">
        <v>800</v>
      </c>
      <c r="G48" s="680">
        <v>640</v>
      </c>
      <c r="H48" s="681">
        <f>+SUM([30]A09!$E$21:$L$26)</f>
        <v>720</v>
      </c>
    </row>
    <row r="49" spans="1:11">
      <c r="A49" s="677" t="s">
        <v>644</v>
      </c>
      <c r="B49" s="302"/>
      <c r="C49" s="683">
        <f t="shared" ref="C49:H49" si="2">SUM(C31:C48)</f>
        <v>51794</v>
      </c>
      <c r="D49" s="683">
        <f t="shared" si="2"/>
        <v>62149</v>
      </c>
      <c r="E49" s="683">
        <f t="shared" si="2"/>
        <v>71330</v>
      </c>
      <c r="F49" s="683">
        <f t="shared" si="2"/>
        <v>74487</v>
      </c>
      <c r="G49" s="683">
        <f t="shared" si="2"/>
        <v>68862</v>
      </c>
      <c r="H49" s="1217">
        <f t="shared" si="2"/>
        <v>85702</v>
      </c>
      <c r="I49" s="1186"/>
      <c r="J49" s="118"/>
      <c r="K49" s="118"/>
    </row>
    <row r="51" spans="1:11" ht="27.75" customHeight="1">
      <c r="A51" s="1468" t="s">
        <v>11</v>
      </c>
      <c r="B51" s="1468"/>
      <c r="C51" s="1468"/>
      <c r="D51" s="1468"/>
      <c r="E51" s="1468"/>
      <c r="F51" s="1468"/>
      <c r="G51" s="1468"/>
      <c r="H51" s="1468"/>
    </row>
    <row r="52" spans="1:11">
      <c r="A52" s="1456" t="s">
        <v>12</v>
      </c>
      <c r="B52" s="1456"/>
      <c r="C52" s="1456"/>
      <c r="D52" s="1456"/>
      <c r="E52" s="1456"/>
      <c r="F52" s="1456"/>
      <c r="G52" s="1456"/>
      <c r="H52" s="1456"/>
    </row>
    <row r="53" spans="1:11">
      <c r="A53" s="1457" t="s">
        <v>1377</v>
      </c>
      <c r="B53" s="1457"/>
      <c r="C53" s="1457"/>
      <c r="D53" s="1457"/>
      <c r="E53" s="1457"/>
      <c r="F53" s="1457"/>
      <c r="G53" s="1457"/>
      <c r="H53" s="1457"/>
    </row>
    <row r="54" spans="1:11">
      <c r="A54" s="1"/>
      <c r="B54" s="1"/>
      <c r="C54" s="1"/>
    </row>
    <row r="55" spans="1:11">
      <c r="A55" s="1"/>
      <c r="B55" s="1"/>
      <c r="C55" s="1"/>
    </row>
    <row r="56" spans="1:11">
      <c r="A56" s="1"/>
      <c r="B56" s="1"/>
      <c r="C56" s="1"/>
    </row>
    <row r="57" spans="1:11">
      <c r="A57" s="1"/>
      <c r="B57" s="1"/>
      <c r="C57" s="1"/>
    </row>
    <row r="60" spans="1:11" ht="31.5" customHeight="1">
      <c r="A60" s="119" t="s">
        <v>1228</v>
      </c>
      <c r="B60" s="672" t="s">
        <v>13</v>
      </c>
      <c r="C60" s="224">
        <f t="shared" ref="C60:H60" si="3">+C29</f>
        <v>2010</v>
      </c>
      <c r="D60" s="224">
        <f t="shared" si="3"/>
        <v>2011</v>
      </c>
      <c r="E60" s="224">
        <f t="shared" si="3"/>
        <v>2012</v>
      </c>
      <c r="F60" s="224">
        <f t="shared" si="3"/>
        <v>2013</v>
      </c>
      <c r="G60" s="224">
        <f t="shared" si="3"/>
        <v>2014</v>
      </c>
      <c r="H60" s="224">
        <f t="shared" si="3"/>
        <v>2015</v>
      </c>
    </row>
    <row r="61" spans="1:11" s="6" customFormat="1" ht="27.75" customHeight="1">
      <c r="A61" s="251" t="s">
        <v>962</v>
      </c>
      <c r="B61" s="299" t="s">
        <v>1432</v>
      </c>
      <c r="C61" s="684">
        <f t="shared" ref="C61:H63" si="4">+C31/C7*100</f>
        <v>24.397478680014832</v>
      </c>
      <c r="D61" s="684">
        <f t="shared" si="4"/>
        <v>38.770586384139307</v>
      </c>
      <c r="E61" s="684">
        <f t="shared" si="4"/>
        <v>51.428272470440518</v>
      </c>
      <c r="F61" s="684">
        <f t="shared" si="4"/>
        <v>51.672083027571027</v>
      </c>
      <c r="G61" s="684">
        <f t="shared" si="4"/>
        <v>41.589668206635864</v>
      </c>
      <c r="H61" s="684">
        <f>+H31/H7*100</f>
        <v>74.136664217487152</v>
      </c>
    </row>
    <row r="62" spans="1:11" s="6" customFormat="1" ht="27.75" customHeight="1">
      <c r="A62" s="251"/>
      <c r="B62" s="299" t="s">
        <v>1433</v>
      </c>
      <c r="C62" s="684">
        <f t="shared" si="4"/>
        <v>79.474769203190817</v>
      </c>
      <c r="D62" s="684">
        <f t="shared" si="4"/>
        <v>25.30109653064893</v>
      </c>
      <c r="E62" s="684">
        <f t="shared" si="4"/>
        <v>48.322147651006716</v>
      </c>
      <c r="F62" s="684">
        <f t="shared" si="4"/>
        <v>39.047789832332107</v>
      </c>
      <c r="G62" s="684">
        <f t="shared" si="4"/>
        <v>38.452552120776417</v>
      </c>
      <c r="H62" s="684">
        <f t="shared" si="4"/>
        <v>35.412529337425532</v>
      </c>
    </row>
    <row r="63" spans="1:11" s="6" customFormat="1" ht="27.75" customHeight="1">
      <c r="A63" s="251"/>
      <c r="B63" s="299" t="s">
        <v>399</v>
      </c>
      <c r="C63" s="684"/>
      <c r="D63" s="684"/>
      <c r="E63" s="684">
        <f t="shared" si="4"/>
        <v>96.744574290484138</v>
      </c>
      <c r="F63" s="684">
        <f t="shared" ref="F63:H70" si="5">+F33/F9*100</f>
        <v>83.193979933110356</v>
      </c>
      <c r="G63" s="684">
        <f t="shared" si="5"/>
        <v>92.881072026800666</v>
      </c>
      <c r="H63" s="684">
        <f t="shared" si="5"/>
        <v>128.72696817420436</v>
      </c>
    </row>
    <row r="64" spans="1:11" s="6" customFormat="1" ht="27.75" customHeight="1">
      <c r="A64" s="251" t="s">
        <v>636</v>
      </c>
      <c r="B64" s="299" t="s">
        <v>1444</v>
      </c>
      <c r="C64" s="684">
        <f>+C34/C10*100</f>
        <v>39.366073175503814</v>
      </c>
      <c r="D64" s="684">
        <f>+D34/D10*100</f>
        <v>69.717893075557313</v>
      </c>
      <c r="E64" s="684">
        <f>+E34/E10*100</f>
        <v>69.598089932351769</v>
      </c>
      <c r="F64" s="684">
        <f>+F34/F10*100</f>
        <v>86.021505376344081</v>
      </c>
      <c r="G64" s="684">
        <f>+G34/G10*100</f>
        <v>82.715114812011109</v>
      </c>
      <c r="H64" s="684">
        <f t="shared" si="5"/>
        <v>123.95514780835882</v>
      </c>
    </row>
    <row r="65" spans="1:8" s="6" customFormat="1" ht="27.75" customHeight="1">
      <c r="A65" s="251"/>
      <c r="B65" s="299" t="s">
        <v>1263</v>
      </c>
      <c r="C65" s="684"/>
      <c r="D65" s="684"/>
      <c r="E65" s="684"/>
      <c r="F65" s="684">
        <f t="shared" si="5"/>
        <v>135.16819571865443</v>
      </c>
      <c r="G65" s="684">
        <f t="shared" si="5"/>
        <v>109.84615384615384</v>
      </c>
      <c r="H65" s="684">
        <f t="shared" si="5"/>
        <v>126.02880658436213</v>
      </c>
    </row>
    <row r="66" spans="1:8" s="6" customFormat="1" ht="27.75" customHeight="1">
      <c r="A66" s="251" t="s">
        <v>859</v>
      </c>
      <c r="B66" s="299" t="s">
        <v>1434</v>
      </c>
      <c r="C66" s="684">
        <f t="shared" ref="C66:G68" si="6">+C36/C12*100</f>
        <v>160.81716637272191</v>
      </c>
      <c r="D66" s="684">
        <f t="shared" si="6"/>
        <v>143.93667861409799</v>
      </c>
      <c r="E66" s="684">
        <f t="shared" si="6"/>
        <v>121.22871046228711</v>
      </c>
      <c r="F66" s="684">
        <f t="shared" si="6"/>
        <v>154.31487782245591</v>
      </c>
      <c r="G66" s="684">
        <f t="shared" si="6"/>
        <v>104.03276622558286</v>
      </c>
      <c r="H66" s="684">
        <f t="shared" si="5"/>
        <v>231.71905067350863</v>
      </c>
    </row>
    <row r="67" spans="1:8" s="6" customFormat="1" ht="27.75" customHeight="1">
      <c r="A67" s="251" t="s">
        <v>637</v>
      </c>
      <c r="B67" s="299" t="s">
        <v>1435</v>
      </c>
      <c r="C67" s="684">
        <f t="shared" si="6"/>
        <v>223.45002108814845</v>
      </c>
      <c r="D67" s="684">
        <f t="shared" si="6"/>
        <v>225.71306939123033</v>
      </c>
      <c r="E67" s="684">
        <f t="shared" si="6"/>
        <v>403.52082438814944</v>
      </c>
      <c r="F67" s="684">
        <f t="shared" si="6"/>
        <v>409.66623320329438</v>
      </c>
      <c r="G67" s="684">
        <f t="shared" si="6"/>
        <v>228.39020122484689</v>
      </c>
      <c r="H67" s="684">
        <f t="shared" si="5"/>
        <v>317.00530035335686</v>
      </c>
    </row>
    <row r="68" spans="1:8" s="6" customFormat="1" ht="27.75" customHeight="1">
      <c r="A68" s="251" t="s">
        <v>638</v>
      </c>
      <c r="B68" s="299" t="s">
        <v>1443</v>
      </c>
      <c r="C68" s="684">
        <f t="shared" si="6"/>
        <v>114.4678492239468</v>
      </c>
      <c r="D68" s="684">
        <f t="shared" si="6"/>
        <v>113.46242935235801</v>
      </c>
      <c r="E68" s="684">
        <f t="shared" si="6"/>
        <v>87.846775675179131</v>
      </c>
      <c r="F68" s="684">
        <f t="shared" si="6"/>
        <v>89.018777614138429</v>
      </c>
      <c r="G68" s="684">
        <f t="shared" si="6"/>
        <v>78.49303698238495</v>
      </c>
      <c r="H68" s="684">
        <f t="shared" si="5"/>
        <v>99.01118657610867</v>
      </c>
    </row>
    <row r="69" spans="1:8" s="6" customFormat="1" ht="27.75" customHeight="1">
      <c r="A69" s="251"/>
      <c r="B69" s="299" t="s">
        <v>1442</v>
      </c>
      <c r="C69" s="684"/>
      <c r="D69" s="684">
        <f t="shared" ref="D69" si="7">+D39/D15*100</f>
        <v>106.88329839273236</v>
      </c>
      <c r="E69" s="684">
        <f>+E39/E15*100</f>
        <v>120.03858633692887</v>
      </c>
      <c r="F69" s="684">
        <f>+F39/F15*100</f>
        <v>123.78114313629702</v>
      </c>
      <c r="G69" s="684">
        <f>+G39/G15*100</f>
        <v>153.3405172413793</v>
      </c>
      <c r="H69" s="684">
        <f t="shared" si="5"/>
        <v>150.47592643933092</v>
      </c>
    </row>
    <row r="70" spans="1:8" s="6" customFormat="1" ht="27.75" customHeight="1">
      <c r="A70" s="251"/>
      <c r="B70" s="299" t="s">
        <v>1302</v>
      </c>
      <c r="C70" s="684"/>
      <c r="D70" s="684"/>
      <c r="E70" s="684"/>
      <c r="F70" s="684">
        <f>+F40/F16*100</f>
        <v>154.19580419580419</v>
      </c>
      <c r="G70" s="684">
        <f>+G40/G16*100</f>
        <v>141.29483814523184</v>
      </c>
      <c r="H70" s="684">
        <f t="shared" si="5"/>
        <v>146.51982378854626</v>
      </c>
    </row>
    <row r="71" spans="1:8" s="6" customFormat="1" ht="27.75" customHeight="1">
      <c r="A71" s="251"/>
      <c r="B71" s="299" t="s">
        <v>1436</v>
      </c>
      <c r="C71" s="684">
        <f t="shared" ref="C71:H73" si="8">+C41/C17*100</f>
        <v>66.886253842775574</v>
      </c>
      <c r="D71" s="684">
        <f t="shared" si="8"/>
        <v>78.164975738861926</v>
      </c>
      <c r="E71" s="684">
        <f t="shared" si="8"/>
        <v>116.57458563535911</v>
      </c>
      <c r="F71" s="684">
        <f t="shared" si="8"/>
        <v>148.98617511520737</v>
      </c>
      <c r="G71" s="684">
        <f t="shared" si="8"/>
        <v>172.69372693726936</v>
      </c>
      <c r="H71" s="684">
        <f t="shared" si="8"/>
        <v>100.76824583866836</v>
      </c>
    </row>
    <row r="72" spans="1:8" s="6" customFormat="1" ht="27.75" customHeight="1">
      <c r="A72" s="251" t="s">
        <v>639</v>
      </c>
      <c r="B72" s="299" t="s">
        <v>1437</v>
      </c>
      <c r="C72" s="684">
        <f t="shared" si="8"/>
        <v>55.654311649016641</v>
      </c>
      <c r="D72" s="684">
        <f t="shared" si="8"/>
        <v>107.3342200266008</v>
      </c>
      <c r="E72" s="684">
        <f t="shared" si="8"/>
        <v>111.39965629177009</v>
      </c>
      <c r="F72" s="684">
        <f t="shared" si="8"/>
        <v>95.414428242517275</v>
      </c>
      <c r="G72" s="684">
        <f t="shared" si="8"/>
        <v>63.929053402737615</v>
      </c>
      <c r="H72" s="684">
        <f t="shared" si="8"/>
        <v>85.675518511339405</v>
      </c>
    </row>
    <row r="73" spans="1:8" s="6" customFormat="1" ht="27.75" customHeight="1">
      <c r="A73" s="251" t="s">
        <v>861</v>
      </c>
      <c r="B73" s="299" t="s">
        <v>1438</v>
      </c>
      <c r="C73" s="684">
        <f t="shared" si="8"/>
        <v>36.140426448416974</v>
      </c>
      <c r="D73" s="684">
        <f t="shared" si="8"/>
        <v>52.56975036710719</v>
      </c>
      <c r="E73" s="684">
        <f t="shared" si="8"/>
        <v>66.312669795011118</v>
      </c>
      <c r="F73" s="684">
        <f t="shared" si="8"/>
        <v>83.026838966202789</v>
      </c>
      <c r="G73" s="684">
        <f t="shared" si="8"/>
        <v>93.493493493493503</v>
      </c>
      <c r="H73" s="684">
        <f t="shared" si="8"/>
        <v>139.45115810674724</v>
      </c>
    </row>
    <row r="74" spans="1:8" s="6" customFormat="1" ht="27.75" customHeight="1">
      <c r="A74" s="251"/>
      <c r="B74" s="299" t="s">
        <v>400</v>
      </c>
      <c r="C74" s="684"/>
      <c r="D74" s="684"/>
      <c r="E74" s="684">
        <f t="shared" ref="E74:F74" si="9">+E44/E20*100</f>
        <v>121.82835820895524</v>
      </c>
      <c r="F74" s="684">
        <f t="shared" si="9"/>
        <v>125.6120527306968</v>
      </c>
      <c r="G74" s="684">
        <f>+G44/G20*100</f>
        <v>205.27306967984936</v>
      </c>
      <c r="H74" s="684">
        <f>+H44/H20*100</f>
        <v>167.04545454545453</v>
      </c>
    </row>
    <row r="75" spans="1:8" s="6" customFormat="1" ht="27.75" customHeight="1">
      <c r="A75" s="251" t="s">
        <v>641</v>
      </c>
      <c r="B75" s="299" t="s">
        <v>1439</v>
      </c>
      <c r="C75" s="684">
        <f t="shared" ref="C75:G77" si="10">+C45/C21*100</f>
        <v>37.027812370278127</v>
      </c>
      <c r="D75" s="684">
        <f t="shared" si="10"/>
        <v>33.305369127516776</v>
      </c>
      <c r="E75" s="684">
        <f t="shared" si="10"/>
        <v>70.080406263224717</v>
      </c>
      <c r="F75" s="684">
        <f t="shared" si="10"/>
        <v>95.899188381033753</v>
      </c>
      <c r="G75" s="684">
        <f t="shared" si="10"/>
        <v>80.077619663648122</v>
      </c>
      <c r="H75" s="684">
        <f>+H45/H21*100</f>
        <v>104.01221107719145</v>
      </c>
    </row>
    <row r="76" spans="1:8" s="6" customFormat="1" ht="27.75" customHeight="1">
      <c r="A76" s="251" t="s">
        <v>642</v>
      </c>
      <c r="B76" s="299" t="s">
        <v>1440</v>
      </c>
      <c r="C76" s="684">
        <f t="shared" si="10"/>
        <v>99.465167306637412</v>
      </c>
      <c r="D76" s="684">
        <f t="shared" si="10"/>
        <v>92.913714047519804</v>
      </c>
      <c r="E76" s="684">
        <f t="shared" si="10"/>
        <v>62.924355543034224</v>
      </c>
      <c r="F76" s="684">
        <f t="shared" si="10"/>
        <v>50.349750178443962</v>
      </c>
      <c r="G76" s="684">
        <f t="shared" si="10"/>
        <v>62.185238784370476</v>
      </c>
      <c r="H76" s="684">
        <f>+H46/H22*100</f>
        <v>75.799823891987089</v>
      </c>
    </row>
    <row r="77" spans="1:8" s="6" customFormat="1" ht="27.75" customHeight="1">
      <c r="A77" s="251" t="s">
        <v>643</v>
      </c>
      <c r="B77" s="299" t="s">
        <v>1441</v>
      </c>
      <c r="C77" s="684">
        <f t="shared" si="10"/>
        <v>20.130183220829316</v>
      </c>
      <c r="D77" s="684">
        <f t="shared" si="10"/>
        <v>11.002683581361309</v>
      </c>
      <c r="E77" s="684">
        <f t="shared" si="10"/>
        <v>46.872682323856615</v>
      </c>
      <c r="F77" s="684">
        <f t="shared" si="10"/>
        <v>59.04389152921442</v>
      </c>
      <c r="G77" s="684">
        <f t="shared" si="10"/>
        <v>61.830546897137992</v>
      </c>
      <c r="H77" s="684">
        <f>+H47/H23*100</f>
        <v>96.271866934327505</v>
      </c>
    </row>
    <row r="78" spans="1:8" s="6" customFormat="1" ht="27.75" customHeight="1">
      <c r="A78" s="251"/>
      <c r="B78" s="299" t="s">
        <v>1264</v>
      </c>
      <c r="C78" s="684"/>
      <c r="D78" s="684"/>
      <c r="E78" s="684"/>
      <c r="F78" s="684">
        <f t="shared" ref="F78" si="11">+F48/F24*100</f>
        <v>190.47619047619045</v>
      </c>
      <c r="G78" s="684">
        <f>+G48/G24*100</f>
        <v>152.38095238095238</v>
      </c>
      <c r="H78" s="684">
        <f>+H48/H24*100</f>
        <v>175.60975609756099</v>
      </c>
    </row>
    <row r="79" spans="1:8" s="6" customFormat="1" ht="27.75" customHeight="1">
      <c r="A79" s="302" t="s">
        <v>644</v>
      </c>
      <c r="B79" s="302"/>
      <c r="C79" s="685">
        <f t="shared" ref="C79:H79" si="12">+C49/C25*100</f>
        <v>63.806930876030208</v>
      </c>
      <c r="D79" s="685">
        <f t="shared" si="12"/>
        <v>76.962799682979991</v>
      </c>
      <c r="E79" s="685">
        <f t="shared" si="12"/>
        <v>88.759752622475517</v>
      </c>
      <c r="F79" s="685">
        <f t="shared" si="12"/>
        <v>93.189125620847975</v>
      </c>
      <c r="G79" s="685">
        <f t="shared" si="12"/>
        <v>86.621047070366558</v>
      </c>
      <c r="H79" s="685">
        <f t="shared" si="12"/>
        <v>108.41355580574566</v>
      </c>
    </row>
    <row r="80" spans="1:8">
      <c r="A80" s="619" t="s">
        <v>14</v>
      </c>
    </row>
    <row r="81" spans="1:1">
      <c r="A81" s="619" t="s">
        <v>15</v>
      </c>
    </row>
    <row r="82" spans="1:1">
      <c r="A82" s="619" t="s">
        <v>16</v>
      </c>
    </row>
    <row r="83" spans="1:1">
      <c r="A83" s="619" t="s">
        <v>17</v>
      </c>
    </row>
    <row r="84" spans="1:1">
      <c r="A84" s="619" t="s">
        <v>18</v>
      </c>
    </row>
    <row r="85" spans="1:1">
      <c r="A85" s="619"/>
    </row>
  </sheetData>
  <mergeCells count="3">
    <mergeCell ref="A51:H51"/>
    <mergeCell ref="A52:H52"/>
    <mergeCell ref="A53:H53"/>
  </mergeCells>
  <phoneticPr fontId="19" type="noConversion"/>
  <pageMargins left="1.1811023622047245" right="0.39370078740157483" top="0.98425196850393704" bottom="0.98425196850393704" header="0.51181102362204722" footer="0.51181102362204722"/>
  <pageSetup paperSize="5" scale="90" orientation="portrait" horizontalDpi="300" verticalDpi="300"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8"/>
  <sheetViews>
    <sheetView topLeftCell="A16" zoomScale="75" workbookViewId="0">
      <selection activeCell="H13" sqref="H13:J13"/>
    </sheetView>
  </sheetViews>
  <sheetFormatPr baseColWidth="10" defaultRowHeight="12.75"/>
  <cols>
    <col min="1" max="1" width="16" customWidth="1"/>
    <col min="2" max="2" width="14.5703125" customWidth="1"/>
    <col min="3" max="3" width="11.140625" customWidth="1"/>
    <col min="4" max="4" width="10.42578125" customWidth="1"/>
    <col min="5" max="6" width="10.5703125" customWidth="1"/>
    <col min="7" max="7" width="10.7109375" customWidth="1"/>
    <col min="8" max="9" width="9" customWidth="1"/>
    <col min="11" max="11" width="9.85546875" customWidth="1"/>
  </cols>
  <sheetData>
    <row r="1" spans="1:14">
      <c r="A1" s="82" t="s">
        <v>19</v>
      </c>
      <c r="B1" s="116"/>
      <c r="C1" s="116"/>
      <c r="D1" s="116"/>
      <c r="E1" s="116"/>
      <c r="F1" s="116"/>
      <c r="G1" s="116"/>
      <c r="H1" s="116"/>
      <c r="I1" s="116"/>
      <c r="J1" s="116"/>
      <c r="K1" s="1"/>
    </row>
    <row r="2" spans="1:14">
      <c r="A2" s="82"/>
      <c r="B2" s="116"/>
      <c r="C2" s="116"/>
      <c r="D2" s="116"/>
      <c r="E2" s="116"/>
      <c r="F2" s="116"/>
      <c r="G2" s="116"/>
      <c r="H2" s="116"/>
      <c r="I2" s="116"/>
      <c r="J2" s="116"/>
      <c r="K2" s="1"/>
    </row>
    <row r="3" spans="1:14">
      <c r="A3" s="3" t="s">
        <v>1431</v>
      </c>
      <c r="B3" s="116"/>
      <c r="C3" s="116"/>
      <c r="D3" s="116"/>
      <c r="E3" s="116"/>
      <c r="F3" s="116"/>
      <c r="G3" s="116"/>
      <c r="H3" s="116"/>
      <c r="I3" s="116"/>
      <c r="J3" s="116"/>
      <c r="K3" s="1"/>
    </row>
    <row r="6" spans="1:14" ht="19.5" customHeight="1">
      <c r="A6" s="64"/>
      <c r="B6" s="64"/>
      <c r="C6" s="292" t="s">
        <v>20</v>
      </c>
      <c r="D6" s="292"/>
      <c r="E6" s="292"/>
      <c r="F6" s="292"/>
      <c r="G6" s="292"/>
      <c r="H6" s="292"/>
      <c r="I6" s="292"/>
      <c r="J6" s="292"/>
      <c r="K6" s="277"/>
    </row>
    <row r="7" spans="1:14" ht="23.25" customHeight="1">
      <c r="A7" s="686" t="s">
        <v>21</v>
      </c>
      <c r="B7" s="686" t="s">
        <v>22</v>
      </c>
      <c r="C7" s="687" t="s">
        <v>23</v>
      </c>
      <c r="D7" s="688" t="s">
        <v>24</v>
      </c>
      <c r="E7" s="689" t="s">
        <v>25</v>
      </c>
      <c r="F7" s="688" t="s">
        <v>26</v>
      </c>
      <c r="G7" s="689" t="s">
        <v>412</v>
      </c>
      <c r="H7" s="690" t="s">
        <v>27</v>
      </c>
      <c r="I7" s="690" t="s">
        <v>28</v>
      </c>
      <c r="J7" s="691" t="s">
        <v>1318</v>
      </c>
      <c r="K7" s="298" t="s">
        <v>656</v>
      </c>
    </row>
    <row r="8" spans="1:14" ht="16.5" customHeight="1">
      <c r="A8" s="674"/>
      <c r="B8" s="674" t="s">
        <v>29</v>
      </c>
      <c r="C8" s="692">
        <v>19056</v>
      </c>
      <c r="D8" s="693">
        <v>15938</v>
      </c>
      <c r="E8" s="692">
        <v>10065</v>
      </c>
      <c r="F8" s="693">
        <v>5236</v>
      </c>
      <c r="G8" s="692">
        <v>4</v>
      </c>
      <c r="H8" s="694">
        <v>9775</v>
      </c>
      <c r="I8" s="694">
        <v>9052</v>
      </c>
      <c r="J8" s="693">
        <f>1579+1660+1606+1288+1944</f>
        <v>8077</v>
      </c>
      <c r="K8" s="695">
        <f>SUM(C8:J8)</f>
        <v>77203</v>
      </c>
      <c r="M8" s="118"/>
      <c r="N8" s="118"/>
    </row>
    <row r="9" spans="1:14" ht="16.5" customHeight="1">
      <c r="A9" s="299" t="s">
        <v>895</v>
      </c>
      <c r="B9" s="299" t="s">
        <v>30</v>
      </c>
      <c r="C9" s="161">
        <v>9209</v>
      </c>
      <c r="D9" s="162">
        <v>12581</v>
      </c>
      <c r="E9" s="161">
        <v>7063</v>
      </c>
      <c r="F9" s="162">
        <v>4674</v>
      </c>
      <c r="G9" s="161">
        <v>521</v>
      </c>
      <c r="H9" s="696">
        <v>4390</v>
      </c>
      <c r="I9" s="696">
        <v>5029</v>
      </c>
      <c r="J9" s="162">
        <f>982+741+688+562+1461</f>
        <v>4434</v>
      </c>
      <c r="K9" s="163">
        <f>SUM(C9:J9)</f>
        <v>47901</v>
      </c>
      <c r="M9" s="118"/>
      <c r="N9" s="118"/>
    </row>
    <row r="10" spans="1:14" ht="16.5" customHeight="1">
      <c r="A10" s="195"/>
      <c r="B10" s="299" t="s">
        <v>31</v>
      </c>
      <c r="C10" s="161">
        <v>9656</v>
      </c>
      <c r="D10" s="162">
        <v>9760</v>
      </c>
      <c r="E10" s="161"/>
      <c r="F10" s="162"/>
      <c r="G10" s="161"/>
      <c r="H10" s="696"/>
      <c r="I10" s="696"/>
      <c r="J10" s="162"/>
      <c r="K10" s="163">
        <f>SUM(C10:J10)</f>
        <v>19416</v>
      </c>
      <c r="M10" s="118"/>
      <c r="N10" s="118"/>
    </row>
    <row r="11" spans="1:14" ht="16.5" customHeight="1">
      <c r="A11" s="299"/>
      <c r="B11" s="299" t="s">
        <v>32</v>
      </c>
      <c r="C11" s="161">
        <v>28982</v>
      </c>
      <c r="D11" s="162">
        <v>36646</v>
      </c>
      <c r="E11" s="161">
        <v>23408</v>
      </c>
      <c r="F11" s="162">
        <v>12302</v>
      </c>
      <c r="G11" s="161">
        <v>3663</v>
      </c>
      <c r="H11" s="696">
        <v>12954</v>
      </c>
      <c r="I11" s="696">
        <f>13335+57</f>
        <v>13392</v>
      </c>
      <c r="J11" s="162">
        <f>2631+3724+1900+1500+5208</f>
        <v>14963</v>
      </c>
      <c r="K11" s="163">
        <f>SUM(C11:J11)</f>
        <v>146310</v>
      </c>
      <c r="M11" s="118"/>
      <c r="N11" s="118"/>
    </row>
    <row r="12" spans="1:14" ht="16.5" customHeight="1">
      <c r="A12" s="299"/>
      <c r="B12" s="299" t="s">
        <v>33</v>
      </c>
      <c r="C12" s="161">
        <v>9623</v>
      </c>
      <c r="D12" s="162">
        <v>11334</v>
      </c>
      <c r="E12" s="161">
        <v>5445</v>
      </c>
      <c r="F12" s="162">
        <v>3692</v>
      </c>
      <c r="G12" s="161">
        <v>372</v>
      </c>
      <c r="H12" s="696">
        <v>2902</v>
      </c>
      <c r="I12" s="696">
        <f>1876+36</f>
        <v>1912</v>
      </c>
      <c r="J12" s="162">
        <f>262+1856+325+287+975</f>
        <v>3705</v>
      </c>
      <c r="K12" s="163">
        <f>SUM(C12:J12)</f>
        <v>38985</v>
      </c>
      <c r="M12" s="118"/>
      <c r="N12" s="118"/>
    </row>
    <row r="13" spans="1:14" ht="16.5" customHeight="1">
      <c r="A13" s="302"/>
      <c r="B13" s="302" t="s">
        <v>763</v>
      </c>
      <c r="C13" s="166">
        <f>SUM(C8:C12)</f>
        <v>76526</v>
      </c>
      <c r="D13" s="166">
        <f t="shared" ref="D13:K13" si="0">SUM(D8:D12)</f>
        <v>86259</v>
      </c>
      <c r="E13" s="166">
        <f t="shared" si="0"/>
        <v>45981</v>
      </c>
      <c r="F13" s="166">
        <f t="shared" si="0"/>
        <v>25904</v>
      </c>
      <c r="G13" s="697">
        <f t="shared" si="0"/>
        <v>4560</v>
      </c>
      <c r="H13" s="697">
        <f t="shared" si="0"/>
        <v>30021</v>
      </c>
      <c r="I13" s="697">
        <f t="shared" si="0"/>
        <v>29385</v>
      </c>
      <c r="J13" s="166">
        <f t="shared" si="0"/>
        <v>31179</v>
      </c>
      <c r="K13" s="166">
        <f t="shared" si="0"/>
        <v>329815</v>
      </c>
      <c r="M13" s="118"/>
    </row>
    <row r="14" spans="1:14" ht="16.5" customHeight="1">
      <c r="A14" s="251"/>
      <c r="B14" s="299" t="s">
        <v>29</v>
      </c>
      <c r="C14" s="161"/>
      <c r="D14" s="162"/>
      <c r="E14" s="161"/>
      <c r="F14" s="162"/>
      <c r="G14" s="161"/>
      <c r="H14" s="696"/>
      <c r="I14" s="696"/>
      <c r="J14" s="693">
        <v>1</v>
      </c>
      <c r="K14" s="163">
        <f>SUM(C14:J14)</f>
        <v>1</v>
      </c>
    </row>
    <row r="15" spans="1:14" ht="16.5" customHeight="1">
      <c r="A15" s="251"/>
      <c r="B15" s="299" t="s">
        <v>30</v>
      </c>
      <c r="C15" s="161"/>
      <c r="D15" s="162"/>
      <c r="E15" s="161"/>
      <c r="F15" s="162"/>
      <c r="G15" s="161"/>
      <c r="H15" s="696"/>
      <c r="I15" s="696"/>
      <c r="J15" s="162">
        <v>1</v>
      </c>
      <c r="K15" s="163">
        <f>SUM(C15:J15)</f>
        <v>1</v>
      </c>
    </row>
    <row r="16" spans="1:14" ht="16.5" customHeight="1">
      <c r="A16" s="251" t="s">
        <v>34</v>
      </c>
      <c r="B16" s="299" t="s">
        <v>31</v>
      </c>
      <c r="C16" s="161"/>
      <c r="D16" s="162"/>
      <c r="E16" s="161"/>
      <c r="F16" s="162"/>
      <c r="G16" s="161"/>
      <c r="H16" s="696"/>
      <c r="I16" s="696"/>
      <c r="J16" s="162"/>
      <c r="K16" s="163">
        <f>SUM(C16:J16)</f>
        <v>0</v>
      </c>
    </row>
    <row r="17" spans="1:11" ht="16.5" customHeight="1">
      <c r="A17" s="251"/>
      <c r="B17" s="299" t="s">
        <v>32</v>
      </c>
      <c r="C17" s="161"/>
      <c r="D17" s="162"/>
      <c r="E17" s="161"/>
      <c r="F17" s="162"/>
      <c r="G17" s="161"/>
      <c r="H17" s="696"/>
      <c r="I17" s="696"/>
      <c r="J17" s="162">
        <v>154</v>
      </c>
      <c r="K17" s="163">
        <f>SUM(C17:J17)</f>
        <v>154</v>
      </c>
    </row>
    <row r="18" spans="1:11" ht="16.5" customHeight="1">
      <c r="A18" s="251"/>
      <c r="B18" s="299" t="s">
        <v>33</v>
      </c>
      <c r="C18" s="161"/>
      <c r="D18" s="162"/>
      <c r="E18" s="161"/>
      <c r="F18" s="162"/>
      <c r="G18" s="161"/>
      <c r="H18" s="696"/>
      <c r="I18" s="696"/>
      <c r="J18" s="162">
        <v>125</v>
      </c>
      <c r="K18" s="163">
        <f>SUM(C18:J18)</f>
        <v>125</v>
      </c>
    </row>
    <row r="19" spans="1:11" ht="16.5" customHeight="1">
      <c r="A19" s="251"/>
      <c r="B19" s="302" t="s">
        <v>763</v>
      </c>
      <c r="C19" s="166">
        <f t="shared" ref="C19:K19" si="1">SUM(C14:C18)</f>
        <v>0</v>
      </c>
      <c r="D19" s="166">
        <f t="shared" si="1"/>
        <v>0</v>
      </c>
      <c r="E19" s="166">
        <f t="shared" si="1"/>
        <v>0</v>
      </c>
      <c r="F19" s="166">
        <f t="shared" si="1"/>
        <v>0</v>
      </c>
      <c r="G19" s="697">
        <f t="shared" si="1"/>
        <v>0</v>
      </c>
      <c r="H19" s="697">
        <f t="shared" si="1"/>
        <v>0</v>
      </c>
      <c r="I19" s="697">
        <f t="shared" si="1"/>
        <v>0</v>
      </c>
      <c r="J19" s="166">
        <f t="shared" si="1"/>
        <v>281</v>
      </c>
      <c r="K19" s="166">
        <f t="shared" si="1"/>
        <v>281</v>
      </c>
    </row>
    <row r="20" spans="1:11" ht="16.5" customHeight="1">
      <c r="A20" s="673"/>
      <c r="B20" s="674" t="s">
        <v>29</v>
      </c>
      <c r="C20" s="692"/>
      <c r="D20" s="693"/>
      <c r="E20" s="692"/>
      <c r="F20" s="693"/>
      <c r="G20" s="692"/>
      <c r="H20" s="694"/>
      <c r="I20" s="694"/>
      <c r="J20" s="693"/>
      <c r="K20" s="695">
        <f>SUM(C20:J20)</f>
        <v>0</v>
      </c>
    </row>
    <row r="21" spans="1:11" ht="16.5" customHeight="1">
      <c r="A21" s="251"/>
      <c r="B21" s="299" t="s">
        <v>30</v>
      </c>
      <c r="C21" s="161"/>
      <c r="D21" s="162"/>
      <c r="E21" s="161"/>
      <c r="F21" s="162"/>
      <c r="G21" s="161"/>
      <c r="H21" s="696"/>
      <c r="I21" s="696"/>
      <c r="J21" s="162"/>
      <c r="K21" s="163">
        <f>SUM(C21:J21)</f>
        <v>0</v>
      </c>
    </row>
    <row r="22" spans="1:11" ht="16.5" customHeight="1">
      <c r="A22" s="251" t="s">
        <v>35</v>
      </c>
      <c r="B22" s="299" t="s">
        <v>31</v>
      </c>
      <c r="C22" s="161"/>
      <c r="D22" s="162"/>
      <c r="E22" s="161"/>
      <c r="F22" s="162"/>
      <c r="G22" s="161"/>
      <c r="H22" s="696"/>
      <c r="I22" s="696"/>
      <c r="J22" s="162"/>
      <c r="K22" s="163">
        <f>SUM(C22:J22)</f>
        <v>0</v>
      </c>
    </row>
    <row r="23" spans="1:11" ht="16.5" customHeight="1">
      <c r="A23" s="251"/>
      <c r="B23" s="299" t="s">
        <v>32</v>
      </c>
      <c r="C23" s="161"/>
      <c r="D23" s="162"/>
      <c r="E23" s="161"/>
      <c r="F23" s="162"/>
      <c r="G23" s="161"/>
      <c r="H23" s="696"/>
      <c r="I23" s="696"/>
      <c r="J23" s="162"/>
      <c r="K23" s="163">
        <f>SUM(C23:J23)</f>
        <v>0</v>
      </c>
    </row>
    <row r="24" spans="1:11" ht="16.5" customHeight="1">
      <c r="A24" s="251"/>
      <c r="B24" s="299" t="s">
        <v>33</v>
      </c>
      <c r="C24" s="161"/>
      <c r="D24" s="162"/>
      <c r="E24" s="161"/>
      <c r="F24" s="162"/>
      <c r="G24" s="161"/>
      <c r="H24" s="696"/>
      <c r="I24" s="696"/>
      <c r="J24" s="162"/>
      <c r="K24" s="163">
        <f>SUM(C24:J24)</f>
        <v>0</v>
      </c>
    </row>
    <row r="25" spans="1:11" ht="16.5" customHeight="1">
      <c r="A25" s="677"/>
      <c r="B25" s="302" t="s">
        <v>763</v>
      </c>
      <c r="C25" s="166">
        <f t="shared" ref="C25:K25" si="2">SUM(C20:C24)</f>
        <v>0</v>
      </c>
      <c r="D25" s="166">
        <f t="shared" si="2"/>
        <v>0</v>
      </c>
      <c r="E25" s="166">
        <f t="shared" si="2"/>
        <v>0</v>
      </c>
      <c r="F25" s="166">
        <f t="shared" si="2"/>
        <v>0</v>
      </c>
      <c r="G25" s="697">
        <f t="shared" si="2"/>
        <v>0</v>
      </c>
      <c r="H25" s="697">
        <f t="shared" si="2"/>
        <v>0</v>
      </c>
      <c r="I25" s="697">
        <f t="shared" si="2"/>
        <v>0</v>
      </c>
      <c r="J25" s="166">
        <f t="shared" si="2"/>
        <v>0</v>
      </c>
      <c r="K25" s="166">
        <f t="shared" si="2"/>
        <v>0</v>
      </c>
    </row>
    <row r="26" spans="1:11" ht="16.5" customHeight="1">
      <c r="A26" s="673"/>
      <c r="B26" s="674" t="s">
        <v>29</v>
      </c>
      <c r="C26" s="692"/>
      <c r="D26" s="693"/>
      <c r="E26" s="692"/>
      <c r="F26" s="693"/>
      <c r="G26" s="692"/>
      <c r="H26" s="694">
        <v>696</v>
      </c>
      <c r="I26" s="694">
        <v>98</v>
      </c>
      <c r="J26" s="693"/>
      <c r="K26" s="695">
        <f>SUM(C26:J26)</f>
        <v>794</v>
      </c>
    </row>
    <row r="27" spans="1:11" ht="16.5" customHeight="1">
      <c r="A27" s="251"/>
      <c r="B27" s="299" t="s">
        <v>30</v>
      </c>
      <c r="C27" s="161"/>
      <c r="D27" s="162"/>
      <c r="E27" s="161"/>
      <c r="F27" s="162"/>
      <c r="G27" s="161"/>
      <c r="H27" s="696">
        <v>6</v>
      </c>
      <c r="I27" s="696">
        <v>3</v>
      </c>
      <c r="J27" s="162"/>
      <c r="K27" s="163">
        <f>SUM(C27:J27)</f>
        <v>9</v>
      </c>
    </row>
    <row r="28" spans="1:11" ht="16.5" customHeight="1">
      <c r="A28" s="251" t="s">
        <v>1271</v>
      </c>
      <c r="B28" s="299" t="s">
        <v>31</v>
      </c>
      <c r="C28" s="161"/>
      <c r="D28" s="162"/>
      <c r="E28" s="161"/>
      <c r="F28" s="162"/>
      <c r="G28" s="161"/>
      <c r="H28" s="696"/>
      <c r="I28" s="696"/>
      <c r="J28" s="162"/>
      <c r="K28" s="163">
        <f>SUM(C28:J28)</f>
        <v>0</v>
      </c>
    </row>
    <row r="29" spans="1:11" ht="16.5" customHeight="1">
      <c r="A29" s="251"/>
      <c r="B29" s="299" t="s">
        <v>32</v>
      </c>
      <c r="C29" s="161"/>
      <c r="D29" s="162"/>
      <c r="E29" s="161"/>
      <c r="F29" s="162"/>
      <c r="G29" s="161"/>
      <c r="H29" s="696"/>
      <c r="I29" s="696">
        <v>3</v>
      </c>
      <c r="J29" s="162"/>
      <c r="K29" s="163">
        <f>SUM(C29:J29)</f>
        <v>3</v>
      </c>
    </row>
    <row r="30" spans="1:11" ht="16.5" customHeight="1">
      <c r="A30" s="251"/>
      <c r="B30" s="299" t="s">
        <v>33</v>
      </c>
      <c r="C30" s="161"/>
      <c r="D30" s="162"/>
      <c r="E30" s="161"/>
      <c r="F30" s="162"/>
      <c r="G30" s="161"/>
      <c r="H30" s="696"/>
      <c r="I30" s="696">
        <v>4</v>
      </c>
      <c r="J30" s="162"/>
      <c r="K30" s="163">
        <f>SUM(C30:J30)</f>
        <v>4</v>
      </c>
    </row>
    <row r="31" spans="1:11" ht="16.5" customHeight="1">
      <c r="A31" s="677"/>
      <c r="B31" s="302" t="s">
        <v>763</v>
      </c>
      <c r="C31" s="166">
        <f t="shared" ref="C31:K31" si="3">SUM(C26:C30)</f>
        <v>0</v>
      </c>
      <c r="D31" s="166">
        <f t="shared" si="3"/>
        <v>0</v>
      </c>
      <c r="E31" s="166">
        <f t="shared" si="3"/>
        <v>0</v>
      </c>
      <c r="F31" s="166">
        <f t="shared" si="3"/>
        <v>0</v>
      </c>
      <c r="G31" s="697">
        <f t="shared" si="3"/>
        <v>0</v>
      </c>
      <c r="H31" s="697">
        <f t="shared" si="3"/>
        <v>702</v>
      </c>
      <c r="I31" s="697">
        <f t="shared" si="3"/>
        <v>108</v>
      </c>
      <c r="J31" s="166">
        <f t="shared" si="3"/>
        <v>0</v>
      </c>
      <c r="K31" s="166">
        <f t="shared" si="3"/>
        <v>810</v>
      </c>
    </row>
    <row r="32" spans="1:11" ht="16.5" customHeight="1">
      <c r="A32" s="251"/>
      <c r="B32" s="299" t="s">
        <v>29</v>
      </c>
      <c r="C32" s="161"/>
      <c r="D32" s="162"/>
      <c r="E32" s="161"/>
      <c r="F32" s="162"/>
      <c r="G32" s="161"/>
      <c r="H32" s="696"/>
      <c r="I32" s="696"/>
      <c r="J32" s="1145">
        <v>2149</v>
      </c>
      <c r="K32" s="163">
        <f>SUM(C32:J32)</f>
        <v>2149</v>
      </c>
    </row>
    <row r="33" spans="1:14" ht="16.5" customHeight="1">
      <c r="A33" s="251"/>
      <c r="B33" s="299" t="s">
        <v>30</v>
      </c>
      <c r="C33" s="161"/>
      <c r="D33" s="162"/>
      <c r="E33" s="161"/>
      <c r="F33" s="162"/>
      <c r="G33" s="161"/>
      <c r="H33" s="696"/>
      <c r="I33" s="696"/>
      <c r="J33" s="1146">
        <v>1084</v>
      </c>
      <c r="K33" s="163">
        <f>SUM(C33:J33)</f>
        <v>1084</v>
      </c>
    </row>
    <row r="34" spans="1:14" ht="16.5" customHeight="1">
      <c r="A34" s="251" t="s">
        <v>36</v>
      </c>
      <c r="B34" s="299" t="s">
        <v>31</v>
      </c>
      <c r="C34" s="161"/>
      <c r="D34" s="162"/>
      <c r="E34" s="161"/>
      <c r="F34" s="162"/>
      <c r="G34" s="161"/>
      <c r="H34" s="696"/>
      <c r="I34" s="696"/>
      <c r="J34" s="162"/>
      <c r="K34" s="163">
        <f>SUM(C34:J34)</f>
        <v>0</v>
      </c>
    </row>
    <row r="35" spans="1:14" ht="16.5" customHeight="1">
      <c r="A35" s="251"/>
      <c r="B35" s="299" t="s">
        <v>32</v>
      </c>
      <c r="C35" s="161"/>
      <c r="D35" s="162"/>
      <c r="E35" s="161"/>
      <c r="F35" s="162"/>
      <c r="G35" s="161"/>
      <c r="H35" s="696"/>
      <c r="I35" s="696"/>
      <c r="J35" s="1146">
        <v>5577</v>
      </c>
      <c r="K35" s="163">
        <f>SUM(C35:J35)</f>
        <v>5577</v>
      </c>
    </row>
    <row r="36" spans="1:14" ht="16.5" customHeight="1">
      <c r="A36" s="251"/>
      <c r="B36" s="299" t="s">
        <v>33</v>
      </c>
      <c r="C36" s="161"/>
      <c r="D36" s="162"/>
      <c r="E36" s="161"/>
      <c r="F36" s="162"/>
      <c r="G36" s="161"/>
      <c r="H36" s="696"/>
      <c r="I36" s="696"/>
      <c r="J36" s="1146">
        <v>3029</v>
      </c>
      <c r="K36" s="163">
        <f>SUM(C36:J36)</f>
        <v>3029</v>
      </c>
    </row>
    <row r="37" spans="1:14" ht="16.5" customHeight="1">
      <c r="A37" s="251"/>
      <c r="B37" s="302" t="s">
        <v>763</v>
      </c>
      <c r="C37" s="166">
        <f t="shared" ref="C37:K37" si="4">SUM(C32:C36)</f>
        <v>0</v>
      </c>
      <c r="D37" s="166">
        <f t="shared" si="4"/>
        <v>0</v>
      </c>
      <c r="E37" s="166">
        <f t="shared" si="4"/>
        <v>0</v>
      </c>
      <c r="F37" s="166">
        <f t="shared" si="4"/>
        <v>0</v>
      </c>
      <c r="G37" s="697">
        <f t="shared" si="4"/>
        <v>0</v>
      </c>
      <c r="H37" s="697">
        <f t="shared" si="4"/>
        <v>0</v>
      </c>
      <c r="I37" s="697">
        <f t="shared" si="4"/>
        <v>0</v>
      </c>
      <c r="J37" s="166">
        <f t="shared" si="4"/>
        <v>11839</v>
      </c>
      <c r="K37" s="166">
        <f t="shared" si="4"/>
        <v>11839</v>
      </c>
    </row>
    <row r="38" spans="1:14" ht="16.5" customHeight="1">
      <c r="A38" s="673"/>
      <c r="B38" s="674" t="s">
        <v>29</v>
      </c>
      <c r="C38" s="692">
        <f t="shared" ref="C38:G39" si="5">+C32+C20+C14+C8</f>
        <v>19056</v>
      </c>
      <c r="D38" s="693">
        <f t="shared" si="5"/>
        <v>15938</v>
      </c>
      <c r="E38" s="692">
        <f t="shared" si="5"/>
        <v>10065</v>
      </c>
      <c r="F38" s="693">
        <f t="shared" si="5"/>
        <v>5236</v>
      </c>
      <c r="G38" s="694">
        <f t="shared" si="5"/>
        <v>4</v>
      </c>
      <c r="H38" s="694">
        <f>+H32+H20+H14+H8+H26</f>
        <v>10471</v>
      </c>
      <c r="I38" s="693">
        <f>+I32+I20+I14+I8+I26</f>
        <v>9150</v>
      </c>
      <c r="J38" s="698">
        <f>+J32+J20+J14+J8</f>
        <v>10227</v>
      </c>
      <c r="K38" s="695">
        <f>SUM(C38:J38)</f>
        <v>80147</v>
      </c>
      <c r="N38" s="156"/>
    </row>
    <row r="39" spans="1:14" ht="16.5" customHeight="1">
      <c r="A39" s="251"/>
      <c r="B39" s="299" t="s">
        <v>30</v>
      </c>
      <c r="C39" s="161">
        <f t="shared" si="5"/>
        <v>9209</v>
      </c>
      <c r="D39" s="162">
        <f t="shared" si="5"/>
        <v>12581</v>
      </c>
      <c r="E39" s="161">
        <f t="shared" si="5"/>
        <v>7063</v>
      </c>
      <c r="F39" s="162">
        <f t="shared" si="5"/>
        <v>4674</v>
      </c>
      <c r="G39" s="696">
        <f t="shared" si="5"/>
        <v>521</v>
      </c>
      <c r="H39" s="162">
        <f>+H33+H21+H15+H9+H27</f>
        <v>4396</v>
      </c>
      <c r="I39" s="162">
        <f>+I33+I21+I15+I9+I27</f>
        <v>5032</v>
      </c>
      <c r="J39" s="164">
        <f>+J33+J21+J15+J9</f>
        <v>5519</v>
      </c>
      <c r="K39" s="163">
        <f>SUM(C39:J39)</f>
        <v>48995</v>
      </c>
      <c r="N39" s="156"/>
    </row>
    <row r="40" spans="1:14" ht="16.5" customHeight="1">
      <c r="A40" s="251" t="s">
        <v>863</v>
      </c>
      <c r="B40" s="299" t="s">
        <v>31</v>
      </c>
      <c r="C40" s="161">
        <f t="shared" ref="C40:F42" si="6">+C34+C22+C16+C10</f>
        <v>9656</v>
      </c>
      <c r="D40" s="162">
        <f t="shared" si="6"/>
        <v>9760</v>
      </c>
      <c r="E40" s="161">
        <f t="shared" si="6"/>
        <v>0</v>
      </c>
      <c r="F40" s="162">
        <f t="shared" si="6"/>
        <v>0</v>
      </c>
      <c r="G40" s="161"/>
      <c r="H40" s="162"/>
      <c r="I40" s="162">
        <f>+I34+I22+I16+I10+I28</f>
        <v>0</v>
      </c>
      <c r="J40" s="164">
        <f>+J34+J22+J16+J10</f>
        <v>0</v>
      </c>
      <c r="K40" s="163">
        <f>SUM(C40:J40)</f>
        <v>19416</v>
      </c>
      <c r="N40" s="156"/>
    </row>
    <row r="41" spans="1:14" ht="16.5" customHeight="1">
      <c r="A41" s="251"/>
      <c r="B41" s="299" t="s">
        <v>32</v>
      </c>
      <c r="C41" s="161">
        <f t="shared" si="6"/>
        <v>28982</v>
      </c>
      <c r="D41" s="162">
        <f t="shared" si="6"/>
        <v>36646</v>
      </c>
      <c r="E41" s="161">
        <f t="shared" si="6"/>
        <v>23408</v>
      </c>
      <c r="F41" s="162">
        <f t="shared" si="6"/>
        <v>12302</v>
      </c>
      <c r="G41" s="161">
        <f>+G35+G23+G17+G11</f>
        <v>3663</v>
      </c>
      <c r="H41" s="162">
        <f>+H35+H23+H17+H11</f>
        <v>12954</v>
      </c>
      <c r="I41" s="162">
        <f>+I35+I23+I17+I11+I29</f>
        <v>13395</v>
      </c>
      <c r="J41" s="164">
        <f>+J35+J23+J17+J11</f>
        <v>20694</v>
      </c>
      <c r="K41" s="163">
        <f>SUM(C41:J41)</f>
        <v>152044</v>
      </c>
      <c r="N41" s="156"/>
    </row>
    <row r="42" spans="1:14" ht="16.5" customHeight="1">
      <c r="A42" s="251"/>
      <c r="B42" s="299" t="s">
        <v>33</v>
      </c>
      <c r="C42" s="162">
        <f t="shared" si="6"/>
        <v>9623</v>
      </c>
      <c r="D42" s="162">
        <f t="shared" si="6"/>
        <v>11334</v>
      </c>
      <c r="E42" s="162">
        <f t="shared" si="6"/>
        <v>5445</v>
      </c>
      <c r="F42" s="162">
        <f t="shared" si="6"/>
        <v>3692</v>
      </c>
      <c r="G42" s="696">
        <f>+G36+G24+G18+G12</f>
        <v>372</v>
      </c>
      <c r="H42" s="162">
        <f>+H36+H24+H18+H12</f>
        <v>2902</v>
      </c>
      <c r="I42" s="162">
        <f>+I36+I24+I18+I12+I30</f>
        <v>1916</v>
      </c>
      <c r="J42" s="164">
        <f>+J36+J24+J18+J12</f>
        <v>6859</v>
      </c>
      <c r="K42" s="163">
        <f>SUM(C42:J42)</f>
        <v>42143</v>
      </c>
      <c r="N42" s="156"/>
    </row>
    <row r="43" spans="1:14" ht="16.5" customHeight="1" thickBot="1">
      <c r="A43" s="1114"/>
      <c r="B43" s="1115" t="s">
        <v>763</v>
      </c>
      <c r="C43" s="1116">
        <f t="shared" ref="C43:K43" si="7">SUM(C38:C42)</f>
        <v>76526</v>
      </c>
      <c r="D43" s="1116">
        <f t="shared" si="7"/>
        <v>86259</v>
      </c>
      <c r="E43" s="1116">
        <f t="shared" si="7"/>
        <v>45981</v>
      </c>
      <c r="F43" s="1116">
        <f t="shared" si="7"/>
        <v>25904</v>
      </c>
      <c r="G43" s="1117">
        <f t="shared" si="7"/>
        <v>4560</v>
      </c>
      <c r="H43" s="1116">
        <f t="shared" si="7"/>
        <v>30723</v>
      </c>
      <c r="I43" s="1116">
        <f t="shared" si="7"/>
        <v>29493</v>
      </c>
      <c r="J43" s="1118">
        <f t="shared" si="7"/>
        <v>43299</v>
      </c>
      <c r="K43" s="1116">
        <f t="shared" si="7"/>
        <v>342745</v>
      </c>
    </row>
    <row r="44" spans="1:14" ht="16.5" customHeight="1">
      <c r="A44" s="251"/>
      <c r="B44" s="665" t="s">
        <v>1312</v>
      </c>
      <c r="C44" s="161">
        <v>99</v>
      </c>
      <c r="D44" s="162">
        <v>163</v>
      </c>
      <c r="E44" s="161"/>
      <c r="F44" s="162"/>
      <c r="G44" s="696"/>
      <c r="H44" s="696"/>
      <c r="I44" s="162"/>
      <c r="J44" s="164"/>
      <c r="K44" s="163">
        <f t="shared" ref="K44:K49" si="8">SUM(C44:J44)</f>
        <v>262</v>
      </c>
    </row>
    <row r="45" spans="1:14">
      <c r="A45" s="251"/>
      <c r="B45" s="665" t="s">
        <v>1313</v>
      </c>
      <c r="C45" s="161">
        <v>606</v>
      </c>
      <c r="D45" s="162">
        <v>1387</v>
      </c>
      <c r="E45" s="161"/>
      <c r="F45" s="162"/>
      <c r="G45" s="696"/>
      <c r="H45" s="162"/>
      <c r="I45" s="162"/>
      <c r="J45" s="164"/>
      <c r="K45" s="163">
        <f t="shared" si="8"/>
        <v>1993</v>
      </c>
    </row>
    <row r="46" spans="1:14">
      <c r="A46" s="251" t="s">
        <v>1311</v>
      </c>
      <c r="B46" s="665" t="s">
        <v>1314</v>
      </c>
      <c r="C46" s="161">
        <v>29309</v>
      </c>
      <c r="D46" s="162">
        <v>25856</v>
      </c>
      <c r="E46" s="161"/>
      <c r="F46" s="162"/>
      <c r="G46" s="161"/>
      <c r="H46" s="162"/>
      <c r="I46" s="162"/>
      <c r="J46" s="164"/>
      <c r="K46" s="163">
        <f t="shared" si="8"/>
        <v>55165</v>
      </c>
      <c r="L46" s="699"/>
    </row>
    <row r="47" spans="1:14">
      <c r="A47" s="251"/>
      <c r="B47" s="665" t="s">
        <v>1315</v>
      </c>
      <c r="C47" s="161">
        <v>36826</v>
      </c>
      <c r="D47" s="162">
        <v>45680</v>
      </c>
      <c r="E47" s="161"/>
      <c r="F47" s="162"/>
      <c r="G47" s="161"/>
      <c r="H47" s="162"/>
      <c r="I47" s="162"/>
      <c r="J47" s="164"/>
      <c r="K47" s="163">
        <f t="shared" si="8"/>
        <v>82506</v>
      </c>
    </row>
    <row r="48" spans="1:14">
      <c r="A48" s="251"/>
      <c r="B48" s="665" t="s">
        <v>1316</v>
      </c>
      <c r="C48" s="162">
        <v>21</v>
      </c>
      <c r="D48" s="162">
        <v>3413</v>
      </c>
      <c r="E48" s="162"/>
      <c r="F48" s="162"/>
      <c r="G48" s="696"/>
      <c r="H48" s="162"/>
      <c r="I48" s="162"/>
      <c r="J48" s="164"/>
      <c r="K48" s="163">
        <f t="shared" si="8"/>
        <v>3434</v>
      </c>
    </row>
    <row r="49" spans="1:11">
      <c r="A49" s="251"/>
      <c r="B49" s="665" t="s">
        <v>1317</v>
      </c>
      <c r="C49" s="162">
        <v>9</v>
      </c>
      <c r="D49" s="162"/>
      <c r="E49" s="162"/>
      <c r="F49" s="162"/>
      <c r="G49" s="696"/>
      <c r="H49" s="162"/>
      <c r="I49" s="162"/>
      <c r="J49" s="164"/>
      <c r="K49" s="163">
        <f t="shared" si="8"/>
        <v>9</v>
      </c>
    </row>
    <row r="50" spans="1:11">
      <c r="A50" s="677"/>
      <c r="B50" s="210" t="s">
        <v>763</v>
      </c>
      <c r="C50" s="166">
        <f>SUM(C44:C49)</f>
        <v>66870</v>
      </c>
      <c r="D50" s="166">
        <f>SUM(D44:D49)</f>
        <v>76499</v>
      </c>
      <c r="E50" s="166">
        <f t="shared" ref="E50:J50" si="9">SUM(E44:E48)</f>
        <v>0</v>
      </c>
      <c r="F50" s="166">
        <f t="shared" si="9"/>
        <v>0</v>
      </c>
      <c r="G50" s="697">
        <f t="shared" si="9"/>
        <v>0</v>
      </c>
      <c r="H50" s="166">
        <f t="shared" si="9"/>
        <v>0</v>
      </c>
      <c r="I50" s="166">
        <f t="shared" si="9"/>
        <v>0</v>
      </c>
      <c r="J50" s="165">
        <f t="shared" si="9"/>
        <v>0</v>
      </c>
      <c r="K50" s="166">
        <f>SUM(K44:K49)</f>
        <v>143369</v>
      </c>
    </row>
    <row r="51" spans="1:11">
      <c r="A51" s="6" t="s">
        <v>1342</v>
      </c>
      <c r="B51" s="6"/>
      <c r="C51" s="6"/>
      <c r="D51" s="6"/>
      <c r="E51" s="6"/>
      <c r="F51" s="6"/>
      <c r="G51" s="6"/>
      <c r="H51" s="6"/>
      <c r="I51" s="6"/>
      <c r="J51" s="6"/>
      <c r="K51" s="6"/>
    </row>
    <row r="52" spans="1:11">
      <c r="A52" s="6"/>
      <c r="B52" s="6"/>
      <c r="C52" s="6"/>
      <c r="D52" s="6"/>
      <c r="E52" s="6"/>
      <c r="F52" s="6"/>
      <c r="G52" s="6"/>
      <c r="H52" s="6"/>
      <c r="I52" s="6"/>
      <c r="J52" s="6"/>
      <c r="K52" s="6"/>
    </row>
    <row r="53" spans="1:11">
      <c r="A53" s="6"/>
      <c r="B53" s="6"/>
      <c r="C53" s="6"/>
      <c r="D53" s="6"/>
      <c r="E53" s="6"/>
      <c r="F53" s="6"/>
      <c r="G53" s="6"/>
      <c r="H53" s="6"/>
      <c r="I53" s="6"/>
      <c r="J53" s="6"/>
      <c r="K53" s="6"/>
    </row>
    <row r="54" spans="1:11">
      <c r="A54" s="6"/>
      <c r="B54" s="6"/>
      <c r="C54" s="6"/>
      <c r="D54" s="6"/>
      <c r="E54" s="6"/>
      <c r="F54" s="6"/>
      <c r="G54" s="6"/>
      <c r="H54" s="6"/>
      <c r="I54" s="6"/>
      <c r="J54" s="6"/>
      <c r="K54" s="6"/>
    </row>
    <row r="55" spans="1:11">
      <c r="A55" s="6"/>
      <c r="B55" s="6"/>
      <c r="C55" s="6"/>
      <c r="D55" s="6"/>
      <c r="E55" s="6"/>
      <c r="F55" s="6"/>
      <c r="G55" s="6"/>
      <c r="H55" s="6"/>
      <c r="I55" s="6"/>
      <c r="J55" s="6"/>
      <c r="K55" s="6"/>
    </row>
    <row r="56" spans="1:11">
      <c r="A56" s="6"/>
      <c r="B56" s="6"/>
      <c r="C56" s="6"/>
      <c r="D56" s="6"/>
      <c r="E56" s="6"/>
      <c r="F56" s="6"/>
      <c r="G56" s="6"/>
      <c r="H56" s="6"/>
      <c r="I56" s="6"/>
      <c r="J56" s="6"/>
      <c r="K56" s="6"/>
    </row>
    <row r="57" spans="1:11">
      <c r="A57" s="6"/>
      <c r="B57" s="6"/>
      <c r="C57" s="6"/>
      <c r="D57" s="6"/>
      <c r="E57" s="6"/>
      <c r="F57" s="6"/>
      <c r="G57" s="6"/>
      <c r="H57" s="6"/>
      <c r="I57" s="6"/>
      <c r="J57" s="6"/>
      <c r="K57" s="6"/>
    </row>
    <row r="58" spans="1:11">
      <c r="A58" s="6"/>
      <c r="B58" s="6"/>
      <c r="C58" s="6"/>
      <c r="D58" s="6"/>
      <c r="E58" s="6"/>
      <c r="F58" s="6"/>
      <c r="G58" s="6"/>
      <c r="H58" s="6"/>
      <c r="I58" s="6"/>
      <c r="J58" s="6"/>
      <c r="K58" s="6"/>
    </row>
    <row r="59" spans="1:11">
      <c r="A59" s="6"/>
      <c r="B59" s="6"/>
      <c r="C59" s="6"/>
      <c r="D59" s="6"/>
      <c r="E59" s="6"/>
      <c r="F59" s="6"/>
      <c r="G59" s="6"/>
      <c r="H59" s="6"/>
      <c r="I59" s="6"/>
      <c r="J59" s="6"/>
      <c r="K59" s="6"/>
    </row>
    <row r="60" spans="1:11">
      <c r="A60" s="6"/>
      <c r="B60" s="6"/>
      <c r="C60" s="6"/>
      <c r="D60" s="6"/>
      <c r="E60" s="6"/>
      <c r="F60" s="6"/>
      <c r="G60" s="6"/>
      <c r="H60" s="6"/>
      <c r="I60" s="6"/>
      <c r="J60" s="6"/>
      <c r="K60" s="6"/>
    </row>
    <row r="61" spans="1:11">
      <c r="A61" s="6"/>
      <c r="B61" s="6"/>
      <c r="C61" s="6"/>
      <c r="D61" s="6"/>
      <c r="E61" s="6"/>
      <c r="F61" s="6"/>
      <c r="G61" s="6"/>
      <c r="H61" s="6"/>
      <c r="I61" s="6"/>
      <c r="J61" s="6"/>
      <c r="K61" s="6"/>
    </row>
    <row r="62" spans="1:11">
      <c r="A62" s="6"/>
      <c r="B62" s="6"/>
      <c r="C62" s="6"/>
      <c r="D62" s="6"/>
      <c r="E62" s="6"/>
      <c r="F62" s="6"/>
      <c r="G62" s="6"/>
      <c r="H62" s="6"/>
      <c r="I62" s="6"/>
      <c r="J62" s="6"/>
      <c r="K62" s="6"/>
    </row>
    <row r="63" spans="1:11">
      <c r="A63" s="6"/>
      <c r="B63" s="6"/>
      <c r="C63" s="6"/>
      <c r="D63" s="6"/>
      <c r="E63" s="6"/>
      <c r="F63" s="6"/>
      <c r="G63" s="6"/>
      <c r="H63" s="6"/>
      <c r="I63" s="6"/>
      <c r="J63" s="6"/>
      <c r="K63" s="6"/>
    </row>
    <row r="64" spans="1:11">
      <c r="A64" s="6"/>
      <c r="B64" s="6"/>
      <c r="C64" s="6"/>
      <c r="D64" s="6"/>
      <c r="E64" s="6"/>
      <c r="F64" s="6"/>
      <c r="G64" s="6"/>
      <c r="H64" s="6"/>
      <c r="I64" s="6"/>
      <c r="J64" s="6"/>
      <c r="K64" s="6"/>
    </row>
    <row r="65" spans="1:11">
      <c r="A65" s="6"/>
      <c r="B65" s="6"/>
      <c r="C65" s="6"/>
      <c r="D65" s="6"/>
      <c r="E65" s="6"/>
      <c r="F65" s="6"/>
      <c r="G65" s="6"/>
      <c r="H65" s="6"/>
      <c r="I65" s="6"/>
      <c r="J65" s="6"/>
      <c r="K65" s="6"/>
    </row>
    <row r="66" spans="1:11">
      <c r="A66" s="6"/>
      <c r="B66" s="6"/>
      <c r="C66" s="6"/>
      <c r="D66" s="6"/>
      <c r="E66" s="6"/>
      <c r="F66" s="6"/>
      <c r="G66" s="6"/>
      <c r="H66" s="6"/>
      <c r="I66" s="6"/>
      <c r="J66" s="6"/>
      <c r="K66" s="6"/>
    </row>
    <row r="67" spans="1:11">
      <c r="A67" s="6"/>
      <c r="B67" s="6"/>
      <c r="C67" s="6"/>
      <c r="D67" s="6"/>
      <c r="E67" s="6"/>
      <c r="F67" s="6"/>
      <c r="G67" s="6"/>
      <c r="H67" s="6"/>
      <c r="I67" s="6"/>
      <c r="J67" s="6"/>
      <c r="K67" s="6"/>
    </row>
    <row r="68" spans="1:11">
      <c r="A68" s="6"/>
      <c r="B68" s="6"/>
      <c r="C68" s="6"/>
      <c r="D68" s="6"/>
      <c r="E68" s="6"/>
      <c r="F68" s="6"/>
      <c r="G68" s="6"/>
      <c r="H68" s="6"/>
      <c r="I68" s="6"/>
      <c r="J68" s="6"/>
      <c r="K68" s="6"/>
    </row>
    <row r="69" spans="1:11">
      <c r="A69" s="6"/>
      <c r="B69" s="6"/>
      <c r="C69" s="6"/>
      <c r="D69" s="6"/>
      <c r="E69" s="6"/>
      <c r="F69" s="6"/>
      <c r="G69" s="6"/>
      <c r="H69" s="6"/>
      <c r="I69" s="6"/>
      <c r="J69" s="6"/>
      <c r="K69" s="6"/>
    </row>
    <row r="70" spans="1:11">
      <c r="A70" s="6"/>
      <c r="B70" s="6"/>
      <c r="C70" s="6"/>
      <c r="D70" s="6"/>
      <c r="E70" s="6"/>
      <c r="F70" s="6"/>
      <c r="G70" s="6"/>
      <c r="H70" s="6"/>
      <c r="I70" s="6"/>
      <c r="J70" s="6"/>
      <c r="K70" s="6"/>
    </row>
    <row r="71" spans="1:11">
      <c r="A71" s="6"/>
      <c r="B71" s="6"/>
      <c r="C71" s="6"/>
      <c r="D71" s="6"/>
      <c r="E71" s="6"/>
      <c r="F71" s="6"/>
      <c r="G71" s="6"/>
      <c r="H71" s="6"/>
      <c r="I71" s="6"/>
      <c r="J71" s="6"/>
      <c r="K71" s="6"/>
    </row>
    <row r="72" spans="1:11">
      <c r="A72" s="6"/>
      <c r="B72" s="6"/>
      <c r="C72" s="6"/>
      <c r="D72" s="6"/>
      <c r="E72" s="6"/>
      <c r="F72" s="6"/>
      <c r="G72" s="6"/>
      <c r="H72" s="6"/>
      <c r="I72" s="6"/>
      <c r="J72" s="6"/>
      <c r="K72" s="6"/>
    </row>
    <row r="73" spans="1:11">
      <c r="A73" s="6"/>
      <c r="B73" s="6"/>
      <c r="C73" s="6"/>
      <c r="D73" s="6"/>
      <c r="E73" s="6"/>
      <c r="F73" s="6"/>
      <c r="G73" s="6"/>
      <c r="H73" s="6"/>
      <c r="I73" s="6"/>
      <c r="J73" s="6"/>
      <c r="K73" s="6"/>
    </row>
    <row r="74" spans="1:11">
      <c r="A74" s="6"/>
      <c r="B74" s="6"/>
      <c r="C74" s="6"/>
      <c r="D74" s="6"/>
      <c r="E74" s="6"/>
      <c r="F74" s="6"/>
      <c r="G74" s="6"/>
      <c r="H74" s="6"/>
      <c r="I74" s="6"/>
      <c r="J74" s="6"/>
      <c r="K74" s="6"/>
    </row>
    <row r="75" spans="1:11">
      <c r="A75" s="6"/>
      <c r="B75" s="6"/>
      <c r="C75" s="6"/>
      <c r="D75" s="6"/>
      <c r="E75" s="6"/>
      <c r="F75" s="6"/>
      <c r="G75" s="6"/>
      <c r="H75" s="6"/>
      <c r="I75" s="6"/>
      <c r="J75" s="6"/>
      <c r="K75" s="6"/>
    </row>
    <row r="76" spans="1:11">
      <c r="A76" s="6"/>
      <c r="B76" s="6"/>
      <c r="C76" s="6"/>
      <c r="D76" s="6"/>
      <c r="E76" s="6"/>
      <c r="F76" s="6"/>
      <c r="G76" s="6"/>
      <c r="H76" s="6"/>
      <c r="I76" s="6"/>
      <c r="J76" s="6"/>
      <c r="K76" s="6"/>
    </row>
    <row r="77" spans="1:11">
      <c r="A77" s="6"/>
      <c r="B77" s="6"/>
      <c r="C77" s="6"/>
      <c r="D77" s="6"/>
      <c r="E77" s="6"/>
      <c r="F77" s="6"/>
      <c r="G77" s="6"/>
      <c r="H77" s="6"/>
      <c r="I77" s="6"/>
      <c r="J77" s="6"/>
      <c r="K77" s="6"/>
    </row>
    <row r="78" spans="1:11">
      <c r="A78" s="6"/>
      <c r="B78" s="6"/>
      <c r="C78" s="6"/>
      <c r="D78" s="6"/>
      <c r="E78" s="6"/>
      <c r="F78" s="6"/>
      <c r="G78" s="6"/>
      <c r="H78" s="6"/>
      <c r="I78" s="6"/>
      <c r="J78" s="6"/>
      <c r="K78" s="6"/>
    </row>
  </sheetData>
  <phoneticPr fontId="19" type="noConversion"/>
  <pageMargins left="0.78740157480314965" right="0.19685039370078741" top="0.78740157480314965" bottom="0.98425196850393704" header="0.51181102362204722" footer="0.51181102362204722"/>
  <pageSetup paperSize="5" scale="75" orientation="portrait" horizontalDpi="300" verticalDpi="300" r:id="rId1"/>
  <headerFooter alignWithMargins="0">
    <oddHeader xml:space="preserve">&amp;R
</oddHead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topLeftCell="A10" zoomScale="75" workbookViewId="0">
      <selection activeCell="K12" sqref="K12"/>
    </sheetView>
  </sheetViews>
  <sheetFormatPr baseColWidth="10" defaultRowHeight="12.75"/>
  <cols>
    <col min="1" max="1" width="16" customWidth="1"/>
    <col min="2" max="16" width="9" customWidth="1"/>
  </cols>
  <sheetData>
    <row r="1" spans="1:16" ht="15.75" customHeight="1">
      <c r="A1" s="4" t="s">
        <v>37</v>
      </c>
      <c r="B1" s="116"/>
      <c r="C1" s="116"/>
      <c r="D1" s="116"/>
      <c r="E1" s="116"/>
      <c r="F1" s="116"/>
      <c r="G1" s="1"/>
      <c r="H1" s="1"/>
      <c r="I1" s="1"/>
      <c r="J1" s="1"/>
      <c r="K1" s="1"/>
      <c r="L1" s="1"/>
      <c r="M1" s="1"/>
      <c r="N1" s="1"/>
      <c r="O1" s="1"/>
      <c r="P1" s="1"/>
    </row>
    <row r="2" spans="1:16" ht="15.75" customHeight="1">
      <c r="A2" s="82" t="s">
        <v>38</v>
      </c>
      <c r="B2" s="116"/>
      <c r="C2" s="116"/>
      <c r="D2" s="116"/>
      <c r="E2" s="116"/>
      <c r="F2" s="116"/>
      <c r="G2" s="1"/>
      <c r="H2" s="1"/>
      <c r="I2" s="1"/>
      <c r="J2" s="1"/>
      <c r="K2" s="1"/>
      <c r="L2" s="1"/>
      <c r="M2" s="1"/>
      <c r="N2" s="1"/>
      <c r="O2" s="1"/>
      <c r="P2" s="1"/>
    </row>
    <row r="3" spans="1:16" ht="15.75" customHeight="1">
      <c r="A3" s="4" t="s">
        <v>1375</v>
      </c>
      <c r="B3" s="116"/>
      <c r="C3" s="116"/>
      <c r="D3" s="116"/>
      <c r="E3" s="116"/>
      <c r="F3" s="116"/>
      <c r="G3" s="1"/>
      <c r="H3" s="1"/>
      <c r="I3" s="1"/>
      <c r="J3" s="1"/>
      <c r="K3" s="1"/>
      <c r="L3" s="1"/>
      <c r="M3" s="1"/>
      <c r="N3" s="1"/>
      <c r="O3" s="1"/>
      <c r="P3" s="1"/>
    </row>
    <row r="4" spans="1:16" ht="15.75" customHeight="1">
      <c r="A4" s="4"/>
      <c r="B4" s="116"/>
      <c r="C4" s="116"/>
      <c r="D4" s="116"/>
      <c r="E4" s="116"/>
      <c r="F4" s="116"/>
      <c r="G4" s="1"/>
      <c r="H4" s="1"/>
      <c r="I4" s="1"/>
      <c r="J4" s="1"/>
      <c r="K4" s="1"/>
      <c r="L4" s="1"/>
      <c r="M4" s="1"/>
      <c r="N4" s="1"/>
      <c r="O4" s="1"/>
      <c r="P4" s="1"/>
    </row>
    <row r="5" spans="1:16" ht="9.75" customHeight="1"/>
    <row r="6" spans="1:16" ht="22.5" customHeight="1">
      <c r="A6" s="64"/>
      <c r="B6" s="292" t="s">
        <v>39</v>
      </c>
      <c r="C6" s="292"/>
      <c r="D6" s="292"/>
      <c r="E6" s="292"/>
      <c r="F6" s="292"/>
      <c r="G6" s="276" t="s">
        <v>1222</v>
      </c>
      <c r="H6" s="292"/>
      <c r="I6" s="292"/>
      <c r="J6" s="292"/>
      <c r="K6" s="292"/>
      <c r="L6" s="276" t="s">
        <v>40</v>
      </c>
      <c r="M6" s="277"/>
      <c r="N6" s="277"/>
      <c r="O6" s="277"/>
      <c r="P6" s="277"/>
    </row>
    <row r="7" spans="1:16" ht="22.5" customHeight="1">
      <c r="A7" s="90" t="s">
        <v>22</v>
      </c>
      <c r="B7" s="700">
        <v>2011</v>
      </c>
      <c r="C7" s="700">
        <v>2012</v>
      </c>
      <c r="D7" s="700">
        <v>2013</v>
      </c>
      <c r="E7" s="700">
        <v>2014</v>
      </c>
      <c r="F7" s="700">
        <v>2015</v>
      </c>
      <c r="G7" s="700">
        <f t="shared" ref="G7:P7" si="0">+B7</f>
        <v>2011</v>
      </c>
      <c r="H7" s="700">
        <f t="shared" si="0"/>
        <v>2012</v>
      </c>
      <c r="I7" s="700">
        <f t="shared" si="0"/>
        <v>2013</v>
      </c>
      <c r="J7" s="700">
        <f t="shared" si="0"/>
        <v>2014</v>
      </c>
      <c r="K7" s="700">
        <f t="shared" si="0"/>
        <v>2015</v>
      </c>
      <c r="L7" s="700">
        <f t="shared" si="0"/>
        <v>2011</v>
      </c>
      <c r="M7" s="700">
        <f t="shared" si="0"/>
        <v>2012</v>
      </c>
      <c r="N7" s="700">
        <f t="shared" si="0"/>
        <v>2013</v>
      </c>
      <c r="O7" s="700">
        <f t="shared" si="0"/>
        <v>2014</v>
      </c>
      <c r="P7" s="700">
        <f t="shared" si="0"/>
        <v>2015</v>
      </c>
    </row>
    <row r="8" spans="1:16" ht="22.5" customHeight="1">
      <c r="A8" s="339" t="s">
        <v>29</v>
      </c>
      <c r="B8" s="701">
        <v>79924</v>
      </c>
      <c r="C8" s="701">
        <v>83883</v>
      </c>
      <c r="D8" s="701">
        <v>83498</v>
      </c>
      <c r="E8" s="701">
        <v>78551</v>
      </c>
      <c r="F8" s="161">
        <f>+'67'!K8</f>
        <v>77203</v>
      </c>
      <c r="G8" s="693">
        <v>38896</v>
      </c>
      <c r="H8" s="693">
        <v>39046</v>
      </c>
      <c r="I8" s="693">
        <v>39202</v>
      </c>
      <c r="J8" s="694">
        <v>39357</v>
      </c>
      <c r="K8" s="693">
        <f>SUM('8'!D87:G87)</f>
        <v>39505</v>
      </c>
      <c r="L8" s="1094">
        <f t="shared" ref="L8:P12" si="1">+B8/G8</f>
        <v>2.0548128342245988</v>
      </c>
      <c r="M8" s="702">
        <f t="shared" si="1"/>
        <v>2.1483122470931724</v>
      </c>
      <c r="N8" s="702">
        <f t="shared" si="1"/>
        <v>2.1299423498801082</v>
      </c>
      <c r="O8" s="702">
        <f t="shared" si="1"/>
        <v>1.9958584241685087</v>
      </c>
      <c r="P8" s="702">
        <f t="shared" si="1"/>
        <v>1.9542589545627136</v>
      </c>
    </row>
    <row r="9" spans="1:16" ht="22.5" customHeight="1">
      <c r="A9" s="94" t="s">
        <v>30</v>
      </c>
      <c r="B9" s="703">
        <v>53697</v>
      </c>
      <c r="C9" s="703">
        <v>57235</v>
      </c>
      <c r="D9" s="703">
        <v>53736</v>
      </c>
      <c r="E9" s="703">
        <v>50220</v>
      </c>
      <c r="F9" s="161">
        <f>+'67'!K9</f>
        <v>47901</v>
      </c>
      <c r="G9" s="162">
        <v>43565</v>
      </c>
      <c r="H9" s="162">
        <v>42968</v>
      </c>
      <c r="I9" s="162">
        <v>42378</v>
      </c>
      <c r="J9" s="696">
        <v>41783</v>
      </c>
      <c r="K9" s="162">
        <f>SUM('8'!H87:I87)</f>
        <v>41186</v>
      </c>
      <c r="L9" s="1093">
        <f t="shared" si="1"/>
        <v>1.2325720188224492</v>
      </c>
      <c r="M9" s="704">
        <f t="shared" si="1"/>
        <v>1.3320377955687954</v>
      </c>
      <c r="N9" s="704">
        <f t="shared" si="1"/>
        <v>1.2680164236160272</v>
      </c>
      <c r="O9" s="704">
        <f t="shared" si="1"/>
        <v>1.2019242275566617</v>
      </c>
      <c r="P9" s="704">
        <f t="shared" si="1"/>
        <v>1.1630408391200893</v>
      </c>
    </row>
    <row r="10" spans="1:16" ht="22.5" customHeight="1">
      <c r="A10" s="94" t="s">
        <v>31</v>
      </c>
      <c r="B10" s="703">
        <v>17855</v>
      </c>
      <c r="C10" s="703">
        <v>17796</v>
      </c>
      <c r="D10" s="703">
        <v>19058</v>
      </c>
      <c r="E10" s="703">
        <v>19753</v>
      </c>
      <c r="F10" s="161">
        <f>+'67'!K10</f>
        <v>19416</v>
      </c>
      <c r="G10" s="162"/>
      <c r="H10" s="162"/>
      <c r="I10" s="162"/>
      <c r="J10" s="696"/>
      <c r="K10" s="162"/>
      <c r="L10" s="1093"/>
      <c r="M10" s="705"/>
      <c r="N10" s="704"/>
      <c r="O10" s="705"/>
      <c r="P10" s="705"/>
    </row>
    <row r="11" spans="1:16" ht="22.5" customHeight="1">
      <c r="A11" s="94" t="s">
        <v>32</v>
      </c>
      <c r="B11" s="703">
        <v>153267</v>
      </c>
      <c r="C11" s="703">
        <v>165686</v>
      </c>
      <c r="D11" s="703">
        <v>157446</v>
      </c>
      <c r="E11" s="703">
        <v>150781</v>
      </c>
      <c r="F11" s="161">
        <f>+'67'!K11</f>
        <v>146310</v>
      </c>
      <c r="G11" s="162">
        <v>156006</v>
      </c>
      <c r="H11" s="162">
        <v>158330</v>
      </c>
      <c r="I11" s="162">
        <v>160659</v>
      </c>
      <c r="J11" s="696">
        <v>162986</v>
      </c>
      <c r="K11" s="162">
        <f>SUM('8'!J87:K87)</f>
        <v>165317</v>
      </c>
      <c r="L11" s="1093">
        <f t="shared" si="1"/>
        <v>0.98244298296219379</v>
      </c>
      <c r="M11" s="704">
        <f t="shared" si="1"/>
        <v>1.0464599254721152</v>
      </c>
      <c r="N11" s="704">
        <f t="shared" si="1"/>
        <v>0.98000112038541254</v>
      </c>
      <c r="O11" s="704">
        <f t="shared" si="1"/>
        <v>0.92511626765489063</v>
      </c>
      <c r="P11" s="704">
        <f t="shared" si="1"/>
        <v>0.88502694822674011</v>
      </c>
    </row>
    <row r="12" spans="1:16" ht="22.5" customHeight="1">
      <c r="A12" s="94" t="s">
        <v>33</v>
      </c>
      <c r="B12" s="703">
        <v>33447</v>
      </c>
      <c r="C12" s="703">
        <v>36680</v>
      </c>
      <c r="D12" s="703">
        <v>36716</v>
      </c>
      <c r="E12" s="703">
        <v>37981</v>
      </c>
      <c r="F12" s="161">
        <f>+'67'!K12</f>
        <v>38985</v>
      </c>
      <c r="G12" s="162">
        <v>26435</v>
      </c>
      <c r="H12" s="162">
        <v>27568</v>
      </c>
      <c r="I12" s="162">
        <v>28708</v>
      </c>
      <c r="J12" s="696">
        <v>29842</v>
      </c>
      <c r="K12" s="162">
        <f>+'8'!L87</f>
        <v>30977</v>
      </c>
      <c r="L12" s="1093">
        <f t="shared" si="1"/>
        <v>1.2652543975789672</v>
      </c>
      <c r="M12" s="704">
        <f t="shared" ref="M12:P13" si="2">+C12/H12</f>
        <v>1.3305281485780616</v>
      </c>
      <c r="N12" s="704">
        <f t="shared" si="2"/>
        <v>1.2789466350842971</v>
      </c>
      <c r="O12" s="704">
        <f t="shared" si="2"/>
        <v>1.2727364117686482</v>
      </c>
      <c r="P12" s="704">
        <f t="shared" si="2"/>
        <v>1.2585143816379896</v>
      </c>
    </row>
    <row r="13" spans="1:16" ht="22.5" customHeight="1">
      <c r="A13" s="15" t="s">
        <v>763</v>
      </c>
      <c r="B13" s="706">
        <f>SUM(B8:B12)</f>
        <v>338190</v>
      </c>
      <c r="C13" s="706">
        <f>SUM(C8:C12)</f>
        <v>361280</v>
      </c>
      <c r="D13" s="706">
        <f>SUM(D8:D12)</f>
        <v>350454</v>
      </c>
      <c r="E13" s="706">
        <f>SUM(E8:E12)</f>
        <v>337286</v>
      </c>
      <c r="F13" s="707">
        <f>SUM(F8:F12)</f>
        <v>329815</v>
      </c>
      <c r="G13" s="706">
        <f>SUM(G8:G12)-G10</f>
        <v>264902</v>
      </c>
      <c r="H13" s="706">
        <f>SUM(H8:H12)-H10</f>
        <v>267912</v>
      </c>
      <c r="I13" s="166">
        <f>SUM(I8:I12)-I10</f>
        <v>270947</v>
      </c>
      <c r="J13" s="166">
        <f>SUM(J8:J12)-J10</f>
        <v>273968</v>
      </c>
      <c r="K13" s="166">
        <f>SUM(K8:K12)-K10</f>
        <v>276985</v>
      </c>
      <c r="L13" s="708">
        <f>+B13/G13</f>
        <v>1.2766608028629456</v>
      </c>
      <c r="M13" s="708">
        <f>+C13/H13</f>
        <v>1.3485024933560275</v>
      </c>
      <c r="N13" s="708">
        <f t="shared" si="2"/>
        <v>1.2934411526977601</v>
      </c>
      <c r="O13" s="708">
        <f t="shared" si="2"/>
        <v>1.2311145827249899</v>
      </c>
      <c r="P13" s="708">
        <f t="shared" si="2"/>
        <v>1.1907323501272633</v>
      </c>
    </row>
    <row r="14" spans="1:16" ht="17.25" customHeight="1">
      <c r="A14" s="307"/>
      <c r="B14" s="95"/>
      <c r="C14" s="95"/>
      <c r="D14" s="95"/>
      <c r="E14" s="95"/>
      <c r="F14" s="95"/>
      <c r="G14" s="95"/>
      <c r="H14" s="95"/>
      <c r="I14" s="95"/>
      <c r="J14" s="95"/>
      <c r="K14" s="95"/>
      <c r="L14" s="709"/>
      <c r="M14" s="709"/>
      <c r="N14" s="709"/>
      <c r="O14" s="709"/>
      <c r="P14" s="709"/>
    </row>
    <row r="15" spans="1:16" ht="18" customHeight="1">
      <c r="A15" s="307"/>
      <c r="B15" s="95"/>
      <c r="C15" s="710"/>
      <c r="D15" s="95"/>
      <c r="E15" s="95"/>
      <c r="F15" s="95"/>
      <c r="G15" s="711"/>
      <c r="H15" s="95"/>
      <c r="I15" s="95"/>
      <c r="J15" s="95"/>
      <c r="K15" s="95"/>
      <c r="L15" s="709"/>
      <c r="M15" s="709"/>
      <c r="N15" s="709"/>
      <c r="O15" s="709"/>
      <c r="P15" s="709"/>
    </row>
    <row r="16" spans="1:16" ht="16.5" customHeight="1">
      <c r="G16" s="711"/>
    </row>
    <row r="17" spans="1:6">
      <c r="A17" s="6"/>
      <c r="B17" s="6"/>
      <c r="C17" s="6"/>
      <c r="D17" s="6"/>
      <c r="E17" s="6"/>
      <c r="F17" s="6"/>
    </row>
    <row r="18" spans="1:6">
      <c r="A18" s="6"/>
      <c r="B18" s="6"/>
      <c r="C18" s="6"/>
      <c r="D18" s="6"/>
      <c r="E18" s="6"/>
      <c r="F18" s="6"/>
    </row>
    <row r="19" spans="1:6">
      <c r="A19" s="6"/>
      <c r="B19" s="6"/>
      <c r="C19" s="6"/>
      <c r="D19" s="6"/>
      <c r="E19" s="6"/>
      <c r="F19" s="6"/>
    </row>
    <row r="20" spans="1:6">
      <c r="A20" s="6"/>
      <c r="B20" s="6"/>
      <c r="C20" s="6"/>
      <c r="D20" s="6"/>
      <c r="E20" s="6"/>
      <c r="F20" s="6"/>
    </row>
    <row r="21" spans="1:6">
      <c r="A21" s="6"/>
      <c r="B21" s="6"/>
      <c r="C21" s="6"/>
      <c r="D21" s="6"/>
      <c r="E21" s="6"/>
      <c r="F21" s="6"/>
    </row>
    <row r="22" spans="1:6">
      <c r="A22" s="6"/>
      <c r="B22" s="6"/>
      <c r="C22" s="6"/>
      <c r="D22" s="6"/>
      <c r="E22" s="6"/>
      <c r="F22" s="6"/>
    </row>
    <row r="23" spans="1:6">
      <c r="A23" s="6"/>
      <c r="B23" s="6"/>
      <c r="C23" s="6"/>
      <c r="D23" s="6"/>
      <c r="E23" s="6"/>
      <c r="F23" s="6"/>
    </row>
    <row r="24" spans="1:6">
      <c r="A24" s="6"/>
      <c r="B24" s="6"/>
      <c r="C24" s="6"/>
      <c r="D24" s="6"/>
      <c r="E24" s="6"/>
      <c r="F24" s="6"/>
    </row>
    <row r="25" spans="1:6">
      <c r="A25" s="6"/>
      <c r="B25" s="6"/>
      <c r="C25" s="6"/>
      <c r="D25" s="6"/>
      <c r="E25" s="6"/>
      <c r="F25" s="6"/>
    </row>
    <row r="26" spans="1:6">
      <c r="A26" s="6"/>
      <c r="B26" s="6"/>
      <c r="C26" s="6"/>
      <c r="D26" s="6"/>
      <c r="E26" s="6"/>
      <c r="F26" s="6"/>
    </row>
    <row r="27" spans="1:6">
      <c r="A27" s="6"/>
      <c r="B27" s="6"/>
      <c r="C27" s="6"/>
      <c r="D27" s="6"/>
      <c r="E27" s="6"/>
      <c r="F27" s="6"/>
    </row>
    <row r="28" spans="1:6">
      <c r="A28" s="6"/>
      <c r="B28" s="6"/>
      <c r="C28" s="6"/>
      <c r="D28" s="6"/>
      <c r="E28" s="6"/>
      <c r="F28" s="6"/>
    </row>
    <row r="29" spans="1:6">
      <c r="A29" s="6"/>
      <c r="B29" s="6"/>
      <c r="C29" s="6"/>
      <c r="D29" s="6"/>
      <c r="E29" s="6"/>
      <c r="F29" s="6"/>
    </row>
    <row r="30" spans="1:6">
      <c r="A30" s="6"/>
      <c r="B30" s="6"/>
      <c r="C30" s="6"/>
      <c r="D30" s="6"/>
      <c r="E30" s="6"/>
      <c r="F30" s="6"/>
    </row>
    <row r="31" spans="1:6">
      <c r="A31" s="6"/>
      <c r="B31" s="6"/>
      <c r="C31" s="6"/>
      <c r="D31" s="6"/>
      <c r="E31" s="6"/>
      <c r="F31" s="6"/>
    </row>
    <row r="32" spans="1:6">
      <c r="A32" s="6"/>
      <c r="B32" s="6"/>
      <c r="C32" s="6"/>
      <c r="D32" s="6"/>
      <c r="E32" s="6"/>
      <c r="F32" s="6"/>
    </row>
    <row r="33" spans="1:6">
      <c r="A33" s="6"/>
      <c r="B33" s="6"/>
      <c r="C33" s="6"/>
      <c r="D33" s="6"/>
      <c r="E33" s="6"/>
      <c r="F33" s="6"/>
    </row>
    <row r="34" spans="1:6">
      <c r="A34" s="6"/>
      <c r="B34" s="6"/>
      <c r="C34" s="6"/>
      <c r="D34" s="6"/>
      <c r="E34" s="6"/>
      <c r="F34" s="6"/>
    </row>
    <row r="35" spans="1:6">
      <c r="A35" s="6"/>
      <c r="B35" s="6"/>
      <c r="C35" s="6"/>
      <c r="D35" s="6"/>
      <c r="E35" s="6"/>
      <c r="F35" s="6"/>
    </row>
    <row r="36" spans="1:6">
      <c r="A36" s="6"/>
      <c r="B36" s="6"/>
      <c r="C36" s="6"/>
      <c r="D36" s="6"/>
      <c r="E36" s="6"/>
      <c r="F36" s="6"/>
    </row>
    <row r="37" spans="1:6">
      <c r="A37" s="6"/>
      <c r="B37" s="6"/>
      <c r="C37" s="6"/>
      <c r="D37" s="6"/>
      <c r="E37" s="6"/>
      <c r="F37" s="6"/>
    </row>
    <row r="38" spans="1:6">
      <c r="A38" s="6"/>
      <c r="B38" s="6"/>
      <c r="C38" s="6"/>
      <c r="D38" s="6"/>
      <c r="E38" s="6"/>
      <c r="F38" s="6"/>
    </row>
    <row r="39" spans="1:6">
      <c r="A39" s="6"/>
      <c r="B39" s="6"/>
      <c r="C39" s="6"/>
      <c r="D39" s="6"/>
      <c r="E39" s="6"/>
      <c r="F39" s="6"/>
    </row>
    <row r="40" spans="1:6">
      <c r="A40" s="6"/>
      <c r="B40" s="6"/>
      <c r="C40" s="6"/>
      <c r="D40" s="6"/>
      <c r="E40" s="6"/>
      <c r="F40" s="6"/>
    </row>
    <row r="41" spans="1:6">
      <c r="A41" s="6"/>
      <c r="B41" s="6"/>
      <c r="C41" s="6"/>
      <c r="D41" s="6"/>
      <c r="E41" s="6"/>
      <c r="F41" s="6"/>
    </row>
    <row r="42" spans="1:6">
      <c r="A42" s="6"/>
      <c r="B42" s="6"/>
      <c r="C42" s="6"/>
      <c r="D42" s="6"/>
      <c r="E42" s="6"/>
      <c r="F42" s="6"/>
    </row>
  </sheetData>
  <phoneticPr fontId="19" type="noConversion"/>
  <pageMargins left="1.9685039370078741" right="0.19685039370078741" top="0.59055118110236227" bottom="0.59055118110236227" header="0.51181102362204722" footer="0.51181102362204722"/>
  <pageSetup paperSize="5" scale="85" orientation="landscape" horizontalDpi="300" verticalDpi="300"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3"/>
  <sheetViews>
    <sheetView topLeftCell="A14" workbookViewId="0">
      <selection activeCell="G8" sqref="G8:G15"/>
    </sheetView>
  </sheetViews>
  <sheetFormatPr baseColWidth="10" defaultRowHeight="12.75"/>
  <cols>
    <col min="1" max="1" width="23" customWidth="1"/>
    <col min="2" max="5" width="8" style="240" customWidth="1"/>
    <col min="6" max="6" width="7.85546875" style="240" customWidth="1"/>
    <col min="7" max="7" width="7.85546875" customWidth="1"/>
  </cols>
  <sheetData>
    <row r="1" spans="1:12">
      <c r="A1" s="1469" t="s">
        <v>41</v>
      </c>
      <c r="B1" s="1469"/>
      <c r="C1" s="1469"/>
      <c r="D1" s="1469"/>
      <c r="E1" s="1469"/>
      <c r="F1" s="1469"/>
      <c r="G1" s="1469"/>
    </row>
    <row r="2" spans="1:12">
      <c r="A2" s="82"/>
      <c r="B2" s="712"/>
      <c r="C2" s="712"/>
      <c r="D2" s="712"/>
      <c r="E2" s="712"/>
      <c r="F2" s="712"/>
    </row>
    <row r="3" spans="1:12">
      <c r="A3" s="1469" t="s">
        <v>38</v>
      </c>
      <c r="B3" s="1469"/>
      <c r="C3" s="1469"/>
      <c r="D3" s="1469"/>
      <c r="E3" s="1469"/>
      <c r="F3" s="1469"/>
      <c r="G3" s="1469"/>
    </row>
    <row r="4" spans="1:12">
      <c r="A4" s="116"/>
      <c r="B4" s="712"/>
      <c r="C4" s="712"/>
      <c r="D4" s="712"/>
      <c r="E4" s="712"/>
      <c r="F4" s="712"/>
    </row>
    <row r="5" spans="1:12">
      <c r="A5" s="116"/>
      <c r="B5" s="712"/>
      <c r="C5" s="712"/>
      <c r="D5" s="712"/>
      <c r="E5" s="712"/>
      <c r="F5" s="712"/>
    </row>
    <row r="6" spans="1:12">
      <c r="A6" s="116"/>
      <c r="B6" s="712"/>
      <c r="C6" s="712"/>
      <c r="D6" s="712"/>
      <c r="E6" s="712"/>
      <c r="F6" s="712"/>
    </row>
    <row r="7" spans="1:12" ht="21" customHeight="1">
      <c r="A7" s="67" t="s">
        <v>866</v>
      </c>
      <c r="B7" s="51">
        <v>2010</v>
      </c>
      <c r="C7" s="51">
        <v>2011</v>
      </c>
      <c r="D7" s="51">
        <v>2012</v>
      </c>
      <c r="E7" s="51">
        <v>2013</v>
      </c>
      <c r="F7" s="51">
        <v>2014</v>
      </c>
      <c r="G7" s="51">
        <v>2015</v>
      </c>
    </row>
    <row r="8" spans="1:12" ht="21" customHeight="1">
      <c r="A8" s="67" t="s">
        <v>42</v>
      </c>
      <c r="B8" s="72">
        <v>73927</v>
      </c>
      <c r="C8" s="72">
        <v>73993</v>
      </c>
      <c r="D8" s="72">
        <v>81333</v>
      </c>
      <c r="E8" s="72">
        <v>78294</v>
      </c>
      <c r="F8" s="72">
        <v>80758</v>
      </c>
      <c r="G8" s="72">
        <f>+'67'!C13</f>
        <v>76526</v>
      </c>
      <c r="J8" t="s">
        <v>43</v>
      </c>
      <c r="L8" s="156">
        <f>+G8/$G$16*100</f>
        <v>23.202704546488182</v>
      </c>
    </row>
    <row r="9" spans="1:12" ht="21" customHeight="1">
      <c r="A9" s="67" t="s">
        <v>44</v>
      </c>
      <c r="B9" s="72">
        <v>103552</v>
      </c>
      <c r="C9" s="72">
        <v>100835</v>
      </c>
      <c r="D9" s="72">
        <v>97908</v>
      </c>
      <c r="E9" s="72">
        <v>96920</v>
      </c>
      <c r="F9" s="72">
        <v>88207</v>
      </c>
      <c r="G9" s="72">
        <f>+'67'!D13</f>
        <v>86259</v>
      </c>
      <c r="J9" t="s">
        <v>45</v>
      </c>
      <c r="L9" s="156">
        <f t="shared" ref="L9:L15" si="0">+G9/$G$16*100</f>
        <v>26.153752861452634</v>
      </c>
    </row>
    <row r="10" spans="1:12" ht="21" customHeight="1">
      <c r="A10" s="67" t="s">
        <v>46</v>
      </c>
      <c r="B10" s="72">
        <v>51024</v>
      </c>
      <c r="C10" s="72">
        <v>50322</v>
      </c>
      <c r="D10" s="72">
        <v>51379</v>
      </c>
      <c r="E10" s="72">
        <v>51521</v>
      </c>
      <c r="F10" s="72">
        <v>49742</v>
      </c>
      <c r="G10" s="72">
        <f>+'67'!E13</f>
        <v>45981</v>
      </c>
      <c r="J10" t="s">
        <v>47</v>
      </c>
      <c r="L10" s="156">
        <f t="shared" si="0"/>
        <v>13.941452026135865</v>
      </c>
    </row>
    <row r="11" spans="1:12" ht="21" customHeight="1">
      <c r="A11" s="67" t="s">
        <v>48</v>
      </c>
      <c r="B11" s="72">
        <v>2681</v>
      </c>
      <c r="C11" s="72">
        <v>2634</v>
      </c>
      <c r="D11" s="72">
        <v>2674</v>
      </c>
      <c r="E11" s="72">
        <v>2782</v>
      </c>
      <c r="F11" s="72">
        <v>3610</v>
      </c>
      <c r="G11" s="72">
        <f>+'67'!G13</f>
        <v>4560</v>
      </c>
      <c r="J11" t="s">
        <v>49</v>
      </c>
      <c r="L11" s="156">
        <f t="shared" si="0"/>
        <v>1.3825932719858103</v>
      </c>
    </row>
    <row r="12" spans="1:12" ht="21" customHeight="1">
      <c r="A12" s="67" t="s">
        <v>50</v>
      </c>
      <c r="B12" s="72">
        <v>26465</v>
      </c>
      <c r="C12" s="72">
        <v>27369</v>
      </c>
      <c r="D12" s="72">
        <v>27929</v>
      </c>
      <c r="E12" s="72">
        <v>27349</v>
      </c>
      <c r="F12" s="72">
        <v>24735</v>
      </c>
      <c r="G12" s="72">
        <f>+'67'!F13</f>
        <v>25904</v>
      </c>
      <c r="J12" t="s">
        <v>453</v>
      </c>
      <c r="L12" s="156">
        <f t="shared" si="0"/>
        <v>7.8541000257720235</v>
      </c>
    </row>
    <row r="13" spans="1:12" ht="21" customHeight="1">
      <c r="A13" s="67" t="s">
        <v>51</v>
      </c>
      <c r="B13" s="72">
        <v>28546</v>
      </c>
      <c r="C13" s="72">
        <v>28293</v>
      </c>
      <c r="D13" s="72">
        <v>32057</v>
      </c>
      <c r="E13" s="72">
        <v>33323</v>
      </c>
      <c r="F13" s="72">
        <v>27288</v>
      </c>
      <c r="G13" s="72">
        <f>+'67'!I13</f>
        <v>29385</v>
      </c>
      <c r="J13" t="s">
        <v>52</v>
      </c>
      <c r="L13" s="156">
        <f t="shared" si="0"/>
        <v>8.9095401967769821</v>
      </c>
    </row>
    <row r="14" spans="1:12" ht="21" customHeight="1">
      <c r="A14" s="67" t="s">
        <v>53</v>
      </c>
      <c r="B14" s="72">
        <v>25818</v>
      </c>
      <c r="C14" s="72">
        <v>30684</v>
      </c>
      <c r="D14" s="72">
        <v>31302</v>
      </c>
      <c r="E14" s="72">
        <v>27799</v>
      </c>
      <c r="F14" s="72">
        <v>30851</v>
      </c>
      <c r="G14" s="72">
        <f>+'67'!H13</f>
        <v>30021</v>
      </c>
      <c r="J14" t="s">
        <v>54</v>
      </c>
      <c r="L14" s="156">
        <f t="shared" si="0"/>
        <v>9.1023755741855279</v>
      </c>
    </row>
    <row r="15" spans="1:12" ht="21" customHeight="1">
      <c r="A15" s="67" t="s">
        <v>55</v>
      </c>
      <c r="B15" s="72">
        <v>17481</v>
      </c>
      <c r="C15" s="72">
        <v>24060</v>
      </c>
      <c r="D15" s="72">
        <v>36698</v>
      </c>
      <c r="E15" s="72">
        <v>32466</v>
      </c>
      <c r="F15" s="72">
        <v>32095</v>
      </c>
      <c r="G15" s="72">
        <f>+'67'!J13</f>
        <v>31179</v>
      </c>
      <c r="J15" t="s">
        <v>56</v>
      </c>
      <c r="L15" s="156">
        <f t="shared" si="0"/>
        <v>9.4534814972029775</v>
      </c>
    </row>
    <row r="16" spans="1:12" ht="21" customHeight="1">
      <c r="A16" s="67" t="s">
        <v>535</v>
      </c>
      <c r="B16" s="72">
        <f t="shared" ref="B16:G16" si="1">SUM(B8:B15)</f>
        <v>329494</v>
      </c>
      <c r="C16" s="72">
        <f t="shared" si="1"/>
        <v>338190</v>
      </c>
      <c r="D16" s="72">
        <f t="shared" si="1"/>
        <v>361280</v>
      </c>
      <c r="E16" s="72">
        <f t="shared" si="1"/>
        <v>350454</v>
      </c>
      <c r="F16" s="72">
        <f t="shared" si="1"/>
        <v>337286</v>
      </c>
      <c r="G16" s="72">
        <f t="shared" si="1"/>
        <v>329815</v>
      </c>
    </row>
    <row r="17" spans="1:6">
      <c r="A17" s="6"/>
      <c r="B17" s="713"/>
      <c r="C17" s="713"/>
      <c r="D17" s="713"/>
      <c r="E17" s="713"/>
      <c r="F17" s="713"/>
    </row>
    <row r="18" spans="1:6">
      <c r="A18" s="6"/>
      <c r="B18" s="713"/>
      <c r="C18" s="713"/>
      <c r="D18" s="713"/>
      <c r="E18" s="713"/>
      <c r="F18" s="713"/>
    </row>
    <row r="19" spans="1:6">
      <c r="A19" s="6"/>
      <c r="B19" s="713"/>
      <c r="C19" s="713"/>
      <c r="D19" s="713"/>
      <c r="E19" s="713"/>
      <c r="F19" s="713"/>
    </row>
    <row r="20" spans="1:6">
      <c r="A20" s="6"/>
      <c r="B20" s="713"/>
      <c r="C20" s="713"/>
      <c r="D20" s="713"/>
      <c r="E20" s="713"/>
      <c r="F20" s="713"/>
    </row>
    <row r="21" spans="1:6">
      <c r="A21" s="6"/>
      <c r="B21" s="713"/>
      <c r="C21" s="713"/>
      <c r="D21" s="713"/>
      <c r="E21" s="713"/>
      <c r="F21" s="713"/>
    </row>
    <row r="22" spans="1:6">
      <c r="A22" s="6"/>
      <c r="B22" s="713"/>
      <c r="C22" s="713"/>
      <c r="D22" s="713"/>
      <c r="E22" s="713"/>
      <c r="F22" s="713"/>
    </row>
    <row r="23" spans="1:6">
      <c r="A23" s="6"/>
      <c r="B23" s="713"/>
      <c r="C23" s="713"/>
      <c r="D23" s="713"/>
      <c r="E23" s="713"/>
      <c r="F23" s="713"/>
    </row>
    <row r="24" spans="1:6">
      <c r="A24" s="6"/>
      <c r="B24" s="713"/>
      <c r="C24" s="713"/>
      <c r="D24" s="713"/>
      <c r="E24" s="713"/>
      <c r="F24" s="713"/>
    </row>
    <row r="25" spans="1:6">
      <c r="A25" s="6"/>
      <c r="B25" s="713"/>
      <c r="C25" s="713"/>
      <c r="D25" s="713"/>
      <c r="E25" s="713"/>
      <c r="F25" s="713"/>
    </row>
    <row r="26" spans="1:6">
      <c r="A26" s="6"/>
      <c r="B26" s="713"/>
      <c r="C26" s="713"/>
      <c r="D26" s="713"/>
      <c r="E26" s="713"/>
      <c r="F26" s="713"/>
    </row>
    <row r="27" spans="1:6">
      <c r="A27" s="6"/>
      <c r="B27" s="713"/>
      <c r="C27" s="713"/>
      <c r="D27" s="713"/>
      <c r="E27" s="713"/>
      <c r="F27" s="713"/>
    </row>
    <row r="28" spans="1:6">
      <c r="A28" s="6"/>
      <c r="B28" s="713"/>
      <c r="C28" s="713"/>
      <c r="D28" s="713"/>
      <c r="E28" s="713"/>
      <c r="F28" s="713"/>
    </row>
    <row r="29" spans="1:6">
      <c r="A29" s="6"/>
      <c r="B29" s="713"/>
      <c r="C29" s="713"/>
      <c r="D29" s="713"/>
      <c r="E29" s="713"/>
      <c r="F29" s="713"/>
    </row>
    <row r="30" spans="1:6">
      <c r="A30" s="6"/>
      <c r="B30" s="713"/>
      <c r="C30" s="713"/>
      <c r="D30" s="713"/>
      <c r="E30" s="713"/>
      <c r="F30" s="713"/>
    </row>
    <row r="31" spans="1:6">
      <c r="A31" s="6"/>
      <c r="B31" s="713"/>
      <c r="C31" s="713"/>
      <c r="D31" s="713"/>
      <c r="E31" s="713"/>
      <c r="F31" s="713"/>
    </row>
    <row r="32" spans="1:6">
      <c r="A32" s="6"/>
      <c r="B32" s="713"/>
      <c r="C32" s="713"/>
      <c r="D32" s="713"/>
      <c r="E32" s="713"/>
      <c r="F32" s="713"/>
    </row>
    <row r="33" spans="1:6">
      <c r="A33" s="6"/>
      <c r="B33" s="713"/>
      <c r="C33" s="713"/>
      <c r="D33" s="713"/>
      <c r="E33" s="713"/>
      <c r="F33" s="713"/>
    </row>
    <row r="34" spans="1:6">
      <c r="A34" s="6"/>
      <c r="B34" s="713"/>
      <c r="C34" s="713"/>
      <c r="D34" s="713"/>
      <c r="E34" s="713"/>
      <c r="F34" s="713"/>
    </row>
    <row r="35" spans="1:6">
      <c r="A35" s="6"/>
      <c r="B35" s="713"/>
      <c r="C35" s="713"/>
      <c r="D35" s="713"/>
      <c r="E35" s="713"/>
      <c r="F35" s="713"/>
    </row>
    <row r="36" spans="1:6">
      <c r="A36" s="6"/>
      <c r="B36" s="713"/>
      <c r="C36" s="713"/>
      <c r="D36" s="713"/>
      <c r="E36" s="713"/>
      <c r="F36" s="713"/>
    </row>
    <row r="37" spans="1:6">
      <c r="A37" s="6"/>
      <c r="B37" s="713"/>
      <c r="C37" s="713"/>
      <c r="D37" s="713"/>
      <c r="E37" s="713"/>
      <c r="F37" s="713"/>
    </row>
    <row r="38" spans="1:6">
      <c r="A38" s="6"/>
      <c r="B38" s="713"/>
      <c r="C38" s="713"/>
      <c r="D38" s="713"/>
      <c r="E38" s="713"/>
      <c r="F38" s="713"/>
    </row>
    <row r="39" spans="1:6">
      <c r="A39" s="6"/>
      <c r="B39" s="713"/>
      <c r="C39" s="713"/>
      <c r="D39" s="713"/>
      <c r="E39" s="713"/>
      <c r="F39" s="713"/>
    </row>
    <row r="40" spans="1:6">
      <c r="A40" s="6"/>
      <c r="B40" s="713"/>
      <c r="C40" s="713"/>
      <c r="D40" s="713"/>
      <c r="E40" s="713"/>
      <c r="F40" s="713"/>
    </row>
    <row r="41" spans="1:6">
      <c r="A41" s="6"/>
      <c r="B41" s="713"/>
      <c r="C41" s="713"/>
      <c r="D41" s="713"/>
      <c r="E41" s="713"/>
      <c r="F41" s="713"/>
    </row>
    <row r="42" spans="1:6">
      <c r="A42" s="6"/>
      <c r="B42" s="713"/>
      <c r="C42" s="713"/>
      <c r="D42" s="713"/>
      <c r="E42" s="713"/>
      <c r="F42" s="713"/>
    </row>
    <row r="43" spans="1:6">
      <c r="A43" s="6"/>
      <c r="B43" s="713"/>
      <c r="C43" s="713"/>
      <c r="D43" s="713"/>
      <c r="E43" s="713"/>
      <c r="F43" s="713"/>
    </row>
  </sheetData>
  <mergeCells count="2">
    <mergeCell ref="A1:G1"/>
    <mergeCell ref="A3:G3"/>
  </mergeCells>
  <phoneticPr fontId="19" type="noConversion"/>
  <pageMargins left="1.5748031496062993" right="0.19685039370078741" top="0.78740157480314965" bottom="0.98425196850393704" header="0.51181102362204722" footer="0.51181102362204722"/>
  <pageSetup paperSize="5"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
  <sheetViews>
    <sheetView zoomScale="75" workbookViewId="0">
      <selection activeCell="L22" sqref="L22"/>
    </sheetView>
  </sheetViews>
  <sheetFormatPr baseColWidth="10" defaultRowHeight="12.75"/>
  <cols>
    <col min="2" max="2" width="21.85546875" customWidth="1"/>
    <col min="3" max="21" width="4.7109375" customWidth="1"/>
    <col min="22" max="29" width="6" customWidth="1"/>
  </cols>
  <sheetData>
    <row r="1" spans="1:21" ht="18" customHeight="1">
      <c r="A1" s="33" t="s">
        <v>448</v>
      </c>
      <c r="B1" s="1"/>
      <c r="C1" s="13"/>
      <c r="D1" s="13"/>
      <c r="E1" s="13"/>
      <c r="F1" s="13"/>
      <c r="G1" s="13"/>
      <c r="H1" s="13"/>
      <c r="I1" s="13"/>
      <c r="J1" s="13"/>
      <c r="K1" s="13"/>
      <c r="L1" s="13"/>
      <c r="M1" s="13"/>
      <c r="N1" s="13"/>
      <c r="O1" s="13"/>
      <c r="P1" s="13"/>
      <c r="Q1" s="13"/>
      <c r="R1" s="13"/>
      <c r="S1" s="13"/>
      <c r="T1" s="13"/>
      <c r="U1" s="13"/>
    </row>
    <row r="4" spans="1:21" ht="117.75" customHeight="1">
      <c r="B4" s="41" t="s">
        <v>449</v>
      </c>
      <c r="C4" s="42" t="s">
        <v>450</v>
      </c>
      <c r="D4" s="42" t="s">
        <v>1426</v>
      </c>
      <c r="E4" s="42" t="s">
        <v>1430</v>
      </c>
      <c r="F4" s="42" t="s">
        <v>444</v>
      </c>
      <c r="G4" s="42" t="s">
        <v>440</v>
      </c>
      <c r="H4" s="42" t="s">
        <v>447</v>
      </c>
      <c r="I4" s="42" t="s">
        <v>451</v>
      </c>
      <c r="J4" s="42" t="s">
        <v>1429</v>
      </c>
      <c r="K4" s="42" t="s">
        <v>1428</v>
      </c>
      <c r="L4" s="42" t="s">
        <v>431</v>
      </c>
      <c r="M4" s="42" t="s">
        <v>412</v>
      </c>
      <c r="N4" s="42" t="s">
        <v>453</v>
      </c>
      <c r="O4" s="42" t="s">
        <v>454</v>
      </c>
      <c r="P4" s="42" t="s">
        <v>429</v>
      </c>
      <c r="Q4" s="42" t="s">
        <v>434</v>
      </c>
      <c r="R4" s="42" t="s">
        <v>455</v>
      </c>
      <c r="S4" s="42" t="s">
        <v>456</v>
      </c>
      <c r="T4" s="42" t="s">
        <v>436</v>
      </c>
      <c r="U4" s="43" t="s">
        <v>457</v>
      </c>
    </row>
    <row r="5" spans="1:21">
      <c r="B5" s="38" t="s">
        <v>450</v>
      </c>
      <c r="C5" s="35">
        <v>0</v>
      </c>
      <c r="D5" s="14"/>
      <c r="E5" s="14"/>
      <c r="F5" s="14"/>
      <c r="G5" s="14"/>
      <c r="H5" s="14"/>
      <c r="I5" s="14"/>
      <c r="J5" s="14"/>
      <c r="K5" s="14"/>
      <c r="L5" s="14"/>
      <c r="M5" s="14"/>
      <c r="N5" s="14"/>
      <c r="O5" s="14"/>
      <c r="P5" s="14"/>
      <c r="Q5" s="14"/>
      <c r="R5" s="14"/>
      <c r="S5" s="14"/>
      <c r="T5" s="14"/>
      <c r="U5" s="12"/>
    </row>
    <row r="6" spans="1:21">
      <c r="B6" s="38" t="s">
        <v>1426</v>
      </c>
      <c r="C6" s="34">
        <v>1</v>
      </c>
      <c r="D6" s="35">
        <v>0</v>
      </c>
      <c r="E6" s="14"/>
      <c r="F6" s="14"/>
      <c r="G6" s="14"/>
      <c r="H6" s="14"/>
      <c r="I6" s="14"/>
      <c r="J6" s="14"/>
      <c r="K6" s="14"/>
      <c r="L6" s="14"/>
      <c r="M6" s="14"/>
      <c r="N6" s="14"/>
      <c r="O6" s="14"/>
      <c r="P6" s="14"/>
      <c r="Q6" s="14"/>
      <c r="R6" s="14"/>
      <c r="S6" s="14"/>
      <c r="T6" s="14"/>
      <c r="U6" s="15"/>
    </row>
    <row r="7" spans="1:21">
      <c r="B7" s="38" t="s">
        <v>661</v>
      </c>
      <c r="C7" s="34"/>
      <c r="D7" s="35"/>
      <c r="E7" s="14"/>
      <c r="F7" s="14"/>
      <c r="G7" s="14"/>
      <c r="H7" s="14"/>
      <c r="I7" s="14"/>
      <c r="J7" s="14"/>
      <c r="K7" s="14"/>
      <c r="L7" s="14"/>
      <c r="M7" s="14"/>
      <c r="N7" s="14"/>
      <c r="O7" s="14"/>
      <c r="P7" s="14"/>
      <c r="Q7" s="14"/>
      <c r="R7" s="14"/>
      <c r="S7" s="14"/>
      <c r="T7" s="14"/>
      <c r="U7" s="15"/>
    </row>
    <row r="8" spans="1:21">
      <c r="B8" s="38" t="s">
        <v>1425</v>
      </c>
      <c r="C8" s="34">
        <v>0</v>
      </c>
      <c r="D8" s="34">
        <v>1</v>
      </c>
      <c r="E8" s="35">
        <v>0</v>
      </c>
      <c r="F8" s="14"/>
      <c r="G8" s="14"/>
      <c r="H8" s="14"/>
      <c r="I8" s="14"/>
      <c r="J8" s="14"/>
      <c r="K8" s="14"/>
      <c r="L8" s="14"/>
      <c r="M8" s="14"/>
      <c r="N8" s="14"/>
      <c r="O8" s="14"/>
      <c r="P8" s="14"/>
      <c r="Q8" s="14"/>
      <c r="R8" s="14"/>
      <c r="S8" s="14"/>
      <c r="T8" s="14"/>
      <c r="U8" s="15"/>
    </row>
    <row r="9" spans="1:21">
      <c r="B9" s="38" t="s">
        <v>438</v>
      </c>
      <c r="C9" s="34">
        <v>30</v>
      </c>
      <c r="D9" s="34">
        <v>31</v>
      </c>
      <c r="E9" s="34">
        <v>30</v>
      </c>
      <c r="F9" s="14"/>
      <c r="G9" s="14"/>
      <c r="H9" s="14"/>
      <c r="I9" s="14"/>
      <c r="J9" s="14"/>
      <c r="K9" s="14"/>
      <c r="L9" s="14"/>
      <c r="M9" s="14"/>
      <c r="N9" s="14"/>
      <c r="O9" s="14"/>
      <c r="P9" s="14"/>
      <c r="Q9" s="14"/>
      <c r="R9" s="14"/>
      <c r="S9" s="14"/>
      <c r="T9" s="14"/>
      <c r="U9" s="15"/>
    </row>
    <row r="10" spans="1:21">
      <c r="B10" s="38" t="s">
        <v>444</v>
      </c>
      <c r="C10" s="34">
        <v>5</v>
      </c>
      <c r="D10" s="34">
        <v>6</v>
      </c>
      <c r="E10" s="34">
        <v>5</v>
      </c>
      <c r="F10" s="35">
        <v>0</v>
      </c>
      <c r="G10" s="14"/>
      <c r="H10" s="14"/>
      <c r="I10" s="14"/>
      <c r="J10" s="14"/>
      <c r="K10" s="14"/>
      <c r="L10" s="14"/>
      <c r="M10" s="14"/>
      <c r="N10" s="14"/>
      <c r="O10" s="14"/>
      <c r="P10" s="14"/>
      <c r="Q10" s="14"/>
      <c r="R10" s="14"/>
      <c r="S10" s="14"/>
      <c r="T10" s="14"/>
      <c r="U10" s="15"/>
    </row>
    <row r="11" spans="1:21">
      <c r="B11" s="38" t="s">
        <v>660</v>
      </c>
      <c r="C11" s="34">
        <v>13</v>
      </c>
      <c r="D11" s="34">
        <v>14</v>
      </c>
      <c r="E11" s="34">
        <v>13</v>
      </c>
      <c r="F11" s="34">
        <v>8</v>
      </c>
      <c r="G11" s="14"/>
      <c r="H11" s="14"/>
      <c r="I11" s="14"/>
      <c r="J11" s="14"/>
      <c r="K11" s="14"/>
      <c r="L11" s="14"/>
      <c r="M11" s="14"/>
      <c r="N11" s="14"/>
      <c r="O11" s="14"/>
      <c r="P11" s="14"/>
      <c r="Q11" s="14"/>
      <c r="R11" s="14"/>
      <c r="S11" s="14"/>
      <c r="T11" s="14"/>
      <c r="U11" s="15"/>
    </row>
    <row r="12" spans="1:21">
      <c r="B12" s="38" t="s">
        <v>443</v>
      </c>
      <c r="C12" s="34">
        <v>9</v>
      </c>
      <c r="D12" s="34">
        <v>10</v>
      </c>
      <c r="E12" s="34">
        <v>9</v>
      </c>
      <c r="F12" s="34">
        <v>4</v>
      </c>
      <c r="G12" s="14"/>
      <c r="H12" s="14"/>
      <c r="I12" s="14"/>
      <c r="J12" s="14"/>
      <c r="K12" s="14"/>
      <c r="L12" s="14"/>
      <c r="M12" s="14"/>
      <c r="N12" s="14"/>
      <c r="O12" s="14"/>
      <c r="P12" s="14"/>
      <c r="Q12" s="14"/>
      <c r="R12" s="14"/>
      <c r="S12" s="14"/>
      <c r="T12" s="14"/>
      <c r="U12" s="15"/>
    </row>
    <row r="13" spans="1:21">
      <c r="B13" s="38" t="s">
        <v>445</v>
      </c>
      <c r="C13" s="34">
        <v>20</v>
      </c>
      <c r="D13" s="34">
        <v>21</v>
      </c>
      <c r="E13" s="34">
        <v>20</v>
      </c>
      <c r="F13" s="34">
        <v>15</v>
      </c>
      <c r="G13" s="14"/>
      <c r="H13" s="14"/>
      <c r="I13" s="14"/>
      <c r="J13" s="14"/>
      <c r="K13" s="14"/>
      <c r="L13" s="14"/>
      <c r="M13" s="14"/>
      <c r="N13" s="14"/>
      <c r="O13" s="14"/>
      <c r="P13" s="14"/>
      <c r="Q13" s="14"/>
      <c r="R13" s="14"/>
      <c r="S13" s="14"/>
      <c r="T13" s="14"/>
      <c r="U13" s="15"/>
    </row>
    <row r="14" spans="1:21">
      <c r="B14" s="38" t="s">
        <v>446</v>
      </c>
      <c r="C14" s="34">
        <v>34</v>
      </c>
      <c r="D14" s="34">
        <v>35</v>
      </c>
      <c r="E14" s="34">
        <v>34</v>
      </c>
      <c r="F14" s="34">
        <v>29</v>
      </c>
      <c r="G14" s="14"/>
      <c r="H14" s="14"/>
      <c r="I14" s="14"/>
      <c r="J14" s="14"/>
      <c r="K14" s="14"/>
      <c r="L14" s="14"/>
      <c r="M14" s="14"/>
      <c r="N14" s="14"/>
      <c r="O14" s="14"/>
      <c r="P14" s="14"/>
      <c r="Q14" s="14"/>
      <c r="R14" s="14"/>
      <c r="S14" s="14"/>
      <c r="T14" s="14"/>
      <c r="U14" s="15"/>
    </row>
    <row r="15" spans="1:21">
      <c r="B15" s="38" t="s">
        <v>440</v>
      </c>
      <c r="C15" s="34">
        <v>4</v>
      </c>
      <c r="D15" s="34">
        <v>3</v>
      </c>
      <c r="E15" s="34">
        <v>4</v>
      </c>
      <c r="F15" s="34">
        <v>9</v>
      </c>
      <c r="G15" s="35">
        <v>0</v>
      </c>
      <c r="H15" s="14"/>
      <c r="I15" s="14"/>
      <c r="J15" s="14"/>
      <c r="K15" s="14"/>
      <c r="L15" s="14"/>
      <c r="M15" s="14"/>
      <c r="N15" s="14"/>
      <c r="O15" s="14"/>
      <c r="P15" s="14"/>
      <c r="Q15" s="14"/>
      <c r="R15" s="14"/>
      <c r="S15" s="14"/>
      <c r="T15" s="14"/>
      <c r="U15" s="15"/>
    </row>
    <row r="16" spans="1:21">
      <c r="B16" s="38" t="s">
        <v>439</v>
      </c>
      <c r="C16" s="34">
        <v>7</v>
      </c>
      <c r="D16" s="34">
        <v>6</v>
      </c>
      <c r="E16" s="34">
        <v>7</v>
      </c>
      <c r="F16" s="34">
        <v>8</v>
      </c>
      <c r="G16" s="34">
        <v>3</v>
      </c>
      <c r="H16" s="14"/>
      <c r="I16" s="14"/>
      <c r="J16" s="14"/>
      <c r="K16" s="14"/>
      <c r="L16" s="14"/>
      <c r="M16" s="14"/>
      <c r="N16" s="14"/>
      <c r="O16" s="14"/>
      <c r="P16" s="14"/>
      <c r="Q16" s="14"/>
      <c r="R16" s="14"/>
      <c r="S16" s="14"/>
      <c r="T16" s="14"/>
      <c r="U16" s="15"/>
    </row>
    <row r="17" spans="2:21">
      <c r="B17" s="38" t="s">
        <v>447</v>
      </c>
      <c r="C17" s="34">
        <v>12</v>
      </c>
      <c r="D17" s="34">
        <v>11</v>
      </c>
      <c r="E17" s="34">
        <v>12</v>
      </c>
      <c r="F17" s="34">
        <v>17</v>
      </c>
      <c r="G17" s="34">
        <v>4</v>
      </c>
      <c r="H17" s="35">
        <v>0</v>
      </c>
      <c r="I17" s="14"/>
      <c r="J17" s="14"/>
      <c r="K17" s="14"/>
      <c r="L17" s="14"/>
      <c r="M17" s="14"/>
      <c r="N17" s="14"/>
      <c r="O17" s="14"/>
      <c r="P17" s="14"/>
      <c r="Q17" s="14"/>
      <c r="R17" s="14"/>
      <c r="S17" s="14"/>
      <c r="T17" s="14"/>
      <c r="U17" s="15"/>
    </row>
    <row r="18" spans="2:21">
      <c r="B18" s="38" t="s">
        <v>451</v>
      </c>
      <c r="C18" s="34">
        <v>16</v>
      </c>
      <c r="D18" s="34">
        <v>17</v>
      </c>
      <c r="E18" s="34">
        <v>16</v>
      </c>
      <c r="F18" s="34">
        <v>18</v>
      </c>
      <c r="G18" s="34">
        <v>20</v>
      </c>
      <c r="H18" s="34">
        <v>12</v>
      </c>
      <c r="I18" s="35">
        <v>0</v>
      </c>
      <c r="J18" s="14"/>
      <c r="K18" s="14"/>
      <c r="L18" s="14"/>
      <c r="M18" s="14"/>
      <c r="N18" s="14"/>
      <c r="O18" s="14"/>
      <c r="P18" s="14"/>
      <c r="Q18" s="14"/>
      <c r="R18" s="14"/>
      <c r="S18" s="14"/>
      <c r="T18" s="14"/>
      <c r="U18" s="15"/>
    </row>
    <row r="19" spans="2:21">
      <c r="B19" s="38" t="s">
        <v>1429</v>
      </c>
      <c r="C19" s="34">
        <v>16</v>
      </c>
      <c r="D19" s="34">
        <v>17</v>
      </c>
      <c r="E19" s="34">
        <v>17</v>
      </c>
      <c r="F19" s="34">
        <v>18</v>
      </c>
      <c r="G19" s="34">
        <v>19</v>
      </c>
      <c r="H19" s="34">
        <v>11</v>
      </c>
      <c r="I19" s="34">
        <v>1</v>
      </c>
      <c r="J19" s="236">
        <v>0</v>
      </c>
      <c r="K19" s="14"/>
      <c r="L19" s="14"/>
      <c r="M19" s="14"/>
      <c r="N19" s="14"/>
      <c r="O19" s="14"/>
      <c r="P19" s="14"/>
      <c r="Q19" s="14"/>
      <c r="R19" s="14"/>
      <c r="S19" s="14"/>
      <c r="T19" s="14"/>
      <c r="U19" s="15"/>
    </row>
    <row r="20" spans="2:21">
      <c r="B20" s="38" t="s">
        <v>1428</v>
      </c>
      <c r="C20" s="34">
        <v>16</v>
      </c>
      <c r="D20" s="34">
        <v>17</v>
      </c>
      <c r="E20" s="34">
        <v>17</v>
      </c>
      <c r="F20" s="34">
        <v>18</v>
      </c>
      <c r="G20" s="34">
        <v>19</v>
      </c>
      <c r="H20" s="34">
        <v>11</v>
      </c>
      <c r="I20" s="34">
        <v>1</v>
      </c>
      <c r="J20" s="236">
        <v>1</v>
      </c>
      <c r="K20" s="236">
        <v>0</v>
      </c>
      <c r="L20" s="14"/>
      <c r="M20" s="14"/>
      <c r="N20" s="14"/>
      <c r="O20" s="14"/>
      <c r="P20" s="14"/>
      <c r="Q20" s="14"/>
      <c r="R20" s="14"/>
      <c r="S20" s="14"/>
      <c r="T20" s="14"/>
      <c r="U20" s="15"/>
    </row>
    <row r="21" spans="2:21">
      <c r="B21" s="38" t="s">
        <v>431</v>
      </c>
      <c r="C21" s="34">
        <v>10</v>
      </c>
      <c r="D21" s="34">
        <v>11</v>
      </c>
      <c r="E21" s="34">
        <v>10</v>
      </c>
      <c r="F21" s="34">
        <v>15</v>
      </c>
      <c r="G21" s="34">
        <v>13</v>
      </c>
      <c r="H21" s="34">
        <v>5</v>
      </c>
      <c r="I21" s="34">
        <v>6</v>
      </c>
      <c r="J21" s="237">
        <v>5</v>
      </c>
      <c r="K21" s="237">
        <v>5</v>
      </c>
      <c r="L21" s="35">
        <v>0</v>
      </c>
      <c r="M21" s="14"/>
      <c r="N21" s="14"/>
      <c r="O21" s="14"/>
      <c r="P21" s="14"/>
      <c r="Q21" s="14"/>
      <c r="R21" s="14"/>
      <c r="S21" s="14"/>
      <c r="T21" s="14"/>
      <c r="U21" s="15"/>
    </row>
    <row r="22" spans="2:21">
      <c r="B22" s="38" t="s">
        <v>788</v>
      </c>
      <c r="C22" s="34">
        <v>26</v>
      </c>
      <c r="D22" s="34">
        <v>27</v>
      </c>
      <c r="E22" s="34">
        <v>27</v>
      </c>
      <c r="F22" s="34">
        <v>28</v>
      </c>
      <c r="G22" s="34">
        <v>29</v>
      </c>
      <c r="H22" s="34">
        <v>21</v>
      </c>
      <c r="I22" s="34">
        <v>11</v>
      </c>
      <c r="J22" s="237">
        <v>11</v>
      </c>
      <c r="K22" s="237">
        <v>10</v>
      </c>
      <c r="L22" s="34">
        <v>15</v>
      </c>
      <c r="M22" s="35">
        <v>14</v>
      </c>
      <c r="N22" s="14"/>
      <c r="O22" s="14"/>
      <c r="P22" s="14"/>
      <c r="Q22" s="14"/>
      <c r="R22" s="14"/>
      <c r="S22" s="14"/>
      <c r="T22" s="14"/>
      <c r="U22" s="15"/>
    </row>
    <row r="23" spans="2:21">
      <c r="B23" s="38" t="s">
        <v>412</v>
      </c>
      <c r="C23" s="34">
        <v>32</v>
      </c>
      <c r="D23" s="34">
        <v>33</v>
      </c>
      <c r="E23" s="34">
        <v>32</v>
      </c>
      <c r="F23" s="34">
        <v>34</v>
      </c>
      <c r="G23" s="34">
        <v>37</v>
      </c>
      <c r="H23" s="34">
        <v>28</v>
      </c>
      <c r="I23" s="34">
        <v>16</v>
      </c>
      <c r="J23" s="237">
        <v>17</v>
      </c>
      <c r="K23" s="237">
        <v>17</v>
      </c>
      <c r="L23" s="34">
        <v>20</v>
      </c>
      <c r="M23" s="35">
        <v>0</v>
      </c>
      <c r="N23" s="14"/>
      <c r="O23" s="14"/>
      <c r="P23" s="14"/>
      <c r="Q23" s="14"/>
      <c r="R23" s="14"/>
      <c r="S23" s="14"/>
      <c r="T23" s="14"/>
      <c r="U23" s="15"/>
    </row>
    <row r="24" spans="2:21">
      <c r="B24" s="38" t="s">
        <v>453</v>
      </c>
      <c r="C24" s="34">
        <v>30</v>
      </c>
      <c r="D24" s="34">
        <v>31</v>
      </c>
      <c r="E24" s="34">
        <v>30</v>
      </c>
      <c r="F24" s="34">
        <v>32</v>
      </c>
      <c r="G24" s="34">
        <v>35</v>
      </c>
      <c r="H24" s="34">
        <v>26</v>
      </c>
      <c r="I24" s="34">
        <v>14</v>
      </c>
      <c r="J24" s="237">
        <v>15</v>
      </c>
      <c r="K24" s="237">
        <v>15</v>
      </c>
      <c r="L24" s="34">
        <v>20</v>
      </c>
      <c r="M24" s="34">
        <v>2</v>
      </c>
      <c r="N24" s="35">
        <v>0</v>
      </c>
      <c r="O24" s="14"/>
      <c r="P24" s="14"/>
      <c r="Q24" s="14"/>
      <c r="R24" s="14"/>
      <c r="S24" s="14"/>
      <c r="T24" s="14"/>
      <c r="U24" s="15"/>
    </row>
    <row r="25" spans="2:21">
      <c r="B25" s="38" t="s">
        <v>454</v>
      </c>
      <c r="C25" s="34">
        <v>30</v>
      </c>
      <c r="D25" s="34">
        <v>31</v>
      </c>
      <c r="E25" s="34">
        <v>30</v>
      </c>
      <c r="F25" s="34">
        <v>32</v>
      </c>
      <c r="G25" s="34">
        <v>35</v>
      </c>
      <c r="H25" s="34">
        <v>21</v>
      </c>
      <c r="I25" s="34">
        <v>14</v>
      </c>
      <c r="J25" s="237">
        <v>15</v>
      </c>
      <c r="K25" s="237">
        <v>15</v>
      </c>
      <c r="L25" s="34">
        <v>20</v>
      </c>
      <c r="M25" s="34">
        <v>2</v>
      </c>
      <c r="N25" s="34">
        <v>0</v>
      </c>
      <c r="O25" s="35">
        <v>0</v>
      </c>
      <c r="P25" s="14"/>
      <c r="Q25" s="14"/>
      <c r="R25" s="14"/>
      <c r="S25" s="14"/>
      <c r="T25" s="14"/>
      <c r="U25" s="15"/>
    </row>
    <row r="26" spans="2:21">
      <c r="B26" s="38" t="s">
        <v>424</v>
      </c>
      <c r="C26" s="34">
        <v>40</v>
      </c>
      <c r="D26" s="34">
        <v>41</v>
      </c>
      <c r="E26" s="34">
        <v>40</v>
      </c>
      <c r="F26" s="34">
        <v>42</v>
      </c>
      <c r="G26" s="34">
        <v>45</v>
      </c>
      <c r="H26" s="34">
        <v>38</v>
      </c>
      <c r="I26" s="34">
        <v>24</v>
      </c>
      <c r="J26" s="237">
        <v>25</v>
      </c>
      <c r="K26" s="237">
        <v>25</v>
      </c>
      <c r="L26" s="34">
        <v>30</v>
      </c>
      <c r="M26" s="34">
        <v>12</v>
      </c>
      <c r="N26" s="34">
        <v>10</v>
      </c>
      <c r="O26" s="34">
        <v>10</v>
      </c>
      <c r="P26" s="14"/>
      <c r="Q26" s="14"/>
      <c r="R26" s="14"/>
      <c r="S26" s="14"/>
      <c r="T26" s="14"/>
      <c r="U26" s="15"/>
    </row>
    <row r="27" spans="2:21">
      <c r="B27" s="38" t="s">
        <v>425</v>
      </c>
      <c r="C27" s="34">
        <v>38</v>
      </c>
      <c r="D27" s="34">
        <v>39</v>
      </c>
      <c r="E27" s="34">
        <v>38</v>
      </c>
      <c r="F27" s="34">
        <v>40</v>
      </c>
      <c r="G27" s="34">
        <v>45</v>
      </c>
      <c r="H27" s="34">
        <v>36</v>
      </c>
      <c r="I27" s="34">
        <v>22</v>
      </c>
      <c r="J27" s="237">
        <v>22</v>
      </c>
      <c r="K27" s="237">
        <v>22</v>
      </c>
      <c r="L27" s="34">
        <v>28</v>
      </c>
      <c r="M27" s="34">
        <v>10</v>
      </c>
      <c r="N27" s="34">
        <v>8</v>
      </c>
      <c r="O27" s="34">
        <v>8</v>
      </c>
      <c r="P27" s="14"/>
      <c r="Q27" s="14"/>
      <c r="R27" s="14"/>
      <c r="S27" s="14"/>
      <c r="T27" s="14"/>
      <c r="U27" s="15"/>
    </row>
    <row r="28" spans="2:21">
      <c r="B28" s="38" t="s">
        <v>426</v>
      </c>
      <c r="C28" s="34">
        <v>26</v>
      </c>
      <c r="D28" s="34">
        <v>27</v>
      </c>
      <c r="E28" s="34">
        <v>26</v>
      </c>
      <c r="F28" s="34">
        <v>28</v>
      </c>
      <c r="G28" s="34">
        <v>30</v>
      </c>
      <c r="H28" s="34">
        <v>25</v>
      </c>
      <c r="I28" s="34">
        <v>6</v>
      </c>
      <c r="J28" s="237">
        <v>10</v>
      </c>
      <c r="K28" s="237">
        <v>9</v>
      </c>
      <c r="L28" s="34">
        <v>12</v>
      </c>
      <c r="M28" s="34">
        <v>12</v>
      </c>
      <c r="N28" s="34">
        <v>10</v>
      </c>
      <c r="O28" s="34">
        <v>10</v>
      </c>
      <c r="P28" s="14"/>
      <c r="Q28" s="14"/>
      <c r="R28" s="14"/>
      <c r="S28" s="14"/>
      <c r="T28" s="14"/>
      <c r="U28" s="15"/>
    </row>
    <row r="29" spans="2:21">
      <c r="B29" s="38" t="s">
        <v>458</v>
      </c>
      <c r="C29" s="34">
        <v>26</v>
      </c>
      <c r="D29" s="34">
        <v>27</v>
      </c>
      <c r="E29" s="34">
        <v>26</v>
      </c>
      <c r="F29" s="34">
        <v>28</v>
      </c>
      <c r="G29" s="34">
        <v>30</v>
      </c>
      <c r="H29" s="34">
        <v>25</v>
      </c>
      <c r="I29" s="34">
        <v>10</v>
      </c>
      <c r="J29" s="237">
        <v>11</v>
      </c>
      <c r="K29" s="237">
        <v>11</v>
      </c>
      <c r="L29" s="34">
        <v>16</v>
      </c>
      <c r="M29" s="34">
        <v>14</v>
      </c>
      <c r="N29" s="34">
        <v>12</v>
      </c>
      <c r="O29" s="34">
        <v>12</v>
      </c>
      <c r="P29" s="14"/>
      <c r="Q29" s="14"/>
      <c r="R29" s="14"/>
      <c r="S29" s="14"/>
      <c r="T29" s="14"/>
      <c r="U29" s="15"/>
    </row>
    <row r="30" spans="2:21">
      <c r="B30" s="38" t="s">
        <v>429</v>
      </c>
      <c r="C30" s="34">
        <v>10</v>
      </c>
      <c r="D30" s="34">
        <v>11</v>
      </c>
      <c r="E30" s="34">
        <v>10</v>
      </c>
      <c r="F30" s="34">
        <v>7</v>
      </c>
      <c r="G30" s="34">
        <v>14</v>
      </c>
      <c r="H30" s="34">
        <v>19</v>
      </c>
      <c r="I30" s="34">
        <v>9</v>
      </c>
      <c r="J30" s="237">
        <v>10</v>
      </c>
      <c r="K30" s="237">
        <v>10</v>
      </c>
      <c r="L30" s="34">
        <v>15</v>
      </c>
      <c r="M30" s="34">
        <v>25</v>
      </c>
      <c r="N30" s="34">
        <v>23</v>
      </c>
      <c r="O30" s="34">
        <v>23</v>
      </c>
      <c r="P30" s="35">
        <v>0</v>
      </c>
      <c r="Q30" s="14"/>
      <c r="R30" s="14"/>
      <c r="S30" s="14"/>
      <c r="T30" s="14"/>
      <c r="U30" s="15"/>
    </row>
    <row r="31" spans="2:21">
      <c r="B31" s="38" t="s">
        <v>662</v>
      </c>
      <c r="C31" s="34">
        <v>8</v>
      </c>
      <c r="D31" s="34">
        <v>9</v>
      </c>
      <c r="E31" s="34">
        <v>8</v>
      </c>
      <c r="F31" s="34">
        <v>6</v>
      </c>
      <c r="G31" s="34">
        <v>13</v>
      </c>
      <c r="H31" s="34">
        <v>18</v>
      </c>
      <c r="I31" s="34">
        <v>8</v>
      </c>
      <c r="J31" s="237">
        <v>9</v>
      </c>
      <c r="K31" s="237">
        <v>9</v>
      </c>
      <c r="L31" s="34">
        <v>14</v>
      </c>
      <c r="M31" s="34">
        <v>24</v>
      </c>
      <c r="N31" s="34">
        <v>22</v>
      </c>
      <c r="O31" s="34">
        <v>22</v>
      </c>
      <c r="P31" s="35">
        <v>1</v>
      </c>
      <c r="Q31" s="14"/>
      <c r="R31" s="14"/>
      <c r="S31" s="14"/>
      <c r="T31" s="14"/>
      <c r="U31" s="15"/>
    </row>
    <row r="32" spans="2:21">
      <c r="B32" s="38" t="s">
        <v>428</v>
      </c>
      <c r="C32" s="34">
        <v>20</v>
      </c>
      <c r="D32" s="34">
        <v>21</v>
      </c>
      <c r="E32" s="34">
        <v>20</v>
      </c>
      <c r="F32" s="34">
        <v>17</v>
      </c>
      <c r="G32" s="34">
        <v>27</v>
      </c>
      <c r="H32" s="34">
        <v>29</v>
      </c>
      <c r="I32" s="34">
        <v>19</v>
      </c>
      <c r="J32" s="237">
        <v>20</v>
      </c>
      <c r="K32" s="237">
        <v>20</v>
      </c>
      <c r="L32" s="34">
        <v>24</v>
      </c>
      <c r="M32" s="34">
        <v>34</v>
      </c>
      <c r="N32" s="34">
        <v>32</v>
      </c>
      <c r="O32" s="34">
        <v>32</v>
      </c>
      <c r="P32" s="34">
        <v>10</v>
      </c>
      <c r="Q32" s="14"/>
      <c r="R32" s="14"/>
      <c r="S32" s="14"/>
      <c r="T32" s="14"/>
      <c r="U32" s="15"/>
    </row>
    <row r="33" spans="2:21">
      <c r="B33" s="38" t="s">
        <v>434</v>
      </c>
      <c r="C33" s="34">
        <v>28</v>
      </c>
      <c r="D33" s="34">
        <v>29</v>
      </c>
      <c r="E33" s="34">
        <v>28</v>
      </c>
      <c r="F33" s="34">
        <v>30</v>
      </c>
      <c r="G33" s="34">
        <v>32</v>
      </c>
      <c r="H33" s="34">
        <v>24</v>
      </c>
      <c r="I33" s="34">
        <v>13</v>
      </c>
      <c r="J33" s="237">
        <v>12</v>
      </c>
      <c r="K33" s="237">
        <v>12</v>
      </c>
      <c r="L33" s="34">
        <v>15</v>
      </c>
      <c r="M33" s="34">
        <v>28</v>
      </c>
      <c r="N33" s="34">
        <v>26</v>
      </c>
      <c r="O33" s="34">
        <v>26</v>
      </c>
      <c r="P33" s="34">
        <v>20</v>
      </c>
      <c r="Q33" s="35">
        <v>0</v>
      </c>
      <c r="R33" s="14"/>
      <c r="S33" s="14"/>
      <c r="T33" s="14"/>
      <c r="U33" s="15"/>
    </row>
    <row r="34" spans="2:21">
      <c r="B34" s="38" t="s">
        <v>455</v>
      </c>
      <c r="C34" s="34">
        <v>46</v>
      </c>
      <c r="D34" s="34">
        <v>47</v>
      </c>
      <c r="E34" s="34">
        <v>46</v>
      </c>
      <c r="F34" s="34">
        <v>48</v>
      </c>
      <c r="G34" s="34">
        <v>50</v>
      </c>
      <c r="H34" s="34">
        <v>42</v>
      </c>
      <c r="I34" s="34">
        <v>30</v>
      </c>
      <c r="J34" s="237">
        <v>29</v>
      </c>
      <c r="K34" s="237">
        <v>29</v>
      </c>
      <c r="L34" s="34">
        <v>33</v>
      </c>
      <c r="M34" s="34">
        <v>46</v>
      </c>
      <c r="N34" s="34">
        <v>44</v>
      </c>
      <c r="O34" s="34">
        <v>44</v>
      </c>
      <c r="P34" s="34">
        <v>39</v>
      </c>
      <c r="Q34" s="34">
        <v>18</v>
      </c>
      <c r="R34" s="35">
        <v>0</v>
      </c>
      <c r="S34" s="14"/>
      <c r="T34" s="14"/>
      <c r="U34" s="15"/>
    </row>
    <row r="35" spans="2:21">
      <c r="B35" s="38" t="s">
        <v>456</v>
      </c>
      <c r="C35" s="34">
        <v>46</v>
      </c>
      <c r="D35" s="34">
        <v>49</v>
      </c>
      <c r="E35" s="34">
        <v>46</v>
      </c>
      <c r="F35" s="34">
        <v>48</v>
      </c>
      <c r="G35" s="34">
        <v>50</v>
      </c>
      <c r="H35" s="34">
        <v>42</v>
      </c>
      <c r="I35" s="34">
        <v>30</v>
      </c>
      <c r="J35" s="237">
        <v>29</v>
      </c>
      <c r="K35" s="237">
        <v>29</v>
      </c>
      <c r="L35" s="34">
        <v>33</v>
      </c>
      <c r="M35" s="34">
        <v>46</v>
      </c>
      <c r="N35" s="34">
        <v>44</v>
      </c>
      <c r="O35" s="34">
        <v>44</v>
      </c>
      <c r="P35" s="34">
        <v>39</v>
      </c>
      <c r="Q35" s="34">
        <v>18</v>
      </c>
      <c r="R35" s="34">
        <v>0</v>
      </c>
      <c r="S35" s="35">
        <v>0</v>
      </c>
      <c r="T35" s="14"/>
      <c r="U35" s="15"/>
    </row>
    <row r="36" spans="2:21">
      <c r="B36" s="38" t="s">
        <v>436</v>
      </c>
      <c r="C36" s="34">
        <v>38</v>
      </c>
      <c r="D36" s="34">
        <v>39</v>
      </c>
      <c r="E36" s="34">
        <v>38</v>
      </c>
      <c r="F36" s="34">
        <v>46</v>
      </c>
      <c r="G36" s="34">
        <v>48</v>
      </c>
      <c r="H36" s="34">
        <v>40</v>
      </c>
      <c r="I36" s="34">
        <v>27</v>
      </c>
      <c r="J36" s="237">
        <v>26</v>
      </c>
      <c r="K36" s="237">
        <v>26</v>
      </c>
      <c r="L36" s="34">
        <v>30</v>
      </c>
      <c r="M36" s="34">
        <v>44</v>
      </c>
      <c r="N36" s="34">
        <v>46</v>
      </c>
      <c r="O36" s="34">
        <v>46</v>
      </c>
      <c r="P36" s="34">
        <v>34</v>
      </c>
      <c r="Q36" s="34">
        <v>14</v>
      </c>
      <c r="R36" s="34">
        <v>8</v>
      </c>
      <c r="S36" s="34">
        <v>8</v>
      </c>
      <c r="T36" s="35">
        <v>0</v>
      </c>
      <c r="U36" s="15"/>
    </row>
    <row r="37" spans="2:21">
      <c r="B37" s="39" t="s">
        <v>663</v>
      </c>
      <c r="C37" s="36">
        <v>51</v>
      </c>
      <c r="D37" s="36">
        <v>52</v>
      </c>
      <c r="E37" s="36">
        <v>51</v>
      </c>
      <c r="F37" s="36">
        <v>59</v>
      </c>
      <c r="G37" s="36">
        <v>61</v>
      </c>
      <c r="H37" s="36">
        <v>53</v>
      </c>
      <c r="I37" s="36">
        <v>41</v>
      </c>
      <c r="J37" s="238">
        <v>40</v>
      </c>
      <c r="K37" s="238">
        <v>40</v>
      </c>
      <c r="L37" s="36">
        <v>45</v>
      </c>
      <c r="M37" s="36">
        <v>57</v>
      </c>
      <c r="N37" s="36">
        <v>55</v>
      </c>
      <c r="O37" s="36">
        <v>55</v>
      </c>
      <c r="P37" s="36">
        <v>50</v>
      </c>
      <c r="Q37" s="36">
        <v>28</v>
      </c>
      <c r="R37" s="36">
        <v>21</v>
      </c>
      <c r="S37" s="36">
        <v>21</v>
      </c>
      <c r="T37" s="36">
        <v>13</v>
      </c>
      <c r="U37" s="15"/>
    </row>
    <row r="38" spans="2:21">
      <c r="B38" s="40" t="s">
        <v>457</v>
      </c>
      <c r="C38" s="36">
        <v>143</v>
      </c>
      <c r="D38" s="36">
        <v>144</v>
      </c>
      <c r="E38" s="36">
        <v>143</v>
      </c>
      <c r="F38" s="36">
        <v>145</v>
      </c>
      <c r="G38" s="36">
        <v>147</v>
      </c>
      <c r="H38" s="36">
        <v>136</v>
      </c>
      <c r="I38" s="36">
        <v>127</v>
      </c>
      <c r="J38" s="238">
        <v>126</v>
      </c>
      <c r="K38" s="238">
        <v>126</v>
      </c>
      <c r="L38" s="36">
        <v>133</v>
      </c>
      <c r="M38" s="36">
        <v>143</v>
      </c>
      <c r="N38" s="36">
        <v>141</v>
      </c>
      <c r="O38" s="36">
        <v>141</v>
      </c>
      <c r="P38" s="36">
        <v>136</v>
      </c>
      <c r="Q38" s="36">
        <v>114</v>
      </c>
      <c r="R38" s="36">
        <v>100</v>
      </c>
      <c r="S38" s="36">
        <v>100</v>
      </c>
      <c r="T38" s="36">
        <v>108</v>
      </c>
      <c r="U38" s="37">
        <v>0</v>
      </c>
    </row>
  </sheetData>
  <phoneticPr fontId="0" type="noConversion"/>
  <pageMargins left="1.5748031496062993" right="0.78740157480314965" top="0.48" bottom="0.68" header="0.51181102362204722" footer="0.51181102362204722"/>
  <pageSetup paperSize="9" scale="95" orientation="landscape" horizontalDpi="300" verticalDpi="3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8"/>
  <sheetViews>
    <sheetView topLeftCell="A24" zoomScale="75" zoomScaleNormal="75" workbookViewId="0">
      <selection activeCell="I15" sqref="I15:I16"/>
    </sheetView>
  </sheetViews>
  <sheetFormatPr baseColWidth="10" defaultRowHeight="12.75"/>
  <cols>
    <col min="1" max="1" width="20.5703125" customWidth="1"/>
    <col min="2" max="2" width="41.5703125" customWidth="1"/>
    <col min="3" max="6" width="10.28515625" customWidth="1"/>
    <col min="7" max="7" width="9.5703125" customWidth="1"/>
    <col min="8" max="8" width="8.7109375" customWidth="1"/>
    <col min="9" max="9" width="8.5703125" customWidth="1"/>
    <col min="11" max="11" width="6.42578125" customWidth="1"/>
  </cols>
  <sheetData>
    <row r="1" spans="1:11">
      <c r="A1" s="82" t="s">
        <v>57</v>
      </c>
      <c r="B1" s="116"/>
      <c r="C1" s="116"/>
      <c r="D1" s="116"/>
      <c r="E1" s="116"/>
      <c r="F1" s="116"/>
      <c r="G1" s="116"/>
      <c r="H1" s="116"/>
      <c r="I1" s="116"/>
    </row>
    <row r="2" spans="1:11">
      <c r="A2" s="82"/>
      <c r="B2" s="116"/>
      <c r="C2" s="116"/>
      <c r="D2" s="116"/>
      <c r="E2" s="116"/>
      <c r="F2" s="116"/>
      <c r="G2" s="116"/>
      <c r="H2" s="116"/>
      <c r="I2" s="116"/>
    </row>
    <row r="3" spans="1:11">
      <c r="A3" s="3" t="s">
        <v>1374</v>
      </c>
      <c r="B3" s="116"/>
      <c r="C3" s="116"/>
      <c r="D3" s="116"/>
      <c r="E3" s="116"/>
      <c r="F3" s="116"/>
      <c r="G3" s="116"/>
      <c r="H3" s="116"/>
      <c r="I3" s="116"/>
    </row>
    <row r="4" spans="1:11">
      <c r="A4" s="82"/>
      <c r="B4" s="116"/>
      <c r="C4" s="116"/>
      <c r="D4" s="116"/>
      <c r="E4" s="116"/>
      <c r="F4" s="116"/>
      <c r="G4" s="116"/>
      <c r="H4" s="116"/>
      <c r="I4" s="116"/>
    </row>
    <row r="5" spans="1:11">
      <c r="A5" s="116"/>
      <c r="B5" s="116"/>
      <c r="C5" s="116"/>
      <c r="D5" s="116"/>
      <c r="E5" s="116"/>
      <c r="F5" s="116"/>
      <c r="G5" s="116"/>
      <c r="H5" s="116"/>
      <c r="I5" s="116"/>
    </row>
    <row r="6" spans="1:11">
      <c r="A6" s="220"/>
      <c r="B6" s="220"/>
      <c r="C6" s="220"/>
      <c r="D6" s="220"/>
      <c r="E6" s="220"/>
      <c r="F6" s="220"/>
      <c r="G6" s="220"/>
      <c r="H6" s="220"/>
      <c r="I6" s="220"/>
    </row>
    <row r="7" spans="1:11" ht="33.75" customHeight="1">
      <c r="A7" s="714" t="s">
        <v>58</v>
      </c>
      <c r="B7" s="297"/>
      <c r="C7" s="92" t="s">
        <v>59</v>
      </c>
      <c r="D7" s="92" t="s">
        <v>60</v>
      </c>
      <c r="E7" s="91" t="s">
        <v>467</v>
      </c>
      <c r="F7" s="92" t="s">
        <v>1106</v>
      </c>
      <c r="G7" s="91" t="s">
        <v>61</v>
      </c>
      <c r="H7" s="715" t="s">
        <v>62</v>
      </c>
      <c r="I7" s="298" t="s">
        <v>656</v>
      </c>
      <c r="J7" s="6"/>
    </row>
    <row r="8" spans="1:11" ht="30" customHeight="1">
      <c r="A8" s="251" t="s">
        <v>63</v>
      </c>
      <c r="B8" s="716" t="s">
        <v>64</v>
      </c>
      <c r="C8" s="717">
        <v>3912</v>
      </c>
      <c r="D8" s="717">
        <v>3194</v>
      </c>
      <c r="E8" s="717"/>
      <c r="F8" s="717"/>
      <c r="G8" s="717"/>
      <c r="H8" s="717"/>
      <c r="I8" s="718">
        <f t="shared" ref="I8:I14" si="0">SUM(C8:H8)</f>
        <v>7106</v>
      </c>
      <c r="J8" s="6"/>
    </row>
    <row r="9" spans="1:11" ht="30" customHeight="1">
      <c r="A9" s="677" t="s">
        <v>65</v>
      </c>
      <c r="B9" s="716" t="s">
        <v>66</v>
      </c>
      <c r="C9" s="717">
        <v>97</v>
      </c>
      <c r="D9" s="717">
        <v>0</v>
      </c>
      <c r="E9" s="717"/>
      <c r="F9" s="717"/>
      <c r="G9" s="717"/>
      <c r="H9" s="717"/>
      <c r="I9" s="718">
        <f t="shared" si="0"/>
        <v>97</v>
      </c>
      <c r="J9" s="6"/>
      <c r="K9" s="118">
        <f>SUM(I8:I9)</f>
        <v>7203</v>
      </c>
    </row>
    <row r="10" spans="1:11" ht="30" customHeight="1">
      <c r="A10" s="251" t="s">
        <v>63</v>
      </c>
      <c r="B10" s="716" t="s">
        <v>64</v>
      </c>
      <c r="C10" s="717">
        <v>855</v>
      </c>
      <c r="D10" s="717">
        <v>333</v>
      </c>
      <c r="E10" s="717"/>
      <c r="F10" s="717"/>
      <c r="G10" s="717"/>
      <c r="H10" s="717"/>
      <c r="I10" s="718">
        <f t="shared" si="0"/>
        <v>1188</v>
      </c>
      <c r="J10" s="6"/>
      <c r="K10" s="118"/>
    </row>
    <row r="11" spans="1:11" ht="30" customHeight="1">
      <c r="A11" s="677" t="s">
        <v>67</v>
      </c>
      <c r="B11" s="716" t="s">
        <v>66</v>
      </c>
      <c r="C11" s="717">
        <v>886</v>
      </c>
      <c r="D11" s="717">
        <v>0</v>
      </c>
      <c r="E11" s="717"/>
      <c r="F11" s="717"/>
      <c r="G11" s="717"/>
      <c r="H11" s="717"/>
      <c r="I11" s="718">
        <f t="shared" si="0"/>
        <v>886</v>
      </c>
      <c r="J11" s="6"/>
      <c r="K11" s="118">
        <f>SUM(I10:I11)</f>
        <v>2074</v>
      </c>
    </row>
    <row r="12" spans="1:11" ht="30" customHeight="1">
      <c r="A12" s="299" t="s">
        <v>68</v>
      </c>
      <c r="B12" s="716" t="s">
        <v>69</v>
      </c>
      <c r="C12" s="717">
        <v>1243</v>
      </c>
      <c r="D12" s="717">
        <v>2137</v>
      </c>
      <c r="E12" s="717"/>
      <c r="F12" s="717"/>
      <c r="G12" s="717"/>
      <c r="H12" s="717"/>
      <c r="I12" s="718">
        <f t="shared" si="0"/>
        <v>3380</v>
      </c>
      <c r="J12" s="6"/>
    </row>
    <row r="13" spans="1:11" ht="30" customHeight="1">
      <c r="A13" s="251"/>
      <c r="B13" s="674" t="s">
        <v>70</v>
      </c>
      <c r="C13" s="717">
        <v>11</v>
      </c>
      <c r="D13" s="717">
        <v>24</v>
      </c>
      <c r="E13" s="717"/>
      <c r="F13" s="717"/>
      <c r="G13" s="717"/>
      <c r="H13" s="717"/>
      <c r="I13" s="718">
        <f t="shared" si="0"/>
        <v>35</v>
      </c>
      <c r="J13" s="6"/>
      <c r="K13" s="118">
        <f>SUM(I12:I13)</f>
        <v>3415</v>
      </c>
    </row>
    <row r="14" spans="1:11" ht="30" customHeight="1">
      <c r="A14" s="719" t="s">
        <v>71</v>
      </c>
      <c r="B14" s="720"/>
      <c r="C14" s="721">
        <v>3687</v>
      </c>
      <c r="D14" s="717">
        <v>4370</v>
      </c>
      <c r="E14" s="717"/>
      <c r="F14" s="717">
        <v>270</v>
      </c>
      <c r="G14" s="717">
        <v>7</v>
      </c>
      <c r="H14" s="717">
        <v>590</v>
      </c>
      <c r="I14" s="718">
        <f t="shared" si="0"/>
        <v>8924</v>
      </c>
      <c r="J14" s="6"/>
      <c r="K14" s="118">
        <f>+I14</f>
        <v>8924</v>
      </c>
    </row>
    <row r="15" spans="1:11" ht="30" customHeight="1">
      <c r="A15" s="251"/>
      <c r="B15" s="716" t="s">
        <v>69</v>
      </c>
      <c r="C15" s="717">
        <f>+C8+C9+C12</f>
        <v>5252</v>
      </c>
      <c r="D15" s="717">
        <f t="shared" ref="D15:I15" si="1">+D8+D9+D12</f>
        <v>5331</v>
      </c>
      <c r="E15" s="717">
        <f t="shared" si="1"/>
        <v>0</v>
      </c>
      <c r="F15" s="717">
        <f t="shared" si="1"/>
        <v>0</v>
      </c>
      <c r="G15" s="717">
        <f t="shared" si="1"/>
        <v>0</v>
      </c>
      <c r="H15" s="717">
        <f t="shared" si="1"/>
        <v>0</v>
      </c>
      <c r="I15" s="717">
        <f t="shared" si="1"/>
        <v>10583</v>
      </c>
      <c r="J15" s="6"/>
    </row>
    <row r="16" spans="1:11" ht="30" customHeight="1">
      <c r="A16" s="251" t="s">
        <v>644</v>
      </c>
      <c r="B16" s="674" t="s">
        <v>70</v>
      </c>
      <c r="C16" s="717">
        <f>+C10+C13+C11</f>
        <v>1752</v>
      </c>
      <c r="D16" s="717">
        <f t="shared" ref="D16:I16" si="2">+D10+D13+D11</f>
        <v>357</v>
      </c>
      <c r="E16" s="717">
        <f t="shared" si="2"/>
        <v>0</v>
      </c>
      <c r="F16" s="717">
        <f t="shared" si="2"/>
        <v>0</v>
      </c>
      <c r="G16" s="717">
        <f t="shared" si="2"/>
        <v>0</v>
      </c>
      <c r="H16" s="717">
        <f t="shared" si="2"/>
        <v>0</v>
      </c>
      <c r="I16" s="717">
        <f t="shared" si="2"/>
        <v>2109</v>
      </c>
      <c r="J16" s="6"/>
    </row>
    <row r="17" spans="1:11" ht="30" customHeight="1">
      <c r="A17" s="251"/>
      <c r="B17" s="716" t="s">
        <v>72</v>
      </c>
      <c r="C17" s="717">
        <f>+C14</f>
        <v>3687</v>
      </c>
      <c r="D17" s="717">
        <f t="shared" ref="D17:I17" si="3">+D14</f>
        <v>4370</v>
      </c>
      <c r="E17" s="717">
        <f t="shared" si="3"/>
        <v>0</v>
      </c>
      <c r="F17" s="717">
        <f t="shared" si="3"/>
        <v>270</v>
      </c>
      <c r="G17" s="717">
        <f t="shared" si="3"/>
        <v>7</v>
      </c>
      <c r="H17" s="717">
        <f t="shared" si="3"/>
        <v>590</v>
      </c>
      <c r="I17" s="717">
        <f t="shared" si="3"/>
        <v>8924</v>
      </c>
      <c r="J17" s="6"/>
    </row>
    <row r="18" spans="1:11" ht="30" customHeight="1">
      <c r="A18" s="722"/>
      <c r="B18" s="716" t="s">
        <v>644</v>
      </c>
      <c r="C18" s="717">
        <f t="shared" ref="C18:I18" si="4">SUM(C15:C17)</f>
        <v>10691</v>
      </c>
      <c r="D18" s="717">
        <f t="shared" si="4"/>
        <v>10058</v>
      </c>
      <c r="E18" s="717">
        <f t="shared" si="4"/>
        <v>0</v>
      </c>
      <c r="F18" s="717">
        <f t="shared" si="4"/>
        <v>270</v>
      </c>
      <c r="G18" s="717">
        <f t="shared" si="4"/>
        <v>7</v>
      </c>
      <c r="H18" s="717">
        <f t="shared" si="4"/>
        <v>590</v>
      </c>
      <c r="I18" s="717">
        <f t="shared" si="4"/>
        <v>21616</v>
      </c>
      <c r="K18" s="118">
        <f>SUM(K13,K10)</f>
        <v>3415</v>
      </c>
    </row>
    <row r="19" spans="1:11">
      <c r="A19" s="220"/>
      <c r="B19" s="220"/>
      <c r="C19" s="220"/>
      <c r="D19" s="220"/>
      <c r="E19" s="220"/>
      <c r="F19" s="220"/>
      <c r="G19" s="220"/>
      <c r="H19" s="220"/>
      <c r="I19" s="220"/>
    </row>
    <row r="20" spans="1:11">
      <c r="A20" s="220"/>
      <c r="B20" s="220"/>
      <c r="C20" s="220"/>
      <c r="D20" s="220"/>
      <c r="E20" s="220"/>
      <c r="F20" s="220"/>
      <c r="G20" s="220"/>
      <c r="H20" s="220"/>
      <c r="I20" s="220"/>
    </row>
    <row r="21" spans="1:11">
      <c r="A21" s="220"/>
      <c r="B21" s="220"/>
      <c r="C21" s="220"/>
      <c r="D21" s="220"/>
      <c r="E21" s="220"/>
      <c r="F21" s="220"/>
      <c r="G21" s="220"/>
      <c r="H21" s="220"/>
      <c r="I21" s="220"/>
    </row>
    <row r="22" spans="1:11">
      <c r="A22" s="220"/>
      <c r="B22" s="220"/>
      <c r="C22" s="220"/>
      <c r="D22" s="220"/>
      <c r="E22" s="220"/>
      <c r="F22" s="220"/>
      <c r="G22" s="220"/>
      <c r="H22" s="220"/>
      <c r="I22" s="220"/>
    </row>
    <row r="23" spans="1:11">
      <c r="H23" s="220"/>
      <c r="I23" s="220"/>
    </row>
    <row r="24" spans="1:11">
      <c r="H24" s="220"/>
      <c r="I24" s="220"/>
    </row>
    <row r="25" spans="1:11">
      <c r="H25" s="220"/>
      <c r="I25" s="220"/>
    </row>
    <row r="26" spans="1:11">
      <c r="H26" s="220"/>
      <c r="I26" s="220"/>
    </row>
    <row r="27" spans="1:11">
      <c r="H27" s="220"/>
      <c r="I27" s="220"/>
    </row>
    <row r="28" spans="1:11">
      <c r="H28" s="220"/>
      <c r="I28" s="220"/>
    </row>
    <row r="29" spans="1:11">
      <c r="H29" s="220"/>
      <c r="I29" s="220"/>
    </row>
    <row r="30" spans="1:11">
      <c r="H30" s="220"/>
      <c r="I30" s="220"/>
    </row>
    <row r="31" spans="1:11">
      <c r="H31" s="220"/>
      <c r="I31" s="220"/>
    </row>
    <row r="32" spans="1:11">
      <c r="H32" s="220"/>
      <c r="I32" s="220"/>
    </row>
    <row r="33" spans="8:9">
      <c r="H33" s="220"/>
      <c r="I33" s="220"/>
    </row>
    <row r="34" spans="8:9">
      <c r="H34" s="220"/>
      <c r="I34" s="220"/>
    </row>
    <row r="35" spans="8:9">
      <c r="H35" s="220"/>
      <c r="I35" s="220"/>
    </row>
    <row r="36" spans="8:9">
      <c r="H36" s="220"/>
      <c r="I36" s="220"/>
    </row>
    <row r="37" spans="8:9">
      <c r="H37" s="220"/>
      <c r="I37" s="220"/>
    </row>
    <row r="38" spans="8:9">
      <c r="H38" s="220"/>
      <c r="I38" s="220"/>
    </row>
    <row r="39" spans="8:9">
      <c r="H39" s="220"/>
      <c r="I39" s="220"/>
    </row>
    <row r="40" spans="8:9">
      <c r="H40" s="220"/>
      <c r="I40" s="220"/>
    </row>
    <row r="41" spans="8:9">
      <c r="H41" s="220"/>
      <c r="I41" s="220"/>
    </row>
    <row r="42" spans="8:9">
      <c r="H42" s="220"/>
      <c r="I42" s="220"/>
    </row>
    <row r="43" spans="8:9">
      <c r="H43" s="220"/>
      <c r="I43" s="220"/>
    </row>
    <row r="44" spans="8:9">
      <c r="H44" s="220"/>
      <c r="I44" s="220"/>
    </row>
    <row r="45" spans="8:9">
      <c r="H45" s="220"/>
      <c r="I45" s="220"/>
    </row>
    <row r="46" spans="8:9">
      <c r="H46" s="220"/>
      <c r="I46" s="220"/>
    </row>
    <row r="47" spans="8:9">
      <c r="H47" s="220"/>
      <c r="I47" s="220"/>
    </row>
    <row r="48" spans="8:9">
      <c r="H48" s="220"/>
      <c r="I48" s="220"/>
    </row>
    <row r="49" spans="8:9">
      <c r="H49" s="220"/>
      <c r="I49" s="220"/>
    </row>
    <row r="50" spans="8:9">
      <c r="H50" s="220"/>
      <c r="I50" s="220"/>
    </row>
    <row r="51" spans="8:9">
      <c r="H51" s="220"/>
      <c r="I51" s="220"/>
    </row>
    <row r="52" spans="8:9">
      <c r="H52" s="220"/>
      <c r="I52" s="220"/>
    </row>
    <row r="53" spans="8:9">
      <c r="H53" s="220"/>
      <c r="I53" s="220"/>
    </row>
    <row r="54" spans="8:9">
      <c r="H54" s="220"/>
      <c r="I54" s="220"/>
    </row>
    <row r="55" spans="8:9">
      <c r="H55" s="220"/>
      <c r="I55" s="220"/>
    </row>
    <row r="56" spans="8:9">
      <c r="H56" s="220"/>
      <c r="I56" s="220"/>
    </row>
    <row r="57" spans="8:9">
      <c r="H57" s="220"/>
      <c r="I57" s="220"/>
    </row>
    <row r="58" spans="8:9">
      <c r="H58" s="220"/>
      <c r="I58" s="220"/>
    </row>
    <row r="59" spans="8:9">
      <c r="H59" s="220"/>
      <c r="I59" s="220"/>
    </row>
    <row r="60" spans="8:9">
      <c r="H60" s="220"/>
      <c r="I60" s="220"/>
    </row>
    <row r="61" spans="8:9">
      <c r="H61" s="220"/>
      <c r="I61" s="220"/>
    </row>
    <row r="62" spans="8:9">
      <c r="H62" s="220"/>
      <c r="I62" s="220"/>
    </row>
    <row r="63" spans="8:9">
      <c r="H63" s="220"/>
      <c r="I63" s="220"/>
    </row>
    <row r="64" spans="8:9">
      <c r="H64" s="220"/>
      <c r="I64" s="220"/>
    </row>
    <row r="65" spans="1:9">
      <c r="A65" s="220"/>
      <c r="B65" s="220"/>
      <c r="C65" s="220"/>
      <c r="D65" s="220"/>
      <c r="E65" s="220"/>
      <c r="F65" s="220"/>
      <c r="G65" s="220"/>
      <c r="H65" s="220"/>
      <c r="I65" s="220"/>
    </row>
    <row r="66" spans="1:9">
      <c r="A66" s="220"/>
      <c r="B66" s="220"/>
      <c r="C66" s="220"/>
      <c r="D66" s="220"/>
      <c r="E66" s="220"/>
      <c r="F66" s="220"/>
      <c r="G66" s="220"/>
      <c r="H66" s="220"/>
      <c r="I66" s="220"/>
    </row>
    <row r="67" spans="1:9">
      <c r="A67" s="220"/>
      <c r="B67" s="220"/>
      <c r="C67" s="220"/>
      <c r="D67" s="220"/>
      <c r="E67" s="220"/>
      <c r="F67" s="220"/>
      <c r="G67" s="220"/>
      <c r="H67" s="220"/>
      <c r="I67" s="220"/>
    </row>
    <row r="68" spans="1:9">
      <c r="A68" s="220"/>
      <c r="B68" s="220"/>
      <c r="C68" s="220"/>
      <c r="D68" s="220"/>
      <c r="E68" s="220"/>
      <c r="F68" s="220"/>
      <c r="G68" s="220"/>
      <c r="H68" s="220"/>
      <c r="I68" s="220"/>
    </row>
    <row r="69" spans="1:9">
      <c r="A69" s="220"/>
      <c r="B69" s="220"/>
      <c r="C69" s="220"/>
      <c r="D69" s="220"/>
      <c r="E69" s="220"/>
      <c r="F69" s="220"/>
      <c r="G69" s="220"/>
      <c r="H69" s="220"/>
      <c r="I69" s="220"/>
    </row>
    <row r="70" spans="1:9">
      <c r="A70" s="220"/>
      <c r="B70" s="220"/>
      <c r="C70" s="220"/>
      <c r="D70" s="220"/>
      <c r="E70" s="220"/>
      <c r="F70" s="220"/>
      <c r="G70" s="220"/>
      <c r="H70" s="220"/>
      <c r="I70" s="220"/>
    </row>
    <row r="71" spans="1:9">
      <c r="A71" s="220"/>
      <c r="B71" s="220"/>
      <c r="C71" s="220"/>
      <c r="D71" s="220"/>
      <c r="E71" s="220"/>
      <c r="F71" s="220"/>
      <c r="G71" s="220"/>
      <c r="H71" s="220"/>
      <c r="I71" s="220"/>
    </row>
    <row r="72" spans="1:9">
      <c r="A72" s="220"/>
      <c r="B72" s="220"/>
      <c r="C72" s="220"/>
      <c r="D72" s="220"/>
      <c r="E72" s="220"/>
      <c r="F72" s="220"/>
      <c r="G72" s="220"/>
      <c r="H72" s="220"/>
      <c r="I72" s="220"/>
    </row>
    <row r="73" spans="1:9">
      <c r="A73" s="220"/>
      <c r="B73" s="220"/>
      <c r="C73" s="220"/>
      <c r="D73" s="220"/>
      <c r="E73" s="220"/>
      <c r="F73" s="220"/>
      <c r="G73" s="220"/>
      <c r="H73" s="220"/>
      <c r="I73" s="220"/>
    </row>
    <row r="74" spans="1:9">
      <c r="A74" s="220"/>
      <c r="B74" s="220"/>
      <c r="C74" s="220"/>
      <c r="D74" s="220"/>
      <c r="E74" s="220"/>
      <c r="F74" s="220"/>
      <c r="G74" s="220"/>
      <c r="H74" s="220"/>
      <c r="I74" s="220"/>
    </row>
    <row r="75" spans="1:9">
      <c r="A75" s="220"/>
      <c r="B75" s="220"/>
      <c r="C75" s="220"/>
      <c r="D75" s="220"/>
      <c r="E75" s="220"/>
      <c r="F75" s="220"/>
      <c r="G75" s="220"/>
      <c r="H75" s="220"/>
      <c r="I75" s="220"/>
    </row>
    <row r="76" spans="1:9">
      <c r="A76" s="220"/>
      <c r="B76" s="220"/>
      <c r="C76" s="220"/>
      <c r="D76" s="220"/>
      <c r="E76" s="220"/>
      <c r="F76" s="220"/>
      <c r="G76" s="220"/>
      <c r="H76" s="220"/>
      <c r="I76" s="220"/>
    </row>
    <row r="77" spans="1:9">
      <c r="A77" s="220"/>
      <c r="B77" s="220"/>
      <c r="C77" s="220"/>
      <c r="D77" s="220"/>
      <c r="E77" s="220"/>
      <c r="F77" s="220"/>
      <c r="G77" s="220"/>
      <c r="H77" s="220"/>
      <c r="I77" s="220"/>
    </row>
    <row r="78" spans="1:9">
      <c r="A78" s="220"/>
      <c r="B78" s="220"/>
      <c r="C78" s="220"/>
      <c r="D78" s="220"/>
      <c r="E78" s="220"/>
      <c r="F78" s="220"/>
      <c r="G78" s="220"/>
      <c r="H78" s="220"/>
      <c r="I78" s="220"/>
    </row>
    <row r="79" spans="1:9">
      <c r="A79" s="220"/>
      <c r="B79" s="220"/>
      <c r="C79" s="220"/>
      <c r="D79" s="220"/>
      <c r="E79" s="220"/>
      <c r="F79" s="220"/>
      <c r="G79" s="220"/>
      <c r="H79" s="220"/>
      <c r="I79" s="220"/>
    </row>
    <row r="80" spans="1:9">
      <c r="A80" s="220"/>
      <c r="B80" s="220"/>
      <c r="C80" s="220"/>
      <c r="D80" s="220"/>
      <c r="E80" s="220"/>
      <c r="F80" s="220"/>
      <c r="G80" s="220"/>
      <c r="H80" s="220"/>
      <c r="I80" s="220"/>
    </row>
    <row r="81" spans="1:9">
      <c r="A81" s="220"/>
      <c r="B81" s="220"/>
      <c r="C81" s="220"/>
      <c r="D81" s="220"/>
      <c r="E81" s="220"/>
      <c r="F81" s="220"/>
      <c r="G81" s="220"/>
      <c r="H81" s="220"/>
      <c r="I81" s="220"/>
    </row>
    <row r="82" spans="1:9">
      <c r="A82" s="220"/>
      <c r="B82" s="220"/>
      <c r="C82" s="220"/>
      <c r="D82" s="220"/>
      <c r="E82" s="220"/>
      <c r="F82" s="220"/>
      <c r="G82" s="220"/>
      <c r="H82" s="220"/>
      <c r="I82" s="220"/>
    </row>
    <row r="83" spans="1:9">
      <c r="A83" s="220"/>
      <c r="B83" s="220"/>
      <c r="C83" s="220"/>
      <c r="D83" s="220"/>
      <c r="E83" s="220"/>
      <c r="F83" s="220"/>
      <c r="G83" s="220"/>
      <c r="H83" s="220"/>
      <c r="I83" s="220"/>
    </row>
    <row r="84" spans="1:9">
      <c r="A84" s="220"/>
      <c r="B84" s="220"/>
      <c r="C84" s="220"/>
      <c r="D84" s="220"/>
      <c r="E84" s="220"/>
      <c r="F84" s="220"/>
      <c r="G84" s="220"/>
      <c r="H84" s="220"/>
      <c r="I84" s="220"/>
    </row>
    <row r="85" spans="1:9">
      <c r="A85" s="220"/>
      <c r="B85" s="220"/>
      <c r="C85" s="220"/>
      <c r="D85" s="220"/>
      <c r="E85" s="220"/>
      <c r="F85" s="220"/>
      <c r="G85" s="220"/>
      <c r="H85" s="220"/>
      <c r="I85" s="220"/>
    </row>
    <row r="86" spans="1:9">
      <c r="A86" s="220"/>
      <c r="B86" s="220"/>
      <c r="C86" s="220"/>
      <c r="D86" s="220"/>
      <c r="E86" s="220"/>
      <c r="F86" s="220"/>
      <c r="G86" s="220"/>
      <c r="H86" s="220"/>
      <c r="I86" s="220"/>
    </row>
    <row r="87" spans="1:9">
      <c r="A87" s="220"/>
      <c r="B87" s="220"/>
      <c r="C87" s="220"/>
      <c r="D87" s="220"/>
      <c r="E87" s="220"/>
      <c r="F87" s="220"/>
      <c r="G87" s="220"/>
      <c r="H87" s="220"/>
      <c r="I87" s="220"/>
    </row>
    <row r="88" spans="1:9">
      <c r="A88" s="220"/>
      <c r="B88" s="220"/>
      <c r="C88" s="220"/>
      <c r="D88" s="220"/>
      <c r="E88" s="220"/>
      <c r="F88" s="220"/>
      <c r="G88" s="220"/>
      <c r="H88" s="220"/>
      <c r="I88" s="220"/>
    </row>
    <row r="89" spans="1:9">
      <c r="A89" s="220"/>
      <c r="B89" s="220"/>
      <c r="C89" s="220"/>
      <c r="D89" s="220"/>
      <c r="E89" s="220"/>
      <c r="F89" s="220"/>
      <c r="G89" s="220"/>
      <c r="H89" s="220"/>
      <c r="I89" s="220"/>
    </row>
    <row r="90" spans="1:9">
      <c r="A90" s="220"/>
      <c r="B90" s="220"/>
      <c r="C90" s="220"/>
      <c r="D90" s="220"/>
      <c r="E90" s="220"/>
      <c r="F90" s="220"/>
      <c r="G90" s="220"/>
      <c r="H90" s="220"/>
      <c r="I90" s="220"/>
    </row>
    <row r="91" spans="1:9">
      <c r="A91" s="220"/>
      <c r="B91" s="220"/>
      <c r="C91" s="220"/>
      <c r="D91" s="220"/>
      <c r="E91" s="220"/>
      <c r="F91" s="220"/>
      <c r="G91" s="220"/>
      <c r="H91" s="220"/>
      <c r="I91" s="220"/>
    </row>
    <row r="92" spans="1:9">
      <c r="A92" s="220"/>
      <c r="B92" s="220"/>
      <c r="C92" s="220"/>
      <c r="D92" s="220"/>
      <c r="E92" s="220"/>
      <c r="F92" s="220"/>
      <c r="G92" s="220"/>
      <c r="H92" s="220"/>
      <c r="I92" s="220"/>
    </row>
    <row r="93" spans="1:9">
      <c r="A93" s="220"/>
      <c r="B93" s="220"/>
      <c r="C93" s="220"/>
      <c r="D93" s="220"/>
      <c r="E93" s="220"/>
      <c r="F93" s="220"/>
      <c r="G93" s="220"/>
      <c r="H93" s="220"/>
      <c r="I93" s="220"/>
    </row>
    <row r="94" spans="1:9">
      <c r="A94" s="220"/>
      <c r="B94" s="220"/>
      <c r="C94" s="220"/>
      <c r="D94" s="220"/>
      <c r="E94" s="220"/>
      <c r="F94" s="220"/>
      <c r="G94" s="220"/>
      <c r="H94" s="220"/>
      <c r="I94" s="220"/>
    </row>
    <row r="95" spans="1:9">
      <c r="A95" s="220"/>
      <c r="B95" s="220"/>
      <c r="C95" s="220"/>
      <c r="D95" s="220"/>
      <c r="E95" s="220"/>
      <c r="F95" s="220"/>
      <c r="G95" s="220"/>
      <c r="H95" s="220"/>
      <c r="I95" s="220"/>
    </row>
    <row r="96" spans="1:9">
      <c r="A96" s="220"/>
      <c r="B96" s="220"/>
      <c r="C96" s="220"/>
      <c r="D96" s="220"/>
      <c r="E96" s="220"/>
      <c r="F96" s="220"/>
      <c r="G96" s="220"/>
      <c r="H96" s="220"/>
      <c r="I96" s="220"/>
    </row>
    <row r="97" spans="1:9">
      <c r="A97" s="220"/>
      <c r="B97" s="220"/>
      <c r="C97" s="220"/>
      <c r="D97" s="220"/>
      <c r="E97" s="220"/>
      <c r="F97" s="220"/>
      <c r="G97" s="220"/>
      <c r="H97" s="220"/>
      <c r="I97" s="220"/>
    </row>
    <row r="98" spans="1:9">
      <c r="A98" s="220"/>
      <c r="B98" s="220"/>
      <c r="C98" s="220"/>
      <c r="D98" s="220"/>
      <c r="E98" s="220"/>
      <c r="F98" s="220"/>
      <c r="G98" s="220"/>
      <c r="H98" s="220"/>
      <c r="I98" s="220"/>
    </row>
    <row r="99" spans="1:9">
      <c r="A99" s="220"/>
      <c r="B99" s="220"/>
      <c r="C99" s="220"/>
      <c r="D99" s="220"/>
      <c r="E99" s="220"/>
      <c r="F99" s="220"/>
      <c r="G99" s="220"/>
      <c r="H99" s="220"/>
      <c r="I99" s="220"/>
    </row>
    <row r="100" spans="1:9">
      <c r="A100" s="220"/>
      <c r="B100" s="220"/>
      <c r="C100" s="220"/>
      <c r="D100" s="220"/>
      <c r="E100" s="220"/>
      <c r="F100" s="220"/>
      <c r="G100" s="220"/>
      <c r="H100" s="220"/>
      <c r="I100" s="220"/>
    </row>
    <row r="101" spans="1:9">
      <c r="A101" s="220"/>
      <c r="B101" s="220"/>
      <c r="C101" s="220"/>
      <c r="D101" s="220"/>
      <c r="E101" s="220"/>
      <c r="F101" s="220"/>
      <c r="G101" s="220"/>
      <c r="H101" s="220"/>
      <c r="I101" s="220"/>
    </row>
    <row r="102" spans="1:9">
      <c r="A102" s="220"/>
      <c r="B102" s="220"/>
      <c r="C102" s="220"/>
      <c r="D102" s="220"/>
      <c r="E102" s="220"/>
      <c r="F102" s="220"/>
      <c r="G102" s="220"/>
      <c r="H102" s="220"/>
      <c r="I102" s="220"/>
    </row>
    <row r="103" spans="1:9">
      <c r="A103" s="220"/>
      <c r="B103" s="220"/>
      <c r="C103" s="220"/>
      <c r="D103" s="220"/>
      <c r="E103" s="220"/>
      <c r="F103" s="220"/>
      <c r="G103" s="220"/>
      <c r="H103" s="220"/>
      <c r="I103" s="220"/>
    </row>
    <row r="104" spans="1:9">
      <c r="A104" s="220"/>
      <c r="B104" s="220"/>
      <c r="C104" s="220"/>
      <c r="D104" s="220"/>
      <c r="E104" s="220"/>
      <c r="F104" s="220"/>
      <c r="G104" s="220"/>
      <c r="H104" s="220"/>
      <c r="I104" s="220"/>
    </row>
    <row r="105" spans="1:9">
      <c r="A105" s="220"/>
      <c r="B105" s="220"/>
      <c r="C105" s="220"/>
      <c r="D105" s="220"/>
      <c r="E105" s="220"/>
      <c r="F105" s="220"/>
      <c r="G105" s="220"/>
      <c r="H105" s="220"/>
      <c r="I105" s="220"/>
    </row>
    <row r="106" spans="1:9">
      <c r="A106" s="220"/>
      <c r="B106" s="220"/>
      <c r="C106" s="220"/>
      <c r="D106" s="220"/>
      <c r="E106" s="220"/>
      <c r="F106" s="220"/>
      <c r="G106" s="220"/>
      <c r="H106" s="220"/>
      <c r="I106" s="220"/>
    </row>
    <row r="107" spans="1:9">
      <c r="A107" s="220"/>
      <c r="B107" s="220"/>
      <c r="C107" s="220"/>
      <c r="D107" s="220"/>
      <c r="E107" s="220"/>
      <c r="F107" s="220"/>
      <c r="G107" s="220"/>
      <c r="H107" s="220"/>
      <c r="I107" s="220"/>
    </row>
    <row r="108" spans="1:9">
      <c r="A108" s="220"/>
      <c r="B108" s="220"/>
      <c r="C108" s="220"/>
      <c r="D108" s="220"/>
      <c r="E108" s="220"/>
      <c r="F108" s="220"/>
      <c r="G108" s="220"/>
      <c r="H108" s="220"/>
      <c r="I108" s="220"/>
    </row>
    <row r="109" spans="1:9">
      <c r="A109" s="220"/>
      <c r="B109" s="220"/>
      <c r="C109" s="220"/>
      <c r="D109" s="220"/>
      <c r="E109" s="220"/>
      <c r="F109" s="220"/>
      <c r="G109" s="220"/>
      <c r="H109" s="220"/>
      <c r="I109" s="220"/>
    </row>
    <row r="110" spans="1:9">
      <c r="A110" s="220"/>
      <c r="B110" s="220"/>
      <c r="C110" s="220"/>
      <c r="D110" s="220"/>
      <c r="E110" s="220"/>
      <c r="F110" s="220"/>
      <c r="G110" s="220"/>
      <c r="H110" s="220"/>
      <c r="I110" s="220"/>
    </row>
    <row r="111" spans="1:9">
      <c r="A111" s="220"/>
      <c r="B111" s="220"/>
      <c r="C111" s="220"/>
      <c r="D111" s="220"/>
      <c r="E111" s="220"/>
      <c r="F111" s="220"/>
      <c r="G111" s="220"/>
      <c r="H111" s="220"/>
      <c r="I111" s="220"/>
    </row>
    <row r="112" spans="1:9">
      <c r="A112" s="220"/>
      <c r="B112" s="220"/>
      <c r="C112" s="220"/>
      <c r="D112" s="220"/>
      <c r="E112" s="220"/>
      <c r="F112" s="220"/>
      <c r="G112" s="220"/>
      <c r="H112" s="220"/>
      <c r="I112" s="220"/>
    </row>
    <row r="113" spans="1:9">
      <c r="A113" s="220"/>
      <c r="B113" s="220"/>
      <c r="C113" s="220"/>
      <c r="D113" s="220"/>
      <c r="E113" s="220"/>
      <c r="F113" s="220"/>
      <c r="G113" s="220"/>
      <c r="H113" s="220"/>
      <c r="I113" s="220"/>
    </row>
    <row r="114" spans="1:9">
      <c r="A114" s="220"/>
      <c r="B114" s="220"/>
      <c r="C114" s="220"/>
      <c r="D114" s="220"/>
      <c r="E114" s="220"/>
      <c r="F114" s="220"/>
      <c r="G114" s="220"/>
      <c r="H114" s="220"/>
      <c r="I114" s="220"/>
    </row>
    <row r="115" spans="1:9">
      <c r="A115" s="220"/>
      <c r="B115" s="220"/>
      <c r="C115" s="220"/>
      <c r="D115" s="220"/>
      <c r="E115" s="220"/>
      <c r="F115" s="220"/>
      <c r="G115" s="220"/>
      <c r="H115" s="220"/>
      <c r="I115" s="220"/>
    </row>
    <row r="116" spans="1:9">
      <c r="A116" s="220"/>
      <c r="B116" s="220"/>
      <c r="C116" s="220"/>
      <c r="D116" s="220"/>
      <c r="E116" s="220"/>
      <c r="F116" s="220"/>
      <c r="G116" s="220"/>
      <c r="H116" s="220"/>
      <c r="I116" s="220"/>
    </row>
    <row r="117" spans="1:9">
      <c r="A117" s="220"/>
      <c r="B117" s="220"/>
      <c r="C117" s="220"/>
      <c r="D117" s="220"/>
      <c r="E117" s="220"/>
      <c r="F117" s="220"/>
      <c r="G117" s="220"/>
      <c r="H117" s="220"/>
      <c r="I117" s="220"/>
    </row>
    <row r="118" spans="1:9">
      <c r="A118" s="220"/>
      <c r="B118" s="220"/>
      <c r="C118" s="220"/>
      <c r="D118" s="220"/>
      <c r="E118" s="220"/>
      <c r="F118" s="220"/>
      <c r="G118" s="220"/>
      <c r="H118" s="220"/>
      <c r="I118" s="220"/>
    </row>
    <row r="119" spans="1:9">
      <c r="A119" s="220"/>
      <c r="B119" s="220"/>
      <c r="C119" s="220"/>
      <c r="D119" s="220"/>
      <c r="E119" s="220"/>
      <c r="F119" s="220"/>
      <c r="G119" s="220"/>
      <c r="H119" s="220"/>
      <c r="I119" s="220"/>
    </row>
    <row r="120" spans="1:9">
      <c r="A120" s="220"/>
      <c r="B120" s="220"/>
      <c r="C120" s="220"/>
      <c r="D120" s="220"/>
      <c r="E120" s="220"/>
      <c r="F120" s="220"/>
      <c r="G120" s="220"/>
      <c r="H120" s="220"/>
      <c r="I120" s="220"/>
    </row>
    <row r="121" spans="1:9">
      <c r="A121" s="220"/>
      <c r="B121" s="220"/>
      <c r="C121" s="220"/>
      <c r="D121" s="220"/>
      <c r="E121" s="220"/>
      <c r="F121" s="220"/>
      <c r="G121" s="220"/>
      <c r="H121" s="220"/>
      <c r="I121" s="220"/>
    </row>
    <row r="122" spans="1:9">
      <c r="A122" s="220"/>
      <c r="B122" s="220"/>
      <c r="C122" s="220"/>
      <c r="D122" s="220"/>
      <c r="E122" s="220"/>
      <c r="F122" s="220"/>
      <c r="G122" s="220"/>
      <c r="H122" s="220"/>
      <c r="I122" s="220"/>
    </row>
    <row r="123" spans="1:9">
      <c r="A123" s="220"/>
      <c r="B123" s="220"/>
      <c r="C123" s="220"/>
      <c r="D123" s="220"/>
      <c r="E123" s="220"/>
      <c r="F123" s="220"/>
      <c r="G123" s="220"/>
      <c r="H123" s="220"/>
      <c r="I123" s="220"/>
    </row>
    <row r="124" spans="1:9">
      <c r="A124" s="220"/>
      <c r="B124" s="220"/>
      <c r="C124" s="220"/>
      <c r="D124" s="220"/>
      <c r="E124" s="220"/>
      <c r="F124" s="220"/>
      <c r="G124" s="220"/>
      <c r="H124" s="220"/>
      <c r="I124" s="220"/>
    </row>
    <row r="125" spans="1:9">
      <c r="A125" s="220"/>
      <c r="B125" s="220"/>
      <c r="C125" s="220"/>
      <c r="D125" s="220"/>
      <c r="E125" s="220"/>
      <c r="F125" s="220"/>
      <c r="G125" s="220"/>
      <c r="H125" s="220"/>
      <c r="I125" s="220"/>
    </row>
    <row r="126" spans="1:9">
      <c r="A126" s="220"/>
      <c r="B126" s="220"/>
      <c r="C126" s="220"/>
      <c r="D126" s="220"/>
      <c r="E126" s="220"/>
      <c r="F126" s="220"/>
      <c r="G126" s="220"/>
      <c r="H126" s="220"/>
      <c r="I126" s="220"/>
    </row>
    <row r="127" spans="1:9">
      <c r="A127" s="220"/>
      <c r="B127" s="220"/>
      <c r="C127" s="220"/>
      <c r="D127" s="220"/>
      <c r="E127" s="220"/>
      <c r="F127" s="220"/>
      <c r="G127" s="220"/>
      <c r="H127" s="220"/>
      <c r="I127" s="220"/>
    </row>
    <row r="128" spans="1:9">
      <c r="A128" s="220"/>
      <c r="B128" s="220"/>
      <c r="C128" s="220"/>
      <c r="D128" s="220"/>
      <c r="E128" s="220"/>
      <c r="F128" s="220"/>
      <c r="G128" s="220"/>
      <c r="H128" s="220"/>
      <c r="I128" s="220"/>
    </row>
    <row r="129" spans="1:9">
      <c r="A129" s="220"/>
      <c r="B129" s="220"/>
      <c r="C129" s="220"/>
      <c r="D129" s="220"/>
      <c r="E129" s="220"/>
      <c r="F129" s="220"/>
      <c r="G129" s="220"/>
      <c r="H129" s="220"/>
      <c r="I129" s="220"/>
    </row>
    <row r="130" spans="1:9">
      <c r="A130" s="220"/>
      <c r="B130" s="220"/>
      <c r="C130" s="220"/>
      <c r="D130" s="220"/>
      <c r="E130" s="220"/>
      <c r="F130" s="220"/>
      <c r="G130" s="220"/>
      <c r="H130" s="220"/>
      <c r="I130" s="220"/>
    </row>
    <row r="131" spans="1:9">
      <c r="A131" s="220"/>
      <c r="B131" s="220"/>
      <c r="C131" s="220"/>
      <c r="D131" s="220"/>
      <c r="E131" s="220"/>
      <c r="F131" s="220"/>
      <c r="G131" s="220"/>
      <c r="H131" s="220"/>
      <c r="I131" s="220"/>
    </row>
    <row r="132" spans="1:9">
      <c r="A132" s="220"/>
      <c r="B132" s="220"/>
      <c r="C132" s="220"/>
      <c r="D132" s="220"/>
      <c r="E132" s="220"/>
      <c r="F132" s="220"/>
      <c r="G132" s="220"/>
      <c r="H132" s="220"/>
      <c r="I132" s="220"/>
    </row>
    <row r="133" spans="1:9">
      <c r="A133" s="220"/>
      <c r="B133" s="220"/>
      <c r="C133" s="220"/>
      <c r="D133" s="220"/>
      <c r="E133" s="220"/>
      <c r="F133" s="220"/>
      <c r="G133" s="220"/>
      <c r="H133" s="220"/>
      <c r="I133" s="220"/>
    </row>
    <row r="134" spans="1:9">
      <c r="A134" s="220"/>
      <c r="B134" s="220"/>
      <c r="C134" s="220"/>
      <c r="D134" s="220"/>
      <c r="E134" s="220"/>
      <c r="F134" s="220"/>
      <c r="G134" s="220"/>
      <c r="H134" s="220"/>
      <c r="I134" s="220"/>
    </row>
    <row r="135" spans="1:9">
      <c r="A135" s="220"/>
      <c r="B135" s="220"/>
      <c r="C135" s="220"/>
      <c r="D135" s="220"/>
      <c r="E135" s="220"/>
      <c r="F135" s="220"/>
      <c r="G135" s="220"/>
      <c r="H135" s="220"/>
      <c r="I135" s="220"/>
    </row>
    <row r="136" spans="1:9">
      <c r="A136" s="220"/>
      <c r="B136" s="220"/>
      <c r="C136" s="220"/>
      <c r="D136" s="220"/>
      <c r="E136" s="220"/>
      <c r="F136" s="220"/>
      <c r="G136" s="220"/>
      <c r="H136" s="220"/>
      <c r="I136" s="220"/>
    </row>
    <row r="137" spans="1:9">
      <c r="A137" s="220"/>
      <c r="B137" s="220"/>
      <c r="C137" s="220"/>
      <c r="D137" s="220"/>
      <c r="E137" s="220"/>
      <c r="F137" s="220"/>
      <c r="G137" s="220"/>
      <c r="H137" s="220"/>
      <c r="I137" s="220"/>
    </row>
    <row r="138" spans="1:9">
      <c r="A138" s="220"/>
      <c r="B138" s="220"/>
      <c r="C138" s="220"/>
      <c r="D138" s="220"/>
      <c r="E138" s="220"/>
      <c r="F138" s="220"/>
      <c r="G138" s="220"/>
      <c r="H138" s="220"/>
      <c r="I138" s="220"/>
    </row>
    <row r="139" spans="1:9">
      <c r="A139" s="220"/>
      <c r="B139" s="220"/>
      <c r="C139" s="220"/>
      <c r="D139" s="220"/>
      <c r="E139" s="220"/>
      <c r="F139" s="220"/>
      <c r="G139" s="220"/>
      <c r="H139" s="220"/>
      <c r="I139" s="220"/>
    </row>
    <row r="140" spans="1:9">
      <c r="A140" s="220"/>
      <c r="B140" s="220"/>
      <c r="C140" s="220"/>
      <c r="D140" s="220"/>
      <c r="E140" s="220"/>
      <c r="F140" s="220"/>
      <c r="G140" s="220"/>
      <c r="H140" s="220"/>
      <c r="I140" s="220"/>
    </row>
    <row r="141" spans="1:9">
      <c r="A141" s="220"/>
      <c r="B141" s="220"/>
      <c r="C141" s="220"/>
      <c r="D141" s="220"/>
      <c r="E141" s="220"/>
      <c r="F141" s="220"/>
      <c r="G141" s="220"/>
      <c r="H141" s="220"/>
      <c r="I141" s="220"/>
    </row>
    <row r="142" spans="1:9">
      <c r="A142" s="220"/>
      <c r="B142" s="220"/>
      <c r="C142" s="220"/>
      <c r="D142" s="220"/>
      <c r="E142" s="220"/>
      <c r="F142" s="220"/>
      <c r="G142" s="220"/>
      <c r="H142" s="220"/>
      <c r="I142" s="220"/>
    </row>
    <row r="143" spans="1:9">
      <c r="A143" s="220"/>
      <c r="B143" s="220"/>
      <c r="C143" s="220"/>
      <c r="D143" s="220"/>
      <c r="E143" s="220"/>
      <c r="F143" s="220"/>
      <c r="G143" s="220"/>
      <c r="H143" s="220"/>
      <c r="I143" s="220"/>
    </row>
    <row r="144" spans="1:9">
      <c r="A144" s="220"/>
      <c r="B144" s="220"/>
      <c r="C144" s="220"/>
      <c r="D144" s="220"/>
      <c r="E144" s="220"/>
      <c r="F144" s="220"/>
      <c r="G144" s="220"/>
      <c r="H144" s="220"/>
      <c r="I144" s="220"/>
    </row>
    <row r="145" spans="1:9">
      <c r="A145" s="220"/>
      <c r="B145" s="220"/>
      <c r="C145" s="220"/>
      <c r="D145" s="220"/>
      <c r="E145" s="220"/>
      <c r="F145" s="220"/>
      <c r="G145" s="220"/>
      <c r="H145" s="220"/>
      <c r="I145" s="220"/>
    </row>
    <row r="146" spans="1:9">
      <c r="A146" s="220"/>
      <c r="B146" s="220"/>
      <c r="C146" s="220"/>
      <c r="D146" s="220"/>
      <c r="E146" s="220"/>
      <c r="F146" s="220"/>
      <c r="G146" s="220"/>
      <c r="H146" s="220"/>
      <c r="I146" s="220"/>
    </row>
    <row r="147" spans="1:9">
      <c r="A147" s="220"/>
      <c r="B147" s="220"/>
      <c r="C147" s="220"/>
      <c r="D147" s="220"/>
      <c r="E147" s="220"/>
      <c r="F147" s="220"/>
      <c r="G147" s="220"/>
      <c r="H147" s="220"/>
      <c r="I147" s="220"/>
    </row>
    <row r="148" spans="1:9">
      <c r="A148" s="220"/>
      <c r="B148" s="220"/>
      <c r="C148" s="220"/>
      <c r="D148" s="220"/>
      <c r="E148" s="220"/>
      <c r="F148" s="220"/>
      <c r="G148" s="220"/>
      <c r="H148" s="220"/>
      <c r="I148" s="220"/>
    </row>
    <row r="149" spans="1:9">
      <c r="A149" s="220"/>
      <c r="B149" s="220"/>
      <c r="C149" s="220"/>
      <c r="D149" s="220"/>
      <c r="E149" s="220"/>
      <c r="F149" s="220"/>
      <c r="G149" s="220"/>
      <c r="H149" s="220"/>
      <c r="I149" s="220"/>
    </row>
    <row r="150" spans="1:9">
      <c r="A150" s="220"/>
      <c r="B150" s="220"/>
      <c r="C150" s="220"/>
      <c r="D150" s="220"/>
      <c r="E150" s="220"/>
      <c r="F150" s="220"/>
      <c r="G150" s="220"/>
      <c r="H150" s="220"/>
      <c r="I150" s="220"/>
    </row>
    <row r="151" spans="1:9">
      <c r="A151" s="220"/>
      <c r="B151" s="220"/>
      <c r="C151" s="220"/>
      <c r="D151" s="220"/>
      <c r="E151" s="220"/>
      <c r="F151" s="220"/>
      <c r="G151" s="220"/>
      <c r="H151" s="220"/>
      <c r="I151" s="220"/>
    </row>
    <row r="152" spans="1:9">
      <c r="A152" s="220"/>
      <c r="B152" s="220"/>
      <c r="C152" s="220"/>
      <c r="D152" s="220"/>
      <c r="E152" s="220"/>
      <c r="F152" s="220"/>
      <c r="G152" s="220"/>
      <c r="H152" s="220"/>
      <c r="I152" s="220"/>
    </row>
    <row r="153" spans="1:9">
      <c r="A153" s="220"/>
      <c r="B153" s="220"/>
      <c r="C153" s="220"/>
      <c r="D153" s="220"/>
      <c r="E153" s="220"/>
      <c r="F153" s="220"/>
      <c r="G153" s="220"/>
      <c r="H153" s="220"/>
      <c r="I153" s="220"/>
    </row>
    <row r="154" spans="1:9">
      <c r="A154" s="220"/>
      <c r="B154" s="220"/>
      <c r="C154" s="220"/>
      <c r="D154" s="220"/>
      <c r="E154" s="220"/>
      <c r="F154" s="220"/>
      <c r="G154" s="220"/>
      <c r="H154" s="220"/>
      <c r="I154" s="220"/>
    </row>
    <row r="155" spans="1:9">
      <c r="A155" s="220"/>
      <c r="B155" s="220"/>
      <c r="C155" s="220"/>
      <c r="D155" s="220"/>
      <c r="E155" s="220"/>
      <c r="F155" s="220"/>
      <c r="G155" s="220"/>
      <c r="H155" s="220"/>
      <c r="I155" s="220"/>
    </row>
    <row r="156" spans="1:9">
      <c r="A156" s="220"/>
      <c r="B156" s="220"/>
      <c r="C156" s="220"/>
      <c r="D156" s="220"/>
      <c r="E156" s="220"/>
      <c r="F156" s="220"/>
      <c r="G156" s="220"/>
      <c r="H156" s="220"/>
      <c r="I156" s="220"/>
    </row>
    <row r="157" spans="1:9">
      <c r="A157" s="220"/>
      <c r="B157" s="220"/>
      <c r="C157" s="220"/>
      <c r="D157" s="220"/>
      <c r="E157" s="220"/>
      <c r="F157" s="220"/>
      <c r="G157" s="220"/>
      <c r="H157" s="220"/>
      <c r="I157" s="220"/>
    </row>
    <row r="158" spans="1:9">
      <c r="A158" s="220"/>
      <c r="B158" s="220"/>
      <c r="C158" s="220"/>
      <c r="D158" s="220"/>
      <c r="E158" s="220"/>
      <c r="F158" s="220"/>
      <c r="G158" s="220"/>
      <c r="H158" s="220"/>
      <c r="I158" s="220"/>
    </row>
    <row r="159" spans="1:9">
      <c r="A159" s="220"/>
      <c r="B159" s="220"/>
      <c r="C159" s="220"/>
      <c r="D159" s="220"/>
      <c r="E159" s="220"/>
      <c r="F159" s="220"/>
      <c r="G159" s="220"/>
      <c r="H159" s="220"/>
      <c r="I159" s="220"/>
    </row>
    <row r="160" spans="1:9">
      <c r="A160" s="220"/>
      <c r="B160" s="220"/>
      <c r="C160" s="220"/>
      <c r="D160" s="220"/>
      <c r="E160" s="220"/>
      <c r="F160" s="220"/>
      <c r="G160" s="220"/>
      <c r="H160" s="220"/>
      <c r="I160" s="220"/>
    </row>
    <row r="161" spans="1:9">
      <c r="A161" s="220"/>
      <c r="B161" s="220"/>
      <c r="C161" s="220"/>
      <c r="D161" s="220"/>
      <c r="E161" s="220"/>
      <c r="F161" s="220"/>
      <c r="G161" s="220"/>
      <c r="H161" s="220"/>
      <c r="I161" s="220"/>
    </row>
    <row r="162" spans="1:9">
      <c r="A162" s="220"/>
      <c r="B162" s="220"/>
      <c r="C162" s="220"/>
      <c r="D162" s="220"/>
      <c r="E162" s="220"/>
      <c r="F162" s="220"/>
      <c r="G162" s="220"/>
      <c r="H162" s="220"/>
      <c r="I162" s="220"/>
    </row>
    <row r="163" spans="1:9">
      <c r="A163" s="220"/>
      <c r="B163" s="220"/>
      <c r="C163" s="220"/>
      <c r="D163" s="220"/>
      <c r="E163" s="220"/>
      <c r="F163" s="220"/>
      <c r="G163" s="220"/>
      <c r="H163" s="220"/>
      <c r="I163" s="220"/>
    </row>
    <row r="164" spans="1:9">
      <c r="A164" s="220"/>
      <c r="B164" s="220"/>
      <c r="C164" s="220"/>
      <c r="D164" s="220"/>
      <c r="E164" s="220"/>
      <c r="F164" s="220"/>
      <c r="G164" s="220"/>
      <c r="H164" s="220"/>
      <c r="I164" s="220"/>
    </row>
    <row r="165" spans="1:9">
      <c r="A165" s="220"/>
      <c r="B165" s="220"/>
      <c r="C165" s="220"/>
      <c r="D165" s="220"/>
      <c r="E165" s="220"/>
      <c r="F165" s="220"/>
      <c r="G165" s="220"/>
      <c r="H165" s="220"/>
      <c r="I165" s="220"/>
    </row>
    <row r="166" spans="1:9">
      <c r="A166" s="220"/>
      <c r="B166" s="220"/>
      <c r="C166" s="220"/>
      <c r="D166" s="220"/>
      <c r="E166" s="220"/>
      <c r="F166" s="220"/>
      <c r="G166" s="220"/>
      <c r="H166" s="220"/>
      <c r="I166" s="220"/>
    </row>
    <row r="167" spans="1:9">
      <c r="A167" s="220"/>
      <c r="B167" s="220"/>
      <c r="C167" s="220"/>
      <c r="D167" s="220"/>
      <c r="E167" s="220"/>
      <c r="F167" s="220"/>
      <c r="G167" s="220"/>
      <c r="H167" s="220"/>
      <c r="I167" s="220"/>
    </row>
    <row r="168" spans="1:9">
      <c r="A168" s="220"/>
      <c r="B168" s="220"/>
      <c r="C168" s="220"/>
      <c r="D168" s="220"/>
      <c r="E168" s="220"/>
      <c r="F168" s="220"/>
      <c r="G168" s="220"/>
      <c r="H168" s="220"/>
      <c r="I168" s="220"/>
    </row>
    <row r="169" spans="1:9">
      <c r="A169" s="220"/>
      <c r="B169" s="220"/>
      <c r="C169" s="220"/>
      <c r="D169" s="220"/>
      <c r="E169" s="220"/>
      <c r="F169" s="220"/>
      <c r="G169" s="220"/>
      <c r="H169" s="220"/>
      <c r="I169" s="220"/>
    </row>
    <row r="170" spans="1:9">
      <c r="A170" s="220"/>
      <c r="B170" s="220"/>
      <c r="C170" s="220"/>
      <c r="D170" s="220"/>
      <c r="E170" s="220"/>
      <c r="F170" s="220"/>
      <c r="G170" s="220"/>
      <c r="H170" s="220"/>
      <c r="I170" s="220"/>
    </row>
    <row r="171" spans="1:9">
      <c r="A171" s="220"/>
      <c r="B171" s="220"/>
      <c r="C171" s="220"/>
      <c r="D171" s="220"/>
      <c r="E171" s="220"/>
      <c r="F171" s="220"/>
      <c r="G171" s="220"/>
      <c r="H171" s="220"/>
      <c r="I171" s="220"/>
    </row>
    <row r="172" spans="1:9">
      <c r="A172" s="220"/>
      <c r="B172" s="220"/>
      <c r="C172" s="220"/>
      <c r="D172" s="220"/>
      <c r="E172" s="220"/>
      <c r="F172" s="220"/>
      <c r="G172" s="220"/>
      <c r="H172" s="220"/>
      <c r="I172" s="220"/>
    </row>
    <row r="173" spans="1:9">
      <c r="A173" s="220"/>
      <c r="B173" s="220"/>
      <c r="C173" s="220"/>
      <c r="D173" s="220"/>
      <c r="E173" s="220"/>
      <c r="F173" s="220"/>
      <c r="G173" s="220"/>
      <c r="H173" s="220"/>
      <c r="I173" s="220"/>
    </row>
    <row r="174" spans="1:9">
      <c r="A174" s="220"/>
      <c r="B174" s="220"/>
      <c r="C174" s="220"/>
      <c r="D174" s="220"/>
      <c r="E174" s="220"/>
      <c r="F174" s="220"/>
      <c r="G174" s="220"/>
      <c r="H174" s="220"/>
      <c r="I174" s="220"/>
    </row>
    <row r="175" spans="1:9">
      <c r="A175" s="220"/>
      <c r="B175" s="220"/>
      <c r="C175" s="220"/>
      <c r="D175" s="220"/>
      <c r="E175" s="220"/>
      <c r="F175" s="220"/>
      <c r="G175" s="220"/>
      <c r="H175" s="220"/>
      <c r="I175" s="220"/>
    </row>
    <row r="176" spans="1:9">
      <c r="A176" s="220"/>
      <c r="B176" s="220"/>
      <c r="C176" s="220"/>
      <c r="D176" s="220"/>
      <c r="E176" s="220"/>
      <c r="F176" s="220"/>
      <c r="G176" s="220"/>
      <c r="H176" s="220"/>
      <c r="I176" s="220"/>
    </row>
    <row r="177" spans="1:9">
      <c r="A177" s="220"/>
      <c r="B177" s="220"/>
      <c r="C177" s="220"/>
      <c r="D177" s="220"/>
      <c r="E177" s="220"/>
      <c r="F177" s="220"/>
      <c r="G177" s="220"/>
      <c r="H177" s="220"/>
      <c r="I177" s="220"/>
    </row>
    <row r="178" spans="1:9">
      <c r="A178" s="220"/>
      <c r="B178" s="220"/>
      <c r="C178" s="220"/>
      <c r="D178" s="220"/>
      <c r="E178" s="220"/>
      <c r="F178" s="220"/>
      <c r="G178" s="220"/>
      <c r="H178" s="220"/>
      <c r="I178" s="220"/>
    </row>
    <row r="179" spans="1:9">
      <c r="A179" s="220"/>
      <c r="B179" s="220"/>
      <c r="C179" s="220"/>
      <c r="D179" s="220"/>
      <c r="E179" s="220"/>
      <c r="F179" s="220"/>
      <c r="G179" s="220"/>
      <c r="H179" s="220"/>
      <c r="I179" s="220"/>
    </row>
    <row r="180" spans="1:9">
      <c r="A180" s="220"/>
      <c r="B180" s="220"/>
      <c r="C180" s="220"/>
      <c r="D180" s="220"/>
      <c r="E180" s="220"/>
      <c r="F180" s="220"/>
      <c r="G180" s="220"/>
      <c r="H180" s="220"/>
      <c r="I180" s="220"/>
    </row>
    <row r="181" spans="1:9">
      <c r="A181" s="220"/>
      <c r="B181" s="220"/>
      <c r="C181" s="220"/>
      <c r="D181" s="220"/>
      <c r="E181" s="220"/>
      <c r="F181" s="220"/>
      <c r="G181" s="220"/>
      <c r="H181" s="220"/>
      <c r="I181" s="220"/>
    </row>
    <row r="182" spans="1:9">
      <c r="A182" s="220"/>
      <c r="B182" s="220"/>
      <c r="C182" s="220"/>
      <c r="D182" s="220"/>
      <c r="E182" s="220"/>
      <c r="F182" s="220"/>
      <c r="G182" s="220"/>
      <c r="H182" s="220"/>
      <c r="I182" s="220"/>
    </row>
    <row r="183" spans="1:9">
      <c r="A183" s="220"/>
      <c r="B183" s="220"/>
      <c r="C183" s="220"/>
      <c r="D183" s="220"/>
      <c r="E183" s="220"/>
      <c r="F183" s="220"/>
      <c r="G183" s="220"/>
      <c r="H183" s="220"/>
      <c r="I183" s="220"/>
    </row>
    <row r="184" spans="1:9">
      <c r="A184" s="220"/>
      <c r="B184" s="220"/>
      <c r="C184" s="220"/>
      <c r="D184" s="220"/>
      <c r="E184" s="220"/>
      <c r="F184" s="220"/>
      <c r="G184" s="220"/>
      <c r="H184" s="220"/>
      <c r="I184" s="220"/>
    </row>
    <row r="185" spans="1:9">
      <c r="A185" s="220"/>
      <c r="B185" s="220"/>
      <c r="C185" s="220"/>
      <c r="D185" s="220"/>
      <c r="E185" s="220"/>
      <c r="F185" s="220"/>
      <c r="G185" s="220"/>
      <c r="H185" s="220"/>
      <c r="I185" s="220"/>
    </row>
    <row r="186" spans="1:9">
      <c r="A186" s="220"/>
      <c r="B186" s="220"/>
      <c r="C186" s="220"/>
      <c r="D186" s="220"/>
      <c r="E186" s="220"/>
      <c r="F186" s="220"/>
      <c r="G186" s="220"/>
      <c r="H186" s="220"/>
      <c r="I186" s="220"/>
    </row>
    <row r="187" spans="1:9">
      <c r="A187" s="220"/>
      <c r="B187" s="220"/>
      <c r="C187" s="220"/>
      <c r="D187" s="220"/>
      <c r="E187" s="220"/>
      <c r="F187" s="220"/>
      <c r="G187" s="220"/>
      <c r="H187" s="220"/>
      <c r="I187" s="220"/>
    </row>
    <row r="188" spans="1:9">
      <c r="A188" s="220"/>
      <c r="B188" s="220"/>
      <c r="C188" s="220"/>
      <c r="D188" s="220"/>
      <c r="E188" s="220"/>
      <c r="F188" s="220"/>
      <c r="G188" s="220"/>
      <c r="H188" s="220"/>
      <c r="I188" s="220"/>
    </row>
    <row r="189" spans="1:9">
      <c r="A189" s="220"/>
      <c r="B189" s="220"/>
      <c r="C189" s="220"/>
      <c r="D189" s="220"/>
      <c r="E189" s="220"/>
      <c r="F189" s="220"/>
      <c r="G189" s="220"/>
      <c r="H189" s="220"/>
      <c r="I189" s="220"/>
    </row>
    <row r="190" spans="1:9">
      <c r="A190" s="220"/>
      <c r="B190" s="220"/>
      <c r="C190" s="220"/>
      <c r="D190" s="220"/>
      <c r="E190" s="220"/>
      <c r="F190" s="220"/>
      <c r="G190" s="220"/>
      <c r="H190" s="220"/>
      <c r="I190" s="220"/>
    </row>
    <row r="191" spans="1:9">
      <c r="A191" s="220"/>
      <c r="B191" s="220"/>
      <c r="C191" s="220"/>
      <c r="D191" s="220"/>
      <c r="E191" s="220"/>
      <c r="F191" s="220"/>
      <c r="G191" s="220"/>
      <c r="H191" s="220"/>
      <c r="I191" s="220"/>
    </row>
    <row r="192" spans="1:9">
      <c r="A192" s="220"/>
      <c r="B192" s="220"/>
      <c r="C192" s="220"/>
      <c r="D192" s="220"/>
      <c r="E192" s="220"/>
      <c r="F192" s="220"/>
      <c r="G192" s="220"/>
      <c r="H192" s="220"/>
      <c r="I192" s="220"/>
    </row>
    <row r="193" spans="1:9">
      <c r="A193" s="220"/>
      <c r="B193" s="220"/>
      <c r="C193" s="220"/>
      <c r="D193" s="220"/>
      <c r="E193" s="220"/>
      <c r="F193" s="220"/>
      <c r="G193" s="220"/>
      <c r="H193" s="220"/>
      <c r="I193" s="220"/>
    </row>
    <row r="194" spans="1:9">
      <c r="A194" s="220"/>
      <c r="B194" s="220"/>
      <c r="C194" s="220"/>
      <c r="D194" s="220"/>
      <c r="E194" s="220"/>
      <c r="F194" s="220"/>
      <c r="G194" s="220"/>
      <c r="H194" s="220"/>
      <c r="I194" s="220"/>
    </row>
    <row r="195" spans="1:9">
      <c r="A195" s="220"/>
      <c r="B195" s="220"/>
      <c r="C195" s="220"/>
      <c r="D195" s="220"/>
      <c r="E195" s="220"/>
      <c r="F195" s="220"/>
      <c r="G195" s="220"/>
      <c r="H195" s="220"/>
      <c r="I195" s="220"/>
    </row>
    <row r="196" spans="1:9">
      <c r="A196" s="220"/>
      <c r="B196" s="220"/>
      <c r="C196" s="220"/>
      <c r="D196" s="220"/>
      <c r="E196" s="220"/>
      <c r="F196" s="220"/>
      <c r="G196" s="220"/>
      <c r="H196" s="220"/>
      <c r="I196" s="220"/>
    </row>
    <row r="197" spans="1:9">
      <c r="A197" s="220"/>
      <c r="B197" s="220"/>
      <c r="C197" s="220"/>
      <c r="D197" s="220"/>
      <c r="E197" s="220"/>
      <c r="F197" s="220"/>
      <c r="G197" s="220"/>
      <c r="H197" s="220"/>
      <c r="I197" s="220"/>
    </row>
    <row r="198" spans="1:9">
      <c r="A198" s="220"/>
      <c r="B198" s="220"/>
      <c r="C198" s="220"/>
      <c r="D198" s="220"/>
      <c r="E198" s="220"/>
      <c r="F198" s="220"/>
      <c r="G198" s="220"/>
      <c r="H198" s="220"/>
      <c r="I198" s="220"/>
    </row>
    <row r="199" spans="1:9">
      <c r="A199" s="220"/>
      <c r="B199" s="220"/>
      <c r="C199" s="220"/>
      <c r="D199" s="220"/>
      <c r="E199" s="220"/>
      <c r="F199" s="220"/>
      <c r="G199" s="220"/>
      <c r="H199" s="220"/>
      <c r="I199" s="220"/>
    </row>
    <row r="200" spans="1:9">
      <c r="A200" s="220"/>
      <c r="B200" s="220"/>
      <c r="C200" s="220"/>
      <c r="D200" s="220"/>
      <c r="E200" s="220"/>
      <c r="F200" s="220"/>
      <c r="G200" s="220"/>
      <c r="H200" s="220"/>
      <c r="I200" s="220"/>
    </row>
    <row r="201" spans="1:9">
      <c r="A201" s="220"/>
      <c r="B201" s="220"/>
      <c r="C201" s="220"/>
      <c r="D201" s="220"/>
      <c r="E201" s="220"/>
      <c r="F201" s="220"/>
      <c r="G201" s="220"/>
      <c r="H201" s="220"/>
      <c r="I201" s="220"/>
    </row>
    <row r="202" spans="1:9">
      <c r="A202" s="220"/>
      <c r="B202" s="220"/>
      <c r="C202" s="220"/>
      <c r="D202" s="220"/>
      <c r="E202" s="220"/>
      <c r="F202" s="220"/>
      <c r="G202" s="220"/>
      <c r="H202" s="220"/>
      <c r="I202" s="220"/>
    </row>
    <row r="203" spans="1:9">
      <c r="A203" s="220"/>
      <c r="B203" s="220"/>
      <c r="C203" s="220"/>
      <c r="D203" s="220"/>
      <c r="E203" s="220"/>
      <c r="F203" s="220"/>
      <c r="G203" s="220"/>
      <c r="H203" s="220"/>
      <c r="I203" s="220"/>
    </row>
    <row r="204" spans="1:9">
      <c r="A204" s="220"/>
      <c r="B204" s="220"/>
      <c r="C204" s="220"/>
      <c r="D204" s="220"/>
      <c r="E204" s="220"/>
      <c r="F204" s="220"/>
      <c r="G204" s="220"/>
      <c r="H204" s="220"/>
      <c r="I204" s="220"/>
    </row>
    <row r="205" spans="1:9">
      <c r="A205" s="220"/>
      <c r="B205" s="220"/>
      <c r="C205" s="220"/>
      <c r="D205" s="220"/>
      <c r="E205" s="220"/>
      <c r="F205" s="220"/>
      <c r="G205" s="220"/>
      <c r="H205" s="220"/>
      <c r="I205" s="220"/>
    </row>
    <row r="206" spans="1:9">
      <c r="A206" s="220"/>
      <c r="B206" s="220"/>
      <c r="C206" s="220"/>
      <c r="D206" s="220"/>
      <c r="E206" s="220"/>
      <c r="F206" s="220"/>
      <c r="G206" s="220"/>
      <c r="H206" s="220"/>
      <c r="I206" s="220"/>
    </row>
    <row r="207" spans="1:9">
      <c r="A207" s="220"/>
      <c r="B207" s="220"/>
      <c r="C207" s="220"/>
      <c r="D207" s="220"/>
      <c r="E207" s="220"/>
      <c r="F207" s="220"/>
      <c r="G207" s="220"/>
      <c r="H207" s="220"/>
      <c r="I207" s="220"/>
    </row>
    <row r="208" spans="1:9">
      <c r="A208" s="220"/>
      <c r="B208" s="220"/>
      <c r="C208" s="220"/>
      <c r="D208" s="220"/>
      <c r="E208" s="220"/>
      <c r="F208" s="220"/>
      <c r="G208" s="220"/>
      <c r="H208" s="220"/>
      <c r="I208" s="220"/>
    </row>
  </sheetData>
  <phoneticPr fontId="19" type="noConversion"/>
  <pageMargins left="0.78740157480314965" right="0.39370078740157483" top="0.98425196850393704" bottom="0.98425196850393704" header="0.51181102362204722" footer="0.51181102362204722"/>
  <pageSetup paperSize="5" scale="70" orientation="portrait" horizontalDpi="300" verticalDpi="300"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6"/>
  <sheetViews>
    <sheetView topLeftCell="A16" workbookViewId="0">
      <selection activeCell="L25" sqref="L25"/>
    </sheetView>
  </sheetViews>
  <sheetFormatPr baseColWidth="10" defaultRowHeight="12.75"/>
  <cols>
    <col min="1" max="1" width="7.28515625" customWidth="1"/>
    <col min="2" max="7" width="9" customWidth="1"/>
    <col min="8" max="10" width="8.85546875" customWidth="1"/>
    <col min="11" max="12" width="6.42578125" style="220" customWidth="1"/>
    <col min="13" max="13" width="8.28515625" style="220" customWidth="1"/>
    <col min="14" max="14" width="8.5703125" style="220" customWidth="1"/>
    <col min="15" max="15" width="6.42578125" style="220" customWidth="1"/>
    <col min="16" max="16" width="8.140625" style="220" customWidth="1"/>
    <col min="17" max="18" width="6.42578125" style="220" customWidth="1"/>
    <col min="19" max="19" width="7.28515625" style="220" customWidth="1"/>
    <col min="20" max="21" width="6.42578125" style="220" customWidth="1"/>
    <col min="22" max="22" width="6.5703125" style="220" customWidth="1"/>
    <col min="23" max="24" width="6.5703125" customWidth="1"/>
  </cols>
  <sheetData>
    <row r="1" spans="1:24">
      <c r="A1" s="82" t="s">
        <v>73</v>
      </c>
      <c r="B1" s="83"/>
      <c r="C1" s="1"/>
      <c r="D1" s="1"/>
      <c r="E1" s="1"/>
      <c r="F1" s="1"/>
      <c r="G1" s="1"/>
      <c r="H1" s="1"/>
      <c r="I1" s="1"/>
      <c r="J1" s="171"/>
    </row>
    <row r="2" spans="1:24">
      <c r="A2" s="82" t="s">
        <v>74</v>
      </c>
      <c r="B2" s="83"/>
      <c r="C2" s="1"/>
      <c r="D2" s="1"/>
      <c r="E2" s="1"/>
      <c r="F2" s="1"/>
      <c r="G2" s="1"/>
      <c r="H2" s="1"/>
      <c r="I2" s="1"/>
      <c r="J2" s="171"/>
    </row>
    <row r="3" spans="1:24">
      <c r="A3" s="82" t="s">
        <v>75</v>
      </c>
      <c r="B3" s="83"/>
      <c r="C3" s="1"/>
      <c r="D3" s="1"/>
      <c r="E3" s="1"/>
      <c r="F3" s="1"/>
      <c r="G3" s="1"/>
      <c r="H3" s="1"/>
      <c r="I3" s="1"/>
      <c r="J3" s="171"/>
    </row>
    <row r="4" spans="1:24">
      <c r="A4" s="82"/>
      <c r="B4" s="83"/>
      <c r="C4" s="1"/>
      <c r="D4" s="1"/>
      <c r="E4" s="1"/>
      <c r="F4" s="1"/>
      <c r="G4" s="1"/>
      <c r="H4" s="1"/>
      <c r="I4" s="1"/>
      <c r="J4" s="171"/>
    </row>
    <row r="5" spans="1:24">
      <c r="A5" s="3" t="s">
        <v>1373</v>
      </c>
      <c r="B5" s="83"/>
      <c r="C5" s="1"/>
      <c r="D5" s="1"/>
      <c r="E5" s="1"/>
      <c r="F5" s="1"/>
      <c r="G5" s="1"/>
      <c r="H5" s="1"/>
      <c r="I5" s="1"/>
      <c r="J5" s="171"/>
    </row>
    <row r="6" spans="1:24">
      <c r="J6" s="171"/>
    </row>
    <row r="7" spans="1:24">
      <c r="J7" s="171"/>
      <c r="K7"/>
      <c r="L7"/>
      <c r="M7" s="278" t="s">
        <v>76</v>
      </c>
      <c r="N7" s="278"/>
      <c r="O7" s="278"/>
      <c r="P7" s="278" t="s">
        <v>77</v>
      </c>
      <c r="Q7" s="278"/>
      <c r="R7" s="278"/>
      <c r="S7" s="278" t="s">
        <v>904</v>
      </c>
      <c r="T7" s="278"/>
      <c r="U7" s="278"/>
      <c r="V7" s="278" t="s">
        <v>905</v>
      </c>
      <c r="W7" s="278"/>
      <c r="X7" s="278"/>
    </row>
    <row r="8" spans="1:24" s="6" customFormat="1" ht="16.5" customHeight="1">
      <c r="A8" s="276" t="s">
        <v>659</v>
      </c>
      <c r="B8" s="477" t="s">
        <v>42</v>
      </c>
      <c r="C8" s="169"/>
      <c r="D8" s="477" t="s">
        <v>904</v>
      </c>
      <c r="E8" s="169"/>
      <c r="F8" s="168" t="s">
        <v>905</v>
      </c>
      <c r="G8" s="168"/>
      <c r="H8" s="477" t="s">
        <v>535</v>
      </c>
      <c r="I8" s="169"/>
      <c r="J8" s="561"/>
      <c r="K8"/>
      <c r="L8"/>
      <c r="M8" s="11"/>
      <c r="N8" s="11"/>
      <c r="O8" s="11"/>
      <c r="P8" s="11"/>
      <c r="Q8" s="11"/>
      <c r="R8" s="11"/>
      <c r="S8" s="11"/>
      <c r="T8" s="11"/>
      <c r="U8" s="11"/>
      <c r="V8" s="11"/>
      <c r="W8" s="11"/>
      <c r="X8" s="11"/>
    </row>
    <row r="9" spans="1:24" s="6" customFormat="1" ht="16.5" customHeight="1">
      <c r="A9" s="723"/>
      <c r="B9" s="254" t="s">
        <v>78</v>
      </c>
      <c r="C9" s="256" t="s">
        <v>1097</v>
      </c>
      <c r="D9" s="254" t="s">
        <v>78</v>
      </c>
      <c r="E9" s="256" t="s">
        <v>1097</v>
      </c>
      <c r="F9" s="442" t="s">
        <v>78</v>
      </c>
      <c r="G9" s="442" t="s">
        <v>1097</v>
      </c>
      <c r="H9" s="254" t="s">
        <v>78</v>
      </c>
      <c r="I9" s="256" t="s">
        <v>1097</v>
      </c>
      <c r="J9" s="307"/>
      <c r="K9"/>
      <c r="L9"/>
      <c r="M9" s="278" t="s">
        <v>79</v>
      </c>
      <c r="N9" s="278" t="s">
        <v>80</v>
      </c>
      <c r="O9" s="278" t="s">
        <v>81</v>
      </c>
      <c r="P9" s="278" t="s">
        <v>79</v>
      </c>
      <c r="Q9" s="278" t="s">
        <v>80</v>
      </c>
      <c r="R9" s="278" t="s">
        <v>81</v>
      </c>
      <c r="S9" s="278" t="s">
        <v>79</v>
      </c>
      <c r="T9" s="278" t="s">
        <v>80</v>
      </c>
      <c r="U9" s="278" t="s">
        <v>81</v>
      </c>
      <c r="V9" s="278" t="s">
        <v>79</v>
      </c>
      <c r="W9" s="278" t="s">
        <v>80</v>
      </c>
      <c r="X9" s="278" t="s">
        <v>81</v>
      </c>
    </row>
    <row r="10" spans="1:24" s="6" customFormat="1" ht="16.5" customHeight="1">
      <c r="A10" s="203">
        <v>2006</v>
      </c>
      <c r="B10" s="274">
        <v>3926</v>
      </c>
      <c r="C10" s="724">
        <v>1234</v>
      </c>
      <c r="D10" s="274">
        <v>3154</v>
      </c>
      <c r="E10" s="724">
        <v>1111</v>
      </c>
      <c r="F10" s="725">
        <v>0</v>
      </c>
      <c r="G10" s="725">
        <v>0</v>
      </c>
      <c r="H10" s="274">
        <v>7080</v>
      </c>
      <c r="I10" s="724">
        <v>2345</v>
      </c>
      <c r="J10" s="172"/>
      <c r="K10"/>
      <c r="L10"/>
      <c r="M10">
        <f>+'73'!O10</f>
        <v>248714</v>
      </c>
      <c r="N10">
        <f t="shared" ref="N10:N18" si="0">+H10/M10*100</f>
        <v>2.8466431322724093</v>
      </c>
      <c r="O10">
        <f t="shared" ref="O10:O18" si="1">+I10/M10*100</f>
        <v>0.94285002050548028</v>
      </c>
      <c r="P10">
        <f>+'73'!R10</f>
        <v>109302</v>
      </c>
      <c r="Q10">
        <f t="shared" ref="Q10:Q18" si="2">+B10/P10*100</f>
        <v>3.5918830396516075</v>
      </c>
      <c r="R10">
        <f t="shared" ref="R10:R18" si="3">+C10/P10*100</f>
        <v>1.1289820863296189</v>
      </c>
      <c r="S10">
        <f>+'73'!U10</f>
        <v>103515</v>
      </c>
      <c r="T10">
        <f t="shared" ref="T10:T18" si="4">+D10/S10*100</f>
        <v>3.0469014152538278</v>
      </c>
      <c r="U10">
        <f t="shared" ref="U10:U18" si="5">+E10/S10*100</f>
        <v>1.0732744046756508</v>
      </c>
      <c r="V10">
        <f>+'73'!X10</f>
        <v>35897</v>
      </c>
      <c r="W10">
        <f t="shared" ref="W10:W18" si="6">+F10/V10*100</f>
        <v>0</v>
      </c>
      <c r="X10">
        <f t="shared" ref="X10:X18" si="7">+G10/V10*100</f>
        <v>0</v>
      </c>
    </row>
    <row r="11" spans="1:24" s="6" customFormat="1" ht="16.5" customHeight="1">
      <c r="A11" s="203">
        <v>2007</v>
      </c>
      <c r="B11" s="274">
        <v>3769</v>
      </c>
      <c r="C11" s="724">
        <v>1561</v>
      </c>
      <c r="D11" s="274">
        <v>3263</v>
      </c>
      <c r="E11" s="724">
        <v>1014</v>
      </c>
      <c r="F11" s="725">
        <v>0</v>
      </c>
      <c r="G11" s="725">
        <v>0</v>
      </c>
      <c r="H11" s="274">
        <v>7032</v>
      </c>
      <c r="I11" s="724">
        <v>2575</v>
      </c>
      <c r="J11" s="172"/>
      <c r="K11"/>
      <c r="L11"/>
      <c r="M11">
        <f>+'73'!O11</f>
        <v>252006</v>
      </c>
      <c r="N11">
        <f t="shared" si="0"/>
        <v>2.7904097521487583</v>
      </c>
      <c r="O11">
        <f t="shared" si="1"/>
        <v>1.0218010682285343</v>
      </c>
      <c r="P11">
        <f>+'73'!R11</f>
        <v>110771</v>
      </c>
      <c r="Q11">
        <f t="shared" si="2"/>
        <v>3.4025150987171728</v>
      </c>
      <c r="R11">
        <f t="shared" si="3"/>
        <v>1.409213602838288</v>
      </c>
      <c r="S11">
        <f>+'73'!U11</f>
        <v>105143</v>
      </c>
      <c r="T11">
        <f t="shared" si="4"/>
        <v>3.1033925225645071</v>
      </c>
      <c r="U11">
        <f t="shared" si="5"/>
        <v>0.96440086358578325</v>
      </c>
      <c r="V11">
        <f>+'73'!X11</f>
        <v>36092</v>
      </c>
      <c r="W11">
        <f t="shared" si="6"/>
        <v>0</v>
      </c>
      <c r="X11">
        <f t="shared" si="7"/>
        <v>0</v>
      </c>
    </row>
    <row r="12" spans="1:24" s="6" customFormat="1" ht="17.25" customHeight="1">
      <c r="A12" s="203">
        <v>2008</v>
      </c>
      <c r="B12" s="274">
        <v>4057</v>
      </c>
      <c r="C12" s="724">
        <v>1646</v>
      </c>
      <c r="D12" s="274">
        <v>3246</v>
      </c>
      <c r="E12" s="724">
        <v>1032</v>
      </c>
      <c r="F12" s="725">
        <v>0</v>
      </c>
      <c r="G12" s="725">
        <v>0</v>
      </c>
      <c r="H12" s="274">
        <v>7303</v>
      </c>
      <c r="I12" s="724">
        <v>2678</v>
      </c>
      <c r="J12" s="172"/>
      <c r="K12"/>
      <c r="L12"/>
      <c r="M12">
        <f>+'73'!O12</f>
        <v>255306</v>
      </c>
      <c r="N12">
        <f t="shared" si="0"/>
        <v>2.8604889818492318</v>
      </c>
      <c r="O12">
        <f t="shared" si="1"/>
        <v>1.0489373536070441</v>
      </c>
      <c r="P12">
        <f>+'73'!R12</f>
        <v>112245</v>
      </c>
      <c r="Q12">
        <f t="shared" si="2"/>
        <v>3.6144148959864584</v>
      </c>
      <c r="R12">
        <f t="shared" si="3"/>
        <v>1.4664350305136087</v>
      </c>
      <c r="S12">
        <f>+'73'!U12</f>
        <v>106765</v>
      </c>
      <c r="T12">
        <f t="shared" si="4"/>
        <v>3.0403222029691377</v>
      </c>
      <c r="U12">
        <f t="shared" si="5"/>
        <v>0.96660890741347827</v>
      </c>
      <c r="V12">
        <f>+'73'!X12</f>
        <v>36296</v>
      </c>
      <c r="W12">
        <f t="shared" si="6"/>
        <v>0</v>
      </c>
      <c r="X12">
        <f t="shared" si="7"/>
        <v>0</v>
      </c>
    </row>
    <row r="13" spans="1:24" s="6" customFormat="1" ht="17.25" customHeight="1">
      <c r="A13" s="249">
        <v>2009</v>
      </c>
      <c r="B13" s="725">
        <v>4188</v>
      </c>
      <c r="C13" s="724">
        <v>1711</v>
      </c>
      <c r="D13" s="725">
        <v>2815</v>
      </c>
      <c r="E13" s="724">
        <v>1136</v>
      </c>
      <c r="F13" s="725">
        <v>3</v>
      </c>
      <c r="G13" s="724">
        <v>11</v>
      </c>
      <c r="H13" s="725">
        <v>7006</v>
      </c>
      <c r="I13" s="724">
        <v>2858</v>
      </c>
      <c r="J13" s="172"/>
      <c r="K13"/>
      <c r="L13"/>
      <c r="M13">
        <f>+'73'!O13</f>
        <v>258574</v>
      </c>
      <c r="N13">
        <f t="shared" si="0"/>
        <v>2.7094758173675624</v>
      </c>
      <c r="O13">
        <f t="shared" si="1"/>
        <v>1.1052928755404641</v>
      </c>
      <c r="P13">
        <f>+'73'!R13</f>
        <v>113725</v>
      </c>
      <c r="Q13">
        <f t="shared" si="2"/>
        <v>3.6825675972741263</v>
      </c>
      <c r="R13">
        <f t="shared" si="3"/>
        <v>1.5045064849417455</v>
      </c>
      <c r="S13">
        <f>+'73'!U13</f>
        <v>108360</v>
      </c>
      <c r="T13" s="226">
        <f t="shared" si="4"/>
        <v>2.5978220745662606</v>
      </c>
      <c r="U13">
        <f t="shared" si="5"/>
        <v>1.048357327427095</v>
      </c>
      <c r="V13">
        <f>+'73'!X13</f>
        <v>36489</v>
      </c>
      <c r="W13">
        <f t="shared" si="6"/>
        <v>8.2216558414864756E-3</v>
      </c>
      <c r="X13">
        <f t="shared" si="7"/>
        <v>3.0146071418783744E-2</v>
      </c>
    </row>
    <row r="14" spans="1:24" s="6" customFormat="1" ht="17.25" customHeight="1">
      <c r="A14" s="665">
        <v>2010</v>
      </c>
      <c r="B14" s="207">
        <v>3683</v>
      </c>
      <c r="C14" s="205">
        <v>1406</v>
      </c>
      <c r="D14" s="207">
        <v>3491</v>
      </c>
      <c r="E14" s="205">
        <v>1455</v>
      </c>
      <c r="F14" s="207">
        <v>1</v>
      </c>
      <c r="G14" s="205">
        <v>4</v>
      </c>
      <c r="H14" s="725">
        <v>7175</v>
      </c>
      <c r="I14" s="724">
        <v>2865</v>
      </c>
      <c r="J14" s="172"/>
      <c r="K14"/>
      <c r="L14"/>
      <c r="M14">
        <f>+'73'!O14</f>
        <v>261886</v>
      </c>
      <c r="N14">
        <f t="shared" si="0"/>
        <v>2.739741719679555</v>
      </c>
      <c r="O14">
        <f t="shared" si="1"/>
        <v>1.093987460192603</v>
      </c>
      <c r="P14">
        <f>+'73'!R14</f>
        <v>115203</v>
      </c>
      <c r="Q14">
        <f t="shared" si="2"/>
        <v>3.1969653568049443</v>
      </c>
      <c r="R14">
        <f t="shared" si="3"/>
        <v>1.2204543284463079</v>
      </c>
      <c r="S14">
        <f>+'73'!U14</f>
        <v>109991</v>
      </c>
      <c r="T14">
        <f t="shared" si="4"/>
        <v>3.1738960460401304</v>
      </c>
      <c r="U14">
        <f t="shared" si="5"/>
        <v>1.3228355047231137</v>
      </c>
      <c r="V14">
        <f>+'73'!X14</f>
        <v>36692</v>
      </c>
      <c r="W14">
        <f t="shared" si="6"/>
        <v>2.7253897307314948E-3</v>
      </c>
      <c r="X14">
        <f t="shared" si="7"/>
        <v>1.0901558922925979E-2</v>
      </c>
    </row>
    <row r="15" spans="1:24" ht="17.25" customHeight="1">
      <c r="A15" s="665">
        <v>2011</v>
      </c>
      <c r="B15" s="207">
        <v>4775</v>
      </c>
      <c r="C15" s="205">
        <v>1479</v>
      </c>
      <c r="D15" s="207">
        <v>4199</v>
      </c>
      <c r="E15" s="205">
        <v>1803</v>
      </c>
      <c r="F15" s="207">
        <v>0</v>
      </c>
      <c r="G15" s="205">
        <v>12</v>
      </c>
      <c r="H15" s="725">
        <v>8974</v>
      </c>
      <c r="I15" s="724">
        <v>3294</v>
      </c>
      <c r="J15" s="172"/>
      <c r="K15"/>
      <c r="L15"/>
      <c r="M15">
        <f>+'73'!O15</f>
        <v>264902</v>
      </c>
      <c r="N15">
        <f t="shared" si="0"/>
        <v>3.3876678922771442</v>
      </c>
      <c r="O15">
        <f t="shared" si="1"/>
        <v>1.243478720432462</v>
      </c>
      <c r="P15">
        <f>+'73'!R15</f>
        <v>116578</v>
      </c>
      <c r="Q15">
        <f t="shared" si="2"/>
        <v>4.0959700801180325</v>
      </c>
      <c r="R15">
        <f t="shared" si="3"/>
        <v>1.2686784813601195</v>
      </c>
      <c r="S15">
        <f>+'73'!U15</f>
        <v>111485</v>
      </c>
      <c r="T15">
        <f t="shared" si="4"/>
        <v>3.7664259765887791</v>
      </c>
      <c r="U15">
        <f t="shared" si="5"/>
        <v>1.6172579270753911</v>
      </c>
      <c r="V15">
        <f>+'73'!X15</f>
        <v>36839</v>
      </c>
      <c r="W15">
        <f t="shared" si="6"/>
        <v>0</v>
      </c>
      <c r="X15">
        <f t="shared" si="7"/>
        <v>3.2574174108960616E-2</v>
      </c>
    </row>
    <row r="16" spans="1:24" ht="17.25" customHeight="1">
      <c r="A16" s="665">
        <v>2012</v>
      </c>
      <c r="B16" s="207">
        <v>5231</v>
      </c>
      <c r="C16" s="205">
        <v>1416</v>
      </c>
      <c r="D16" s="207">
        <v>4069</v>
      </c>
      <c r="E16" s="205">
        <v>1880</v>
      </c>
      <c r="F16" s="207">
        <v>0</v>
      </c>
      <c r="G16" s="205">
        <v>0</v>
      </c>
      <c r="H16" s="725">
        <v>9300</v>
      </c>
      <c r="I16" s="724">
        <v>3296</v>
      </c>
      <c r="J16" s="172"/>
      <c r="K16"/>
      <c r="L16"/>
      <c r="M16">
        <f>+'73'!O16</f>
        <v>267912</v>
      </c>
      <c r="N16">
        <f t="shared" si="0"/>
        <v>3.4712890799964167</v>
      </c>
      <c r="O16">
        <f t="shared" si="1"/>
        <v>1.2302547105019559</v>
      </c>
      <c r="P16">
        <f>+'73'!R16</f>
        <v>117972</v>
      </c>
      <c r="Q16">
        <f t="shared" si="2"/>
        <v>4.4341030074933032</v>
      </c>
      <c r="R16">
        <f t="shared" si="3"/>
        <v>1.2002848133455397</v>
      </c>
      <c r="S16">
        <f>+'73'!U16</f>
        <v>112982</v>
      </c>
      <c r="T16">
        <f t="shared" si="4"/>
        <v>3.60145863942929</v>
      </c>
      <c r="U16">
        <f t="shared" si="5"/>
        <v>1.663981873218743</v>
      </c>
      <c r="V16">
        <f>+'73'!X16</f>
        <v>36958</v>
      </c>
      <c r="W16">
        <f t="shared" si="6"/>
        <v>0</v>
      </c>
      <c r="X16">
        <f t="shared" si="7"/>
        <v>0</v>
      </c>
    </row>
    <row r="17" spans="1:24" ht="17.25" customHeight="1">
      <c r="A17" s="665">
        <v>2013</v>
      </c>
      <c r="B17" s="207">
        <v>5295</v>
      </c>
      <c r="C17" s="205">
        <v>1554</v>
      </c>
      <c r="D17" s="207">
        <v>3949</v>
      </c>
      <c r="E17" s="205">
        <v>1749</v>
      </c>
      <c r="F17" s="207">
        <v>0</v>
      </c>
      <c r="G17" s="205">
        <v>0</v>
      </c>
      <c r="H17" s="725">
        <v>9244</v>
      </c>
      <c r="I17" s="724">
        <v>3303</v>
      </c>
      <c r="J17" s="172"/>
      <c r="K17"/>
      <c r="L17"/>
      <c r="M17">
        <f>+'73'!O17</f>
        <v>270947</v>
      </c>
      <c r="N17">
        <f t="shared" si="0"/>
        <v>3.411737350847214</v>
      </c>
      <c r="O17">
        <f t="shared" si="1"/>
        <v>1.2190576016711756</v>
      </c>
      <c r="P17">
        <f>+'73'!R17</f>
        <v>119349</v>
      </c>
      <c r="Q17">
        <f t="shared" si="2"/>
        <v>4.4365683834803811</v>
      </c>
      <c r="R17">
        <f t="shared" si="3"/>
        <v>1.3020636955483498</v>
      </c>
      <c r="S17">
        <f>+'73'!U17</f>
        <v>114496</v>
      </c>
      <c r="T17">
        <f t="shared" si="4"/>
        <v>3.4490287870318617</v>
      </c>
      <c r="U17">
        <f t="shared" si="5"/>
        <v>1.5275642817216322</v>
      </c>
      <c r="V17">
        <f>+'73'!X17</f>
        <v>37102</v>
      </c>
      <c r="W17">
        <f t="shared" si="6"/>
        <v>0</v>
      </c>
      <c r="X17">
        <f t="shared" si="7"/>
        <v>0</v>
      </c>
    </row>
    <row r="18" spans="1:24" ht="17.25" customHeight="1">
      <c r="A18" s="665">
        <v>2014</v>
      </c>
      <c r="B18" s="207">
        <v>5667</v>
      </c>
      <c r="C18" s="205">
        <v>1506</v>
      </c>
      <c r="D18" s="207">
        <v>3879</v>
      </c>
      <c r="E18" s="205">
        <v>1913</v>
      </c>
      <c r="F18" s="207">
        <v>0</v>
      </c>
      <c r="G18" s="205">
        <v>0</v>
      </c>
      <c r="H18" s="725">
        <v>9546</v>
      </c>
      <c r="I18" s="724">
        <v>3419</v>
      </c>
      <c r="J18" s="172"/>
      <c r="K18"/>
      <c r="L18"/>
      <c r="M18">
        <f>+'73'!O18</f>
        <v>273968</v>
      </c>
      <c r="N18">
        <f t="shared" si="0"/>
        <v>3.4843485370554226</v>
      </c>
      <c r="O18" s="226">
        <f t="shared" si="1"/>
        <v>1.247955965660223</v>
      </c>
      <c r="P18">
        <f>+'73'!R18</f>
        <v>120741</v>
      </c>
      <c r="Q18">
        <f t="shared" si="2"/>
        <v>4.6935175292568392</v>
      </c>
      <c r="R18">
        <f t="shared" si="3"/>
        <v>1.2472979352498323</v>
      </c>
      <c r="S18">
        <f>+'73'!U18</f>
        <v>115998</v>
      </c>
      <c r="T18">
        <f t="shared" si="4"/>
        <v>3.3440231728133241</v>
      </c>
      <c r="U18">
        <f t="shared" si="5"/>
        <v>1.6491663649373263</v>
      </c>
      <c r="V18">
        <f>+'73'!X18</f>
        <v>37229</v>
      </c>
      <c r="W18">
        <f t="shared" si="6"/>
        <v>0</v>
      </c>
      <c r="X18">
        <f t="shared" si="7"/>
        <v>0</v>
      </c>
    </row>
    <row r="19" spans="1:24" ht="17.25" customHeight="1">
      <c r="A19" s="726">
        <v>2015</v>
      </c>
      <c r="B19" s="727">
        <f>SUM('70'!C8:C11)</f>
        <v>5750</v>
      </c>
      <c r="C19" s="728">
        <f>+'70'!C12+'70'!C13</f>
        <v>1254</v>
      </c>
      <c r="D19" s="727">
        <f>SUM('70'!D8:D11)</f>
        <v>3527</v>
      </c>
      <c r="E19" s="728">
        <f>+'70'!D12+'70'!D13</f>
        <v>2161</v>
      </c>
      <c r="F19" s="727">
        <f>+'70'!E8+'70'!E10</f>
        <v>0</v>
      </c>
      <c r="G19" s="728">
        <f>+'70'!E11+'70'!E13</f>
        <v>0</v>
      </c>
      <c r="H19" s="727">
        <f>+B19+D19+F19</f>
        <v>9277</v>
      </c>
      <c r="I19" s="728">
        <f>+C19+E19+G19</f>
        <v>3415</v>
      </c>
      <c r="J19" s="172"/>
      <c r="K19"/>
      <c r="L19"/>
      <c r="M19">
        <f>+'73'!O19</f>
        <v>276985</v>
      </c>
      <c r="N19">
        <f>+H19/M19*100</f>
        <v>3.3492788418145389</v>
      </c>
      <c r="O19">
        <f>+I19/M19*100</f>
        <v>1.232918750112822</v>
      </c>
      <c r="P19">
        <f>+'73'!R19</f>
        <v>122121</v>
      </c>
      <c r="Q19">
        <f>+B19/P19*100</f>
        <v>4.7084449030060354</v>
      </c>
      <c r="R19">
        <f>+C19/P19*100</f>
        <v>1.0268504188468812</v>
      </c>
      <c r="S19">
        <f>+'73'!U19</f>
        <v>117496</v>
      </c>
      <c r="T19">
        <f>+D19/S19*100</f>
        <v>3.0018043167426978</v>
      </c>
      <c r="U19">
        <f>+E19/S19*100</f>
        <v>1.8392115476271533</v>
      </c>
      <c r="V19">
        <f>+'73'!X19</f>
        <v>37368</v>
      </c>
      <c r="W19">
        <f>+F19/V19*100</f>
        <v>0</v>
      </c>
      <c r="X19">
        <f>+G19/V19*100</f>
        <v>0</v>
      </c>
    </row>
    <row r="20" spans="1:24">
      <c r="A20" s="729"/>
      <c r="B20" s="730"/>
      <c r="C20" s="730"/>
      <c r="D20" s="730"/>
      <c r="E20" s="730"/>
      <c r="F20" s="730"/>
      <c r="G20" s="730"/>
      <c r="H20" s="172"/>
      <c r="I20" s="172"/>
      <c r="J20" s="172"/>
      <c r="K20" s="167"/>
      <c r="L20" s="731"/>
      <c r="M20" s="731"/>
      <c r="N20" s="167"/>
      <c r="O20" s="731"/>
      <c r="P20" s="731"/>
      <c r="Q20" s="167"/>
      <c r="R20" s="731"/>
      <c r="S20" s="731"/>
      <c r="T20" s="167"/>
      <c r="U20" s="731"/>
      <c r="V20" s="731"/>
      <c r="W20" s="354"/>
    </row>
    <row r="21" spans="1:24">
      <c r="A21" s="729"/>
      <c r="B21" s="730"/>
      <c r="C21" s="730"/>
      <c r="D21" s="730"/>
      <c r="E21" s="730"/>
      <c r="F21" s="730"/>
      <c r="G21" s="730"/>
      <c r="H21" s="172"/>
      <c r="I21" s="172"/>
      <c r="J21" s="172"/>
      <c r="K21" s="167"/>
      <c r="L21" s="731"/>
      <c r="M21" s="731"/>
      <c r="N21" s="167"/>
      <c r="O21" s="731"/>
      <c r="P21" s="731"/>
      <c r="Q21" s="167"/>
      <c r="R21" s="731"/>
      <c r="S21" s="731"/>
      <c r="T21" s="167"/>
      <c r="U21" s="731"/>
      <c r="V21" s="731"/>
      <c r="W21" s="354"/>
    </row>
    <row r="22" spans="1:24">
      <c r="A22" s="220"/>
      <c r="B22" s="220"/>
      <c r="C22" s="220"/>
      <c r="D22" s="220"/>
      <c r="E22" s="220"/>
      <c r="F22" s="220"/>
      <c r="G22" s="220"/>
      <c r="H22" s="220"/>
      <c r="I22" s="220"/>
      <c r="J22" s="220"/>
    </row>
    <row r="25" spans="1:24">
      <c r="K25" s="220" t="s">
        <v>82</v>
      </c>
    </row>
    <row r="58" spans="1:10">
      <c r="A58" s="82" t="s">
        <v>73</v>
      </c>
      <c r="B58" s="83"/>
      <c r="C58" s="1"/>
      <c r="D58" s="1"/>
      <c r="E58" s="1"/>
      <c r="F58" s="1"/>
      <c r="G58" s="1"/>
      <c r="H58" s="1"/>
      <c r="I58" s="1"/>
      <c r="J58" s="1"/>
    </row>
    <row r="59" spans="1:10">
      <c r="A59" s="82" t="s">
        <v>74</v>
      </c>
      <c r="B59" s="83"/>
      <c r="C59" s="1"/>
      <c r="D59" s="1"/>
      <c r="E59" s="1"/>
      <c r="F59" s="1"/>
      <c r="G59" s="1"/>
      <c r="H59" s="1"/>
      <c r="I59" s="1"/>
      <c r="J59" s="1"/>
    </row>
    <row r="60" spans="1:10">
      <c r="A60" s="82" t="s">
        <v>83</v>
      </c>
      <c r="B60" s="83"/>
      <c r="C60" s="1"/>
      <c r="D60" s="1"/>
      <c r="E60" s="1"/>
      <c r="F60" s="1"/>
      <c r="G60" s="1"/>
      <c r="H60" s="1"/>
      <c r="I60" s="1"/>
      <c r="J60" s="1"/>
    </row>
    <row r="61" spans="1:10">
      <c r="A61" s="82"/>
      <c r="B61" s="83"/>
      <c r="C61" s="1"/>
      <c r="D61" s="1"/>
      <c r="E61" s="1"/>
      <c r="F61" s="1"/>
      <c r="G61" s="1"/>
      <c r="H61" s="1"/>
      <c r="I61" s="1"/>
      <c r="J61" s="1"/>
    </row>
    <row r="62" spans="1:10">
      <c r="A62" s="82" t="str">
        <f>+A5</f>
        <v>2006  - 2015</v>
      </c>
      <c r="B62" s="83"/>
      <c r="C62" s="1"/>
      <c r="D62" s="1"/>
      <c r="E62" s="1"/>
      <c r="F62" s="1"/>
      <c r="G62" s="1"/>
      <c r="H62" s="1"/>
      <c r="I62" s="1"/>
      <c r="J62" s="1"/>
    </row>
    <row r="63" spans="1:10">
      <c r="A63" s="116"/>
      <c r="B63" s="1"/>
      <c r="C63" s="1"/>
      <c r="D63" s="1"/>
      <c r="E63" s="1"/>
      <c r="F63" s="1"/>
      <c r="G63" s="1"/>
      <c r="H63" s="1"/>
      <c r="I63" s="1"/>
      <c r="J63" s="1"/>
    </row>
    <row r="64" spans="1:10">
      <c r="A64" s="116"/>
      <c r="B64" s="1"/>
      <c r="C64" s="1"/>
      <c r="D64" s="1"/>
      <c r="E64" s="1"/>
      <c r="F64" s="1"/>
      <c r="G64" s="1"/>
      <c r="H64" s="1"/>
      <c r="I64" s="1"/>
      <c r="J64" s="1"/>
    </row>
    <row r="65" spans="1:10">
      <c r="A65" s="116"/>
      <c r="B65" s="1"/>
      <c r="C65" s="1"/>
      <c r="D65" s="1"/>
      <c r="E65" s="1"/>
      <c r="F65" s="1"/>
      <c r="G65" s="1"/>
      <c r="H65" s="1"/>
      <c r="I65" s="1"/>
      <c r="J65" s="1"/>
    </row>
    <row r="66" spans="1:10">
      <c r="A66" s="116"/>
      <c r="B66" s="1"/>
      <c r="C66" s="1"/>
      <c r="D66" s="1"/>
      <c r="E66" s="1"/>
      <c r="F66" s="1"/>
      <c r="G66" s="1"/>
      <c r="H66" s="1"/>
      <c r="I66" s="1"/>
      <c r="J66" s="1"/>
    </row>
  </sheetData>
  <phoneticPr fontId="19" type="noConversion"/>
  <pageMargins left="0.98425196850393704" right="0.39370078740157483" top="0.98425196850393704" bottom="1.3779527559055118" header="0.51181102362204722" footer="0.51181102362204722"/>
  <pageSetup paperSize="5" scale="96" orientation="portrait" horizontalDpi="300" verticalDpi="300" r:id="rId1"/>
  <headerFooter alignWithMargins="0">
    <oddHeader xml:space="preserve">&amp;R
</oddHeader>
  </headerFooter>
  <rowBreaks count="1" manualBreakCount="1">
    <brk id="57" max="16383" man="1"/>
  </rowBreaks>
  <colBreaks count="1" manualBreakCount="1">
    <brk id="10" max="99" man="1"/>
  </col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8"/>
  <sheetViews>
    <sheetView topLeftCell="A13" zoomScale="75" workbookViewId="0">
      <selection activeCell="L43" sqref="L43"/>
    </sheetView>
  </sheetViews>
  <sheetFormatPr baseColWidth="10" defaultRowHeight="12.75"/>
  <cols>
    <col min="1" max="1" width="31.85546875" customWidth="1"/>
    <col min="2" max="3" width="8.42578125" customWidth="1"/>
    <col min="4" max="4" width="7.85546875" customWidth="1"/>
    <col min="5" max="5" width="7.28515625" customWidth="1"/>
    <col min="6" max="6" width="7.7109375" customWidth="1"/>
    <col min="7" max="7" width="7" customWidth="1"/>
    <col min="8" max="9" width="7.42578125" customWidth="1"/>
    <col min="10" max="10" width="8.42578125" customWidth="1"/>
    <col min="11" max="11" width="8.140625" customWidth="1"/>
    <col min="12" max="12" width="6.85546875" customWidth="1"/>
    <col min="13" max="13" width="7.85546875" customWidth="1"/>
    <col min="14" max="14" width="8.28515625" customWidth="1"/>
    <col min="15" max="15" width="8.7109375" customWidth="1"/>
  </cols>
  <sheetData>
    <row r="1" spans="1:15">
      <c r="A1" s="3" t="s">
        <v>1371</v>
      </c>
      <c r="B1" s="116"/>
      <c r="C1" s="116"/>
      <c r="D1" s="116"/>
      <c r="E1" s="116"/>
      <c r="F1" s="116"/>
      <c r="G1" s="116"/>
      <c r="H1" s="116"/>
      <c r="I1" s="116"/>
      <c r="J1" s="116"/>
      <c r="K1" s="116"/>
      <c r="L1" s="116"/>
      <c r="M1" s="116"/>
      <c r="N1" s="116"/>
      <c r="O1" s="116"/>
    </row>
    <row r="2" spans="1:15">
      <c r="A2" s="82"/>
      <c r="B2" s="116"/>
      <c r="C2" s="116"/>
      <c r="D2" s="116"/>
      <c r="E2" s="116"/>
      <c r="F2" s="116"/>
      <c r="G2" s="116"/>
      <c r="H2" s="116"/>
      <c r="I2" s="116"/>
      <c r="J2" s="116"/>
      <c r="K2" s="116"/>
      <c r="L2" s="116"/>
      <c r="M2" s="116"/>
      <c r="N2" s="116"/>
      <c r="O2" s="116"/>
    </row>
    <row r="3" spans="1:15">
      <c r="A3" s="82" t="s">
        <v>945</v>
      </c>
      <c r="B3" s="116"/>
      <c r="C3" s="116"/>
      <c r="D3" s="116"/>
      <c r="E3" s="116"/>
      <c r="F3" s="116"/>
      <c r="G3" s="116"/>
      <c r="H3" s="116"/>
      <c r="I3" s="116"/>
      <c r="J3" s="116"/>
      <c r="K3" s="116"/>
      <c r="L3" s="116"/>
      <c r="M3" s="116"/>
      <c r="N3" s="116"/>
      <c r="O3" s="116"/>
    </row>
    <row r="6" spans="1:15" ht="18.75" customHeight="1">
      <c r="A6" s="64"/>
      <c r="B6" s="292" t="s">
        <v>20</v>
      </c>
      <c r="C6" s="292"/>
      <c r="D6" s="292"/>
      <c r="E6" s="292"/>
      <c r="F6" s="292"/>
      <c r="G6" s="292"/>
      <c r="H6" s="292"/>
      <c r="I6" s="292"/>
      <c r="J6" s="292"/>
      <c r="K6" s="292"/>
      <c r="L6" s="292"/>
      <c r="M6" s="292"/>
      <c r="N6" s="292"/>
      <c r="O6" s="277"/>
    </row>
    <row r="7" spans="1:15" ht="23.25" customHeight="1">
      <c r="A7" s="299" t="s">
        <v>84</v>
      </c>
      <c r="B7" s="283" t="s">
        <v>42</v>
      </c>
      <c r="C7" s="285"/>
      <c r="D7" s="283" t="s">
        <v>904</v>
      </c>
      <c r="E7" s="284"/>
      <c r="F7" s="285" t="s">
        <v>905</v>
      </c>
      <c r="G7" s="285"/>
      <c r="H7" s="283" t="s">
        <v>85</v>
      </c>
      <c r="I7" s="284"/>
      <c r="J7" s="285" t="s">
        <v>48</v>
      </c>
      <c r="K7" s="285"/>
      <c r="L7" s="283" t="s">
        <v>86</v>
      </c>
      <c r="M7" s="285"/>
      <c r="N7" s="283" t="s">
        <v>656</v>
      </c>
      <c r="O7" s="284"/>
    </row>
    <row r="8" spans="1:15" ht="17.25" customHeight="1">
      <c r="A8" s="677"/>
      <c r="B8" s="203">
        <v>2014</v>
      </c>
      <c r="C8" s="250">
        <v>2015</v>
      </c>
      <c r="D8" s="203">
        <f>+B8</f>
        <v>2014</v>
      </c>
      <c r="E8" s="250">
        <f>+C8</f>
        <v>2015</v>
      </c>
      <c r="F8" s="203">
        <f t="shared" ref="F8:O8" si="0">+D8</f>
        <v>2014</v>
      </c>
      <c r="G8" s="250">
        <f t="shared" si="0"/>
        <v>2015</v>
      </c>
      <c r="H8" s="203">
        <f t="shared" si="0"/>
        <v>2014</v>
      </c>
      <c r="I8" s="250">
        <f t="shared" si="0"/>
        <v>2015</v>
      </c>
      <c r="J8" s="203">
        <f t="shared" si="0"/>
        <v>2014</v>
      </c>
      <c r="K8" s="250">
        <f t="shared" si="0"/>
        <v>2015</v>
      </c>
      <c r="L8" s="203">
        <f t="shared" si="0"/>
        <v>2014</v>
      </c>
      <c r="M8" s="250">
        <f t="shared" si="0"/>
        <v>2015</v>
      </c>
      <c r="N8" s="254">
        <f t="shared" si="0"/>
        <v>2014</v>
      </c>
      <c r="O8" s="256">
        <f t="shared" si="0"/>
        <v>2015</v>
      </c>
    </row>
    <row r="9" spans="1:15" ht="15" customHeight="1">
      <c r="A9" s="674" t="s">
        <v>1019</v>
      </c>
      <c r="B9" s="556">
        <v>244</v>
      </c>
      <c r="C9" s="557">
        <v>309</v>
      </c>
      <c r="D9" s="556">
        <v>28</v>
      </c>
      <c r="E9" s="557">
        <v>38</v>
      </c>
      <c r="F9" s="556"/>
      <c r="G9" s="557"/>
      <c r="H9" s="556"/>
      <c r="I9" s="557"/>
      <c r="J9" s="556"/>
      <c r="K9" s="557"/>
      <c r="L9" s="556"/>
      <c r="M9" s="557"/>
      <c r="N9" s="732">
        <f t="shared" ref="N9:N25" si="1">+L9+J9+H9+F9+D9+B9</f>
        <v>272</v>
      </c>
      <c r="O9" s="733">
        <f>+M9+K9+I9+G9+E9+C9</f>
        <v>347</v>
      </c>
    </row>
    <row r="10" spans="1:15" ht="15" customHeight="1">
      <c r="A10" s="299" t="s">
        <v>87</v>
      </c>
      <c r="B10" s="548">
        <v>1622</v>
      </c>
      <c r="C10" s="533">
        <v>1372</v>
      </c>
      <c r="D10" s="548">
        <v>7</v>
      </c>
      <c r="E10" s="533">
        <v>10</v>
      </c>
      <c r="F10" s="548"/>
      <c r="G10" s="533"/>
      <c r="H10" s="548">
        <v>44</v>
      </c>
      <c r="I10" s="533">
        <v>25</v>
      </c>
      <c r="J10" s="548"/>
      <c r="K10" s="533"/>
      <c r="L10" s="548"/>
      <c r="M10" s="533"/>
      <c r="N10" s="732">
        <f t="shared" si="1"/>
        <v>1673</v>
      </c>
      <c r="O10" s="733">
        <f>+M10+K10+I10+G10+E10+C10</f>
        <v>1407</v>
      </c>
    </row>
    <row r="11" spans="1:15" ht="15" customHeight="1">
      <c r="A11" s="299" t="s">
        <v>88</v>
      </c>
      <c r="B11" s="548">
        <v>688</v>
      </c>
      <c r="C11" s="533">
        <v>458</v>
      </c>
      <c r="D11" s="548">
        <v>10</v>
      </c>
      <c r="E11" s="533">
        <v>24</v>
      </c>
      <c r="F11" s="548"/>
      <c r="G11" s="533"/>
      <c r="H11" s="548"/>
      <c r="I11" s="533"/>
      <c r="J11" s="548"/>
      <c r="K11" s="533"/>
      <c r="L11" s="548"/>
      <c r="M11" s="533"/>
      <c r="N11" s="732">
        <f t="shared" si="1"/>
        <v>698</v>
      </c>
      <c r="O11" s="733">
        <f t="shared" ref="O11:O25" si="2">+M11+K11+I11+G11+E11+C11</f>
        <v>482</v>
      </c>
    </row>
    <row r="12" spans="1:15" ht="15" customHeight="1">
      <c r="A12" s="299" t="s">
        <v>89</v>
      </c>
      <c r="B12" s="548">
        <v>66</v>
      </c>
      <c r="C12" s="533">
        <v>64</v>
      </c>
      <c r="D12" s="548">
        <v>56</v>
      </c>
      <c r="E12" s="533">
        <v>70</v>
      </c>
      <c r="F12" s="548"/>
      <c r="G12" s="533"/>
      <c r="H12" s="548"/>
      <c r="I12" s="533"/>
      <c r="J12" s="548"/>
      <c r="K12" s="533"/>
      <c r="L12" s="548"/>
      <c r="M12" s="533"/>
      <c r="N12" s="732">
        <f t="shared" si="1"/>
        <v>122</v>
      </c>
      <c r="O12" s="733">
        <f t="shared" si="2"/>
        <v>134</v>
      </c>
    </row>
    <row r="13" spans="1:15" ht="15" customHeight="1">
      <c r="A13" s="299" t="s">
        <v>90</v>
      </c>
      <c r="B13" s="548">
        <v>418</v>
      </c>
      <c r="C13" s="533">
        <v>478</v>
      </c>
      <c r="D13" s="548">
        <v>554</v>
      </c>
      <c r="E13" s="533">
        <v>579</v>
      </c>
      <c r="F13" s="548">
        <v>8</v>
      </c>
      <c r="G13" s="533"/>
      <c r="H13" s="548">
        <v>78</v>
      </c>
      <c r="I13" s="533">
        <v>45</v>
      </c>
      <c r="J13" s="548"/>
      <c r="K13" s="533"/>
      <c r="L13" s="548"/>
      <c r="M13" s="533"/>
      <c r="N13" s="732">
        <f t="shared" si="1"/>
        <v>1058</v>
      </c>
      <c r="O13" s="733">
        <f t="shared" si="2"/>
        <v>1102</v>
      </c>
    </row>
    <row r="14" spans="1:15" ht="15" customHeight="1">
      <c r="A14" s="299" t="s">
        <v>91</v>
      </c>
      <c r="B14" s="548">
        <v>1492</v>
      </c>
      <c r="C14" s="533">
        <v>1412</v>
      </c>
      <c r="D14" s="548">
        <v>2211</v>
      </c>
      <c r="E14" s="533">
        <v>1992</v>
      </c>
      <c r="F14" s="548"/>
      <c r="G14" s="533"/>
      <c r="H14" s="548">
        <v>217</v>
      </c>
      <c r="I14" s="533">
        <v>185</v>
      </c>
      <c r="J14" s="548"/>
      <c r="K14" s="533"/>
      <c r="L14" s="548">
        <v>394</v>
      </c>
      <c r="M14" s="533">
        <f>176+252+162</f>
        <v>590</v>
      </c>
      <c r="N14" s="732">
        <f>+L14+J14+H14+F14+D14+B14</f>
        <v>4314</v>
      </c>
      <c r="O14" s="733">
        <f t="shared" si="2"/>
        <v>4179</v>
      </c>
    </row>
    <row r="15" spans="1:15" ht="15" customHeight="1">
      <c r="A15" s="299" t="s">
        <v>92</v>
      </c>
      <c r="B15" s="548">
        <v>178</v>
      </c>
      <c r="C15" s="533">
        <v>147</v>
      </c>
      <c r="D15" s="548">
        <v>89</v>
      </c>
      <c r="E15" s="533">
        <v>101</v>
      </c>
      <c r="F15" s="548"/>
      <c r="G15" s="533"/>
      <c r="H15" s="548"/>
      <c r="I15" s="533"/>
      <c r="J15" s="548"/>
      <c r="K15" s="533"/>
      <c r="L15" s="548"/>
      <c r="M15" s="533"/>
      <c r="N15" s="732">
        <f t="shared" si="1"/>
        <v>267</v>
      </c>
      <c r="O15" s="733">
        <f t="shared" si="2"/>
        <v>248</v>
      </c>
    </row>
    <row r="16" spans="1:15" ht="15" customHeight="1">
      <c r="A16" s="299" t="s">
        <v>93</v>
      </c>
      <c r="B16" s="548">
        <v>48</v>
      </c>
      <c r="C16" s="533">
        <v>34</v>
      </c>
      <c r="D16" s="548">
        <v>23</v>
      </c>
      <c r="E16" s="533">
        <v>12</v>
      </c>
      <c r="F16" s="548"/>
      <c r="G16" s="533"/>
      <c r="H16" s="548"/>
      <c r="I16" s="533"/>
      <c r="J16" s="548"/>
      <c r="K16" s="533"/>
      <c r="L16" s="548"/>
      <c r="M16" s="533"/>
      <c r="N16" s="732">
        <f t="shared" si="1"/>
        <v>71</v>
      </c>
      <c r="O16" s="733">
        <f t="shared" si="2"/>
        <v>46</v>
      </c>
    </row>
    <row r="17" spans="1:17" ht="15" customHeight="1">
      <c r="A17" s="299" t="s">
        <v>94</v>
      </c>
      <c r="B17" s="548">
        <v>1771</v>
      </c>
      <c r="C17" s="533">
        <v>1608</v>
      </c>
      <c r="D17" s="548">
        <v>1139</v>
      </c>
      <c r="E17" s="533">
        <v>1058</v>
      </c>
      <c r="F17" s="548"/>
      <c r="G17" s="533"/>
      <c r="H17" s="548"/>
      <c r="I17" s="533"/>
      <c r="J17" s="548"/>
      <c r="K17" s="533"/>
      <c r="L17" s="548"/>
      <c r="M17" s="533"/>
      <c r="N17" s="732">
        <f t="shared" si="1"/>
        <v>2910</v>
      </c>
      <c r="O17" s="733">
        <f t="shared" si="2"/>
        <v>2666</v>
      </c>
      <c r="Q17" s="309"/>
    </row>
    <row r="18" spans="1:17" ht="15" customHeight="1">
      <c r="A18" s="299" t="s">
        <v>95</v>
      </c>
      <c r="B18" s="548">
        <v>121</v>
      </c>
      <c r="C18" s="533">
        <v>97</v>
      </c>
      <c r="D18" s="548">
        <v>110</v>
      </c>
      <c r="E18" s="533">
        <v>102</v>
      </c>
      <c r="F18" s="548"/>
      <c r="G18" s="533"/>
      <c r="H18" s="548"/>
      <c r="I18" s="533"/>
      <c r="J18" s="548"/>
      <c r="K18" s="533"/>
      <c r="L18" s="548"/>
      <c r="M18" s="533"/>
      <c r="N18" s="732">
        <f t="shared" si="1"/>
        <v>231</v>
      </c>
      <c r="O18" s="733">
        <f t="shared" si="2"/>
        <v>199</v>
      </c>
    </row>
    <row r="19" spans="1:17" ht="15" customHeight="1">
      <c r="A19" s="299" t="s">
        <v>96</v>
      </c>
      <c r="B19" s="548">
        <v>235</v>
      </c>
      <c r="C19" s="533">
        <v>154</v>
      </c>
      <c r="D19" s="548">
        <v>668</v>
      </c>
      <c r="E19" s="533">
        <v>638</v>
      </c>
      <c r="F19" s="548"/>
      <c r="G19" s="533"/>
      <c r="H19" s="548"/>
      <c r="I19" s="533"/>
      <c r="J19" s="548"/>
      <c r="K19" s="533"/>
      <c r="L19" s="548"/>
      <c r="M19" s="533"/>
      <c r="N19" s="732">
        <f t="shared" si="1"/>
        <v>903</v>
      </c>
      <c r="O19" s="733">
        <f t="shared" si="2"/>
        <v>792</v>
      </c>
    </row>
    <row r="20" spans="1:17" ht="15" customHeight="1">
      <c r="A20" s="299" t="s">
        <v>97</v>
      </c>
      <c r="B20" s="548">
        <v>101</v>
      </c>
      <c r="C20" s="533">
        <v>87</v>
      </c>
      <c r="D20" s="548">
        <v>68</v>
      </c>
      <c r="E20" s="533">
        <v>46</v>
      </c>
      <c r="F20" s="548"/>
      <c r="G20" s="533"/>
      <c r="H20" s="548"/>
      <c r="I20" s="533"/>
      <c r="J20" s="548"/>
      <c r="K20" s="533"/>
      <c r="L20" s="548"/>
      <c r="M20" s="533"/>
      <c r="N20" s="732">
        <f t="shared" si="1"/>
        <v>169</v>
      </c>
      <c r="O20" s="733">
        <f t="shared" si="2"/>
        <v>133</v>
      </c>
    </row>
    <row r="21" spans="1:17" ht="15" customHeight="1">
      <c r="A21" s="299" t="s">
        <v>98</v>
      </c>
      <c r="B21" s="548">
        <v>441</v>
      </c>
      <c r="C21" s="533">
        <v>449</v>
      </c>
      <c r="D21" s="548">
        <v>440</v>
      </c>
      <c r="E21" s="533">
        <v>351</v>
      </c>
      <c r="F21" s="548"/>
      <c r="G21" s="533"/>
      <c r="H21" s="548"/>
      <c r="I21" s="533"/>
      <c r="J21" s="548"/>
      <c r="K21" s="533"/>
      <c r="L21" s="548"/>
      <c r="M21" s="533"/>
      <c r="N21" s="732">
        <f>+L21+J21+H21+F21+D21+B21</f>
        <v>881</v>
      </c>
      <c r="O21" s="733">
        <f t="shared" si="2"/>
        <v>800</v>
      </c>
    </row>
    <row r="22" spans="1:17" ht="15" customHeight="1">
      <c r="A22" s="299" t="s">
        <v>99</v>
      </c>
      <c r="B22" s="548">
        <v>1533</v>
      </c>
      <c r="C22" s="533">
        <v>1423</v>
      </c>
      <c r="D22" s="548">
        <v>1070</v>
      </c>
      <c r="E22" s="533">
        <v>991</v>
      </c>
      <c r="F22" s="548"/>
      <c r="G22" s="533"/>
      <c r="H22" s="548"/>
      <c r="I22" s="533"/>
      <c r="J22" s="548"/>
      <c r="K22" s="533"/>
      <c r="L22" s="548"/>
      <c r="M22" s="533"/>
      <c r="N22" s="732">
        <f t="shared" si="1"/>
        <v>2603</v>
      </c>
      <c r="O22" s="733">
        <f t="shared" si="2"/>
        <v>2414</v>
      </c>
    </row>
    <row r="23" spans="1:17" ht="15" customHeight="1">
      <c r="A23" s="299" t="s">
        <v>100</v>
      </c>
      <c r="B23" s="548">
        <v>107</v>
      </c>
      <c r="C23" s="533">
        <v>90</v>
      </c>
      <c r="D23" s="548">
        <v>1405</v>
      </c>
      <c r="E23" s="533">
        <v>1550</v>
      </c>
      <c r="F23" s="548"/>
      <c r="G23" s="533"/>
      <c r="H23" s="548">
        <v>9</v>
      </c>
      <c r="I23" s="533">
        <v>15</v>
      </c>
      <c r="J23" s="548"/>
      <c r="K23" s="533"/>
      <c r="L23" s="548"/>
      <c r="M23" s="533"/>
      <c r="N23" s="732">
        <f t="shared" si="1"/>
        <v>1521</v>
      </c>
      <c r="O23" s="733">
        <f t="shared" si="2"/>
        <v>1655</v>
      </c>
    </row>
    <row r="24" spans="1:17" ht="15" customHeight="1">
      <c r="A24" s="299" t="s">
        <v>101</v>
      </c>
      <c r="B24" s="548">
        <v>2572</v>
      </c>
      <c r="C24" s="533">
        <v>1728</v>
      </c>
      <c r="D24" s="548">
        <v>1455</v>
      </c>
      <c r="E24" s="533">
        <v>1843</v>
      </c>
      <c r="F24" s="548"/>
      <c r="G24" s="533"/>
      <c r="H24" s="548"/>
      <c r="I24" s="533"/>
      <c r="J24" s="548">
        <v>31</v>
      </c>
      <c r="K24" s="533">
        <v>7</v>
      </c>
      <c r="L24" s="548"/>
      <c r="M24" s="533"/>
      <c r="N24" s="732">
        <f>+L24+J24+H24+F24+D24+B24</f>
        <v>4058</v>
      </c>
      <c r="O24" s="733">
        <f>+M24+K24+I24+G24+E24+C24</f>
        <v>3578</v>
      </c>
    </row>
    <row r="25" spans="1:17" ht="15" customHeight="1">
      <c r="A25" s="299" t="s">
        <v>102</v>
      </c>
      <c r="B25" s="548"/>
      <c r="C25" s="533"/>
      <c r="D25" s="548">
        <v>151</v>
      </c>
      <c r="E25" s="533">
        <v>144</v>
      </c>
      <c r="F25" s="548"/>
      <c r="G25" s="533"/>
      <c r="H25" s="548"/>
      <c r="I25" s="533"/>
      <c r="J25" s="548"/>
      <c r="K25" s="533"/>
      <c r="L25" s="548"/>
      <c r="M25" s="533"/>
      <c r="N25" s="732">
        <f t="shared" si="1"/>
        <v>151</v>
      </c>
      <c r="O25" s="733">
        <f t="shared" si="2"/>
        <v>144</v>
      </c>
    </row>
    <row r="26" spans="1:17" ht="27.75" customHeight="1">
      <c r="A26" s="299" t="s">
        <v>103</v>
      </c>
      <c r="B26" s="95">
        <v>11637</v>
      </c>
      <c r="C26" s="733">
        <f>SUM(C9:C25)</f>
        <v>9910</v>
      </c>
      <c r="D26" s="95">
        <v>9484</v>
      </c>
      <c r="E26" s="733">
        <f>SUM(E9:E25)</f>
        <v>9549</v>
      </c>
      <c r="F26" s="95">
        <v>8</v>
      </c>
      <c r="G26" s="733">
        <f t="shared" ref="G26:O26" si="3">SUM(G9:G25)</f>
        <v>0</v>
      </c>
      <c r="H26" s="95">
        <v>348</v>
      </c>
      <c r="I26" s="733">
        <f t="shared" si="3"/>
        <v>270</v>
      </c>
      <c r="J26" s="95">
        <v>31</v>
      </c>
      <c r="K26" s="733">
        <f t="shared" si="3"/>
        <v>7</v>
      </c>
      <c r="L26" s="95">
        <v>394</v>
      </c>
      <c r="M26" s="733">
        <f t="shared" si="3"/>
        <v>590</v>
      </c>
      <c r="N26" s="734">
        <f t="shared" si="3"/>
        <v>21902</v>
      </c>
      <c r="O26" s="306">
        <f t="shared" si="3"/>
        <v>20326</v>
      </c>
    </row>
    <row r="27" spans="1:17" ht="18" customHeight="1">
      <c r="A27" s="674" t="s">
        <v>104</v>
      </c>
      <c r="B27" s="735"/>
      <c r="C27" s="736"/>
      <c r="D27" s="735"/>
      <c r="E27" s="736"/>
      <c r="F27" s="735"/>
      <c r="G27" s="736"/>
      <c r="H27" s="735"/>
      <c r="I27" s="735"/>
      <c r="J27" s="737"/>
      <c r="K27" s="736"/>
      <c r="L27" s="735"/>
      <c r="M27" s="736"/>
      <c r="N27" s="737">
        <f t="shared" ref="N27:O32" si="4">+L27+J27+H27+F27+D27+B27</f>
        <v>0</v>
      </c>
      <c r="O27" s="736">
        <f t="shared" si="4"/>
        <v>0</v>
      </c>
    </row>
    <row r="28" spans="1:17" ht="17.25" customHeight="1">
      <c r="A28" s="299" t="s">
        <v>105</v>
      </c>
      <c r="B28" s="548">
        <v>547</v>
      </c>
      <c r="C28" s="533">
        <v>450</v>
      </c>
      <c r="D28" s="548">
        <v>551</v>
      </c>
      <c r="E28" s="533">
        <v>512</v>
      </c>
      <c r="F28" s="548"/>
      <c r="G28" s="533"/>
      <c r="H28" s="548"/>
      <c r="I28" s="548"/>
      <c r="J28" s="549"/>
      <c r="K28" s="533"/>
      <c r="L28" s="548"/>
      <c r="M28" s="533"/>
      <c r="N28" s="732">
        <f t="shared" si="4"/>
        <v>1098</v>
      </c>
      <c r="O28" s="733">
        <f t="shared" si="4"/>
        <v>962</v>
      </c>
    </row>
    <row r="29" spans="1:17" ht="18" customHeight="1">
      <c r="A29" s="299" t="s">
        <v>106</v>
      </c>
      <c r="B29" s="548">
        <v>6209</v>
      </c>
      <c r="C29" s="533">
        <v>7147</v>
      </c>
      <c r="D29" s="548">
        <v>9483</v>
      </c>
      <c r="E29" s="533">
        <v>9027</v>
      </c>
      <c r="F29" s="548">
        <v>1212</v>
      </c>
      <c r="G29" s="533">
        <v>1351</v>
      </c>
      <c r="H29" s="548">
        <v>1330</v>
      </c>
      <c r="I29" s="548">
        <v>1313</v>
      </c>
      <c r="J29" s="549"/>
      <c r="K29" s="533"/>
      <c r="L29" s="548">
        <v>13464</v>
      </c>
      <c r="M29" s="533">
        <f>5973+4188+4384</f>
        <v>14545</v>
      </c>
      <c r="N29" s="732">
        <f t="shared" si="4"/>
        <v>31698</v>
      </c>
      <c r="O29" s="733">
        <f t="shared" si="4"/>
        <v>33383</v>
      </c>
      <c r="P29" s="738"/>
    </row>
    <row r="30" spans="1:17" ht="18" customHeight="1">
      <c r="A30" s="739" t="s">
        <v>107</v>
      </c>
      <c r="B30" s="548"/>
      <c r="C30" s="533"/>
      <c r="D30" s="548"/>
      <c r="E30" s="533">
        <v>0</v>
      </c>
      <c r="F30" s="548"/>
      <c r="G30" s="533"/>
      <c r="H30" s="548"/>
      <c r="I30" s="548"/>
      <c r="J30" s="549"/>
      <c r="K30" s="533"/>
      <c r="L30" s="548">
        <v>1296</v>
      </c>
      <c r="M30" s="533">
        <f>391+298+436</f>
        <v>1125</v>
      </c>
      <c r="N30" s="732">
        <f t="shared" si="4"/>
        <v>1296</v>
      </c>
      <c r="O30" s="733">
        <f t="shared" si="4"/>
        <v>1125</v>
      </c>
      <c r="P30" s="738"/>
    </row>
    <row r="31" spans="1:17" ht="18" customHeight="1">
      <c r="A31" s="299" t="s">
        <v>108</v>
      </c>
      <c r="B31" s="548">
        <v>2557</v>
      </c>
      <c r="C31" s="533">
        <v>3840</v>
      </c>
      <c r="D31" s="548">
        <v>240</v>
      </c>
      <c r="E31" s="533">
        <v>275</v>
      </c>
      <c r="F31" s="548"/>
      <c r="G31" s="533"/>
      <c r="H31" s="548"/>
      <c r="I31" s="548"/>
      <c r="J31" s="549"/>
      <c r="K31" s="533"/>
      <c r="L31" s="548"/>
      <c r="M31" s="533"/>
      <c r="N31" s="732">
        <f t="shared" si="4"/>
        <v>2797</v>
      </c>
      <c r="O31" s="733">
        <f t="shared" si="4"/>
        <v>4115</v>
      </c>
    </row>
    <row r="32" spans="1:17" ht="16.5" customHeight="1">
      <c r="A32" s="302" t="s">
        <v>109</v>
      </c>
      <c r="B32" s="740">
        <v>322</v>
      </c>
      <c r="C32" s="741">
        <v>306</v>
      </c>
      <c r="D32" s="740">
        <v>593</v>
      </c>
      <c r="E32" s="741">
        <v>734</v>
      </c>
      <c r="F32" s="740">
        <v>30</v>
      </c>
      <c r="G32" s="741">
        <v>83</v>
      </c>
      <c r="H32" s="742"/>
      <c r="I32" s="742"/>
      <c r="J32" s="677"/>
      <c r="K32" s="255"/>
      <c r="L32" s="740"/>
      <c r="M32" s="741">
        <v>1</v>
      </c>
      <c r="N32" s="734">
        <f t="shared" si="4"/>
        <v>945</v>
      </c>
      <c r="O32" s="306">
        <f t="shared" si="4"/>
        <v>1124</v>
      </c>
    </row>
    <row r="33" spans="1:17">
      <c r="A33" s="307"/>
      <c r="B33" s="11"/>
      <c r="C33" s="11"/>
      <c r="D33" s="11"/>
      <c r="E33" s="11"/>
      <c r="F33" s="11"/>
      <c r="G33" s="11"/>
      <c r="H33" s="11"/>
      <c r="I33" s="11"/>
      <c r="J33" s="11"/>
      <c r="K33" s="11"/>
      <c r="L33" s="11"/>
      <c r="M33" s="11"/>
      <c r="N33" s="11"/>
      <c r="O33" s="11"/>
    </row>
    <row r="34" spans="1:17">
      <c r="A34" s="3" t="s">
        <v>1372</v>
      </c>
      <c r="B34" s="116"/>
      <c r="C34" s="116"/>
      <c r="D34" s="116"/>
      <c r="E34" s="116"/>
      <c r="F34" s="116"/>
      <c r="G34" s="116"/>
      <c r="H34" s="116"/>
      <c r="I34" s="116"/>
      <c r="J34" s="116"/>
      <c r="K34" s="116"/>
      <c r="L34" s="116"/>
      <c r="M34" s="116"/>
      <c r="N34" s="116"/>
      <c r="O34" s="116"/>
    </row>
    <row r="35" spans="1:17">
      <c r="A35" s="82"/>
      <c r="B35" s="116"/>
      <c r="C35" s="116"/>
      <c r="D35" s="116"/>
      <c r="E35" s="116"/>
      <c r="F35" s="116"/>
      <c r="G35" s="116"/>
      <c r="H35" s="116"/>
      <c r="I35" s="116"/>
      <c r="J35" s="116"/>
      <c r="K35" s="116"/>
      <c r="L35" s="116"/>
      <c r="M35" s="116"/>
      <c r="N35" s="116"/>
      <c r="O35" s="116"/>
    </row>
    <row r="36" spans="1:17">
      <c r="A36" s="82" t="s">
        <v>945</v>
      </c>
      <c r="B36" s="116"/>
      <c r="C36" s="116"/>
      <c r="D36" s="116"/>
      <c r="E36" s="116"/>
      <c r="F36" s="116"/>
      <c r="G36" s="116"/>
      <c r="H36" s="116"/>
      <c r="I36" s="116"/>
      <c r="J36" s="116"/>
      <c r="K36" s="116"/>
      <c r="L36" s="116"/>
      <c r="M36" s="116"/>
      <c r="N36" s="116"/>
      <c r="O36" s="116"/>
    </row>
    <row r="40" spans="1:17" ht="17.25" customHeight="1">
      <c r="A40" s="64"/>
      <c r="B40" s="292" t="s">
        <v>866</v>
      </c>
      <c r="C40" s="292"/>
      <c r="D40" s="292"/>
      <c r="E40" s="292"/>
      <c r="F40" s="292"/>
      <c r="G40" s="292"/>
      <c r="H40" s="292"/>
      <c r="I40" s="292"/>
      <c r="J40" s="292"/>
      <c r="K40" s="292"/>
      <c r="L40" s="292"/>
      <c r="M40" s="292"/>
      <c r="N40" s="292"/>
      <c r="O40" s="277"/>
    </row>
    <row r="41" spans="1:17" ht="15.75" customHeight="1">
      <c r="A41" s="299" t="s">
        <v>84</v>
      </c>
      <c r="B41" s="283" t="s">
        <v>42</v>
      </c>
      <c r="C41" s="285"/>
      <c r="D41" s="283" t="s">
        <v>904</v>
      </c>
      <c r="E41" s="284"/>
      <c r="F41" s="285" t="s">
        <v>905</v>
      </c>
      <c r="G41" s="285"/>
      <c r="H41" s="283" t="s">
        <v>85</v>
      </c>
      <c r="I41" s="284"/>
      <c r="J41" s="285" t="s">
        <v>48</v>
      </c>
      <c r="K41" s="285"/>
      <c r="L41" s="283" t="s">
        <v>718</v>
      </c>
      <c r="M41" s="285"/>
      <c r="N41" s="283" t="s">
        <v>656</v>
      </c>
      <c r="O41" s="284"/>
    </row>
    <row r="42" spans="1:17" ht="15" customHeight="1">
      <c r="A42" s="302"/>
      <c r="B42" s="254">
        <f>+B8</f>
        <v>2014</v>
      </c>
      <c r="C42" s="256">
        <f>+C8</f>
        <v>2015</v>
      </c>
      <c r="D42" s="254">
        <f t="shared" ref="D42:O42" si="5">+D8</f>
        <v>2014</v>
      </c>
      <c r="E42" s="256">
        <f t="shared" si="5"/>
        <v>2015</v>
      </c>
      <c r="F42" s="254">
        <f t="shared" si="5"/>
        <v>2014</v>
      </c>
      <c r="G42" s="256">
        <f t="shared" si="5"/>
        <v>2015</v>
      </c>
      <c r="H42" s="254">
        <f t="shared" si="5"/>
        <v>2014</v>
      </c>
      <c r="I42" s="256">
        <f t="shared" si="5"/>
        <v>2015</v>
      </c>
      <c r="J42" s="254">
        <f t="shared" si="5"/>
        <v>2014</v>
      </c>
      <c r="K42" s="256">
        <f t="shared" si="5"/>
        <v>2015</v>
      </c>
      <c r="L42" s="254">
        <f t="shared" si="5"/>
        <v>2014</v>
      </c>
      <c r="M42" s="256">
        <f t="shared" si="5"/>
        <v>2015</v>
      </c>
      <c r="N42" s="254">
        <f t="shared" si="5"/>
        <v>2014</v>
      </c>
      <c r="O42" s="256">
        <f t="shared" si="5"/>
        <v>2015</v>
      </c>
    </row>
    <row r="43" spans="1:17" ht="20.25" customHeight="1">
      <c r="A43" s="674" t="s">
        <v>110</v>
      </c>
      <c r="B43" s="548">
        <f>SUM(B44:B54)-B48</f>
        <v>498600</v>
      </c>
      <c r="C43" s="533">
        <f t="shared" ref="C43:K43" si="6">SUM(C44:C54)-C48</f>
        <v>473097</v>
      </c>
      <c r="D43" s="556">
        <f>SUM(D44:D54)-D48</f>
        <v>468195</v>
      </c>
      <c r="E43" s="557">
        <f t="shared" si="6"/>
        <v>452639</v>
      </c>
      <c r="F43" s="556">
        <f>SUM(F44:F54)-F48</f>
        <v>125415</v>
      </c>
      <c r="G43" s="557">
        <f t="shared" si="6"/>
        <v>150894</v>
      </c>
      <c r="H43" s="556">
        <f>SUM(H44:H54)-H48</f>
        <v>3152</v>
      </c>
      <c r="I43" s="556">
        <f t="shared" si="6"/>
        <v>3228</v>
      </c>
      <c r="J43" s="555">
        <f t="shared" si="6"/>
        <v>0</v>
      </c>
      <c r="K43" s="557">
        <f t="shared" si="6"/>
        <v>0</v>
      </c>
      <c r="L43" s="556">
        <f>SUM(L44:L54)-L48</f>
        <v>113168</v>
      </c>
      <c r="M43" s="548">
        <f>SUM(M44:M54)-M48</f>
        <v>111616</v>
      </c>
      <c r="N43" s="732">
        <f>+L43+J43+H43+F43+D43+B43</f>
        <v>1208530</v>
      </c>
      <c r="O43" s="733">
        <f>+M43+K43+I43+G43+E43+C43</f>
        <v>1191474</v>
      </c>
    </row>
    <row r="44" spans="1:17" ht="15.75" customHeight="1">
      <c r="A44" s="299" t="s">
        <v>111</v>
      </c>
      <c r="B44" s="548">
        <v>153556</v>
      </c>
      <c r="C44" s="533">
        <v>158697</v>
      </c>
      <c r="D44" s="548">
        <v>127181</v>
      </c>
      <c r="E44" s="533">
        <v>130111</v>
      </c>
      <c r="F44" s="548">
        <v>39486</v>
      </c>
      <c r="G44" s="533">
        <v>45278</v>
      </c>
      <c r="H44" s="548"/>
      <c r="I44" s="548"/>
      <c r="J44" s="549"/>
      <c r="K44" s="533"/>
      <c r="L44" s="548">
        <v>72240</v>
      </c>
      <c r="M44" s="548">
        <v>59189</v>
      </c>
      <c r="N44" s="732">
        <f>+M44+J44+H44+F44+D44+B44</f>
        <v>379412</v>
      </c>
      <c r="O44" s="733">
        <f>+M44+K44+I44+G44+E44+C44</f>
        <v>393275</v>
      </c>
    </row>
    <row r="45" spans="1:17" ht="15.75" customHeight="1">
      <c r="A45" s="299" t="s">
        <v>112</v>
      </c>
      <c r="B45" s="548">
        <v>242346</v>
      </c>
      <c r="C45" s="533">
        <v>216335</v>
      </c>
      <c r="D45" s="548">
        <v>242586</v>
      </c>
      <c r="E45" s="533">
        <v>226973</v>
      </c>
      <c r="F45" s="548">
        <v>61979</v>
      </c>
      <c r="G45" s="533">
        <v>78850</v>
      </c>
      <c r="H45" s="548">
        <v>2614</v>
      </c>
      <c r="I45" s="548">
        <v>2479</v>
      </c>
      <c r="J45" s="549"/>
      <c r="K45" s="533"/>
      <c r="L45" s="548">
        <v>21851</v>
      </c>
      <c r="M45" s="548">
        <v>27422</v>
      </c>
      <c r="N45" s="732">
        <f>+M45+J45+H45+F45+D45+B45+L45</f>
        <v>598798</v>
      </c>
      <c r="O45" s="733">
        <f t="shared" ref="O45:O53" si="7">+M45+K45+I45+G45+E45+C45</f>
        <v>552059</v>
      </c>
    </row>
    <row r="46" spans="1:17" ht="15.75" customHeight="1">
      <c r="A46" s="299" t="s">
        <v>113</v>
      </c>
      <c r="B46" s="548">
        <v>14510</v>
      </c>
      <c r="C46" s="533">
        <v>14714</v>
      </c>
      <c r="D46" s="548">
        <v>13397</v>
      </c>
      <c r="E46" s="533">
        <v>14928</v>
      </c>
      <c r="F46" s="548">
        <v>512</v>
      </c>
      <c r="G46" s="533">
        <v>1843</v>
      </c>
      <c r="H46" s="548"/>
      <c r="I46" s="548"/>
      <c r="J46" s="549"/>
      <c r="K46" s="533"/>
      <c r="L46" s="548"/>
      <c r="M46" s="548"/>
      <c r="N46" s="732">
        <f>+L46+J46+H46+F46+D46+B46</f>
        <v>28419</v>
      </c>
      <c r="O46" s="733">
        <f t="shared" si="7"/>
        <v>31485</v>
      </c>
    </row>
    <row r="47" spans="1:17" ht="15.75" customHeight="1">
      <c r="A47" s="299" t="s">
        <v>114</v>
      </c>
      <c r="B47" s="548">
        <v>15364</v>
      </c>
      <c r="C47" s="533">
        <v>18528</v>
      </c>
      <c r="D47" s="548">
        <v>13175</v>
      </c>
      <c r="E47" s="533">
        <v>14512</v>
      </c>
      <c r="F47" s="548">
        <v>532</v>
      </c>
      <c r="G47" s="533">
        <v>761</v>
      </c>
      <c r="H47" s="548"/>
      <c r="I47" s="548"/>
      <c r="J47" s="549"/>
      <c r="K47" s="533"/>
      <c r="L47" s="548"/>
      <c r="M47" s="548"/>
      <c r="N47" s="732">
        <f>+L47+J47+H47+F47+D47+B47</f>
        <v>29071</v>
      </c>
      <c r="O47" s="733">
        <f t="shared" si="7"/>
        <v>33801</v>
      </c>
    </row>
    <row r="48" spans="1:17" ht="15.75" customHeight="1">
      <c r="A48" s="299" t="s">
        <v>115</v>
      </c>
      <c r="B48" s="548">
        <v>43627</v>
      </c>
      <c r="C48" s="548">
        <f t="shared" ref="C48:N48" si="8">SUM(C49:C51)</f>
        <v>42427</v>
      </c>
      <c r="D48" s="549">
        <v>37822</v>
      </c>
      <c r="E48" s="533">
        <f t="shared" si="8"/>
        <v>34443</v>
      </c>
      <c r="F48" s="549">
        <v>11385</v>
      </c>
      <c r="G48" s="533">
        <f t="shared" si="8"/>
        <v>11262</v>
      </c>
      <c r="H48" s="548">
        <v>0</v>
      </c>
      <c r="I48" s="548">
        <f t="shared" si="8"/>
        <v>0</v>
      </c>
      <c r="J48" s="549">
        <f t="shared" si="8"/>
        <v>0</v>
      </c>
      <c r="K48" s="533">
        <f t="shared" si="8"/>
        <v>0</v>
      </c>
      <c r="L48" s="548">
        <v>8957</v>
      </c>
      <c r="M48" s="548">
        <f t="shared" si="8"/>
        <v>9767</v>
      </c>
      <c r="N48" s="732">
        <f t="shared" si="8"/>
        <v>102601</v>
      </c>
      <c r="O48" s="733">
        <f t="shared" si="7"/>
        <v>97899</v>
      </c>
      <c r="P48" s="307"/>
      <c r="Q48" s="307"/>
    </row>
    <row r="49" spans="1:17" ht="15.75" customHeight="1">
      <c r="A49" s="299" t="s">
        <v>116</v>
      </c>
      <c r="B49" s="548">
        <v>32033</v>
      </c>
      <c r="C49" s="533">
        <v>29687</v>
      </c>
      <c r="D49" s="548">
        <v>30529</v>
      </c>
      <c r="E49" s="533">
        <v>27049</v>
      </c>
      <c r="F49" s="548">
        <v>11114</v>
      </c>
      <c r="G49" s="533">
        <v>11010</v>
      </c>
      <c r="H49" s="548"/>
      <c r="I49" s="548"/>
      <c r="J49" s="549"/>
      <c r="K49" s="533"/>
      <c r="L49" s="548">
        <v>8168</v>
      </c>
      <c r="M49" s="548">
        <v>9342</v>
      </c>
      <c r="N49" s="732">
        <f>+M49+J49+H49+F49+D49+B49</f>
        <v>83018</v>
      </c>
      <c r="O49" s="733">
        <f t="shared" si="7"/>
        <v>77088</v>
      </c>
    </row>
    <row r="50" spans="1:17" ht="15.75" customHeight="1">
      <c r="A50" s="299" t="s">
        <v>117</v>
      </c>
      <c r="B50" s="548">
        <v>2785</v>
      </c>
      <c r="C50" s="533">
        <v>3360</v>
      </c>
      <c r="D50" s="548">
        <v>2674</v>
      </c>
      <c r="E50" s="533">
        <v>2410</v>
      </c>
      <c r="F50" s="548">
        <v>271</v>
      </c>
      <c r="G50" s="533">
        <v>252</v>
      </c>
      <c r="H50" s="548"/>
      <c r="I50" s="548"/>
      <c r="J50" s="549"/>
      <c r="K50" s="533"/>
      <c r="L50" s="548">
        <v>789</v>
      </c>
      <c r="M50" s="548">
        <v>425</v>
      </c>
      <c r="N50" s="732">
        <f>+M50+J50+H50+F50+D50+B50</f>
        <v>6155</v>
      </c>
      <c r="O50" s="733">
        <f t="shared" si="7"/>
        <v>6447</v>
      </c>
    </row>
    <row r="51" spans="1:17" ht="15.75" customHeight="1">
      <c r="A51" s="299" t="s">
        <v>118</v>
      </c>
      <c r="B51" s="548">
        <v>8809</v>
      </c>
      <c r="C51" s="533">
        <v>9380</v>
      </c>
      <c r="D51" s="548">
        <v>4619</v>
      </c>
      <c r="E51" s="533">
        <v>4984</v>
      </c>
      <c r="F51" s="548"/>
      <c r="G51" s="533">
        <v>0</v>
      </c>
      <c r="H51" s="548"/>
      <c r="I51" s="548"/>
      <c r="J51" s="549"/>
      <c r="K51" s="533"/>
      <c r="L51" s="548"/>
      <c r="M51" s="548"/>
      <c r="N51" s="732">
        <f>+L51+J51+H51+F51+D51+B51</f>
        <v>13428</v>
      </c>
      <c r="O51" s="733">
        <f t="shared" si="7"/>
        <v>14364</v>
      </c>
    </row>
    <row r="52" spans="1:17" ht="15.75" customHeight="1">
      <c r="A52" s="299" t="s">
        <v>119</v>
      </c>
      <c r="B52" s="548">
        <v>64</v>
      </c>
      <c r="C52" s="533">
        <v>56</v>
      </c>
      <c r="D52" s="548"/>
      <c r="E52" s="533">
        <v>0</v>
      </c>
      <c r="F52" s="548"/>
      <c r="G52" s="533">
        <v>0</v>
      </c>
      <c r="H52" s="548"/>
      <c r="I52" s="548"/>
      <c r="J52" s="549"/>
      <c r="K52" s="533"/>
      <c r="L52" s="548"/>
      <c r="M52" s="548"/>
      <c r="N52" s="732">
        <f>+L52+J52+H52+F52+D52+B52</f>
        <v>64</v>
      </c>
      <c r="O52" s="733">
        <f t="shared" si="7"/>
        <v>56</v>
      </c>
    </row>
    <row r="53" spans="1:17" ht="15.75" customHeight="1">
      <c r="A53" s="299" t="s">
        <v>120</v>
      </c>
      <c r="B53" s="548">
        <v>936</v>
      </c>
      <c r="C53" s="533">
        <v>713</v>
      </c>
      <c r="D53" s="548">
        <v>751</v>
      </c>
      <c r="E53" s="533">
        <v>780</v>
      </c>
      <c r="F53" s="548">
        <v>94</v>
      </c>
      <c r="G53" s="533">
        <v>99</v>
      </c>
      <c r="H53" s="548"/>
      <c r="I53" s="548"/>
      <c r="J53" s="549"/>
      <c r="K53" s="533"/>
      <c r="L53" s="548"/>
      <c r="M53" s="548"/>
      <c r="N53" s="732">
        <f>+L53+J53+H53+F53+D53+B53</f>
        <v>1781</v>
      </c>
      <c r="O53" s="733">
        <f t="shared" si="7"/>
        <v>1592</v>
      </c>
    </row>
    <row r="54" spans="1:17" ht="15.75" customHeight="1">
      <c r="A54" s="299" t="s">
        <v>121</v>
      </c>
      <c r="B54" s="548">
        <v>28197</v>
      </c>
      <c r="C54" s="533">
        <v>21627</v>
      </c>
      <c r="D54" s="548">
        <v>33283</v>
      </c>
      <c r="E54" s="533">
        <v>30892</v>
      </c>
      <c r="F54" s="548">
        <v>11427</v>
      </c>
      <c r="G54" s="533">
        <v>12801</v>
      </c>
      <c r="H54" s="548">
        <v>538</v>
      </c>
      <c r="I54" s="548">
        <v>749</v>
      </c>
      <c r="J54" s="549"/>
      <c r="K54" s="533"/>
      <c r="L54" s="548">
        <v>10120</v>
      </c>
      <c r="M54" s="548">
        <v>15238</v>
      </c>
      <c r="N54" s="734">
        <f>+M54+J54+H54+F54+D54+B54</f>
        <v>88683</v>
      </c>
      <c r="O54" s="733">
        <f>+M54+K54+I54+G54+E54+C54</f>
        <v>81307</v>
      </c>
    </row>
    <row r="55" spans="1:17" ht="18.75" customHeight="1">
      <c r="A55" s="674" t="s">
        <v>122</v>
      </c>
      <c r="B55" s="555">
        <v>49140</v>
      </c>
      <c r="C55" s="557">
        <f>SUM(C56:C59)+C63</f>
        <v>45888</v>
      </c>
      <c r="D55" s="556">
        <v>51292</v>
      </c>
      <c r="E55" s="557">
        <f t="shared" ref="E55:M55" si="9">SUM(E56:E59)</f>
        <v>51277</v>
      </c>
      <c r="F55" s="556">
        <v>15957</v>
      </c>
      <c r="G55" s="557">
        <f t="shared" si="9"/>
        <v>16765</v>
      </c>
      <c r="H55" s="556">
        <v>6918</v>
      </c>
      <c r="I55" s="557">
        <f t="shared" si="9"/>
        <v>7122</v>
      </c>
      <c r="J55" s="556">
        <f t="shared" si="9"/>
        <v>0</v>
      </c>
      <c r="K55" s="557">
        <f t="shared" si="9"/>
        <v>0</v>
      </c>
      <c r="L55" s="556">
        <v>362</v>
      </c>
      <c r="M55" s="557">
        <f t="shared" si="9"/>
        <v>584</v>
      </c>
      <c r="N55" s="555">
        <f>SUM(N56:N59)+N63</f>
        <v>123669</v>
      </c>
      <c r="O55" s="557">
        <f>SUM(O56:O59)+O63</f>
        <v>121636</v>
      </c>
      <c r="Q55" s="118"/>
    </row>
    <row r="56" spans="1:17" ht="13.5" customHeight="1">
      <c r="A56" s="299" t="s">
        <v>123</v>
      </c>
      <c r="B56" s="549">
        <v>30083</v>
      </c>
      <c r="C56" s="533">
        <v>26389</v>
      </c>
      <c r="D56" s="548">
        <v>37079</v>
      </c>
      <c r="E56" s="533">
        <v>36281</v>
      </c>
      <c r="F56" s="548">
        <v>15039</v>
      </c>
      <c r="G56" s="533">
        <v>16001</v>
      </c>
      <c r="H56" s="548">
        <v>6918</v>
      </c>
      <c r="I56" s="533">
        <v>7122</v>
      </c>
      <c r="J56" s="548"/>
      <c r="K56" s="533"/>
      <c r="L56" s="548"/>
      <c r="M56" s="548">
        <v>162</v>
      </c>
      <c r="N56" s="732">
        <f>+L56+J56+H56+F56+D56+B56</f>
        <v>89119</v>
      </c>
      <c r="O56" s="733">
        <f>+M56+K56+I56+G56+E56+C56</f>
        <v>85955</v>
      </c>
      <c r="Q56" s="118"/>
    </row>
    <row r="57" spans="1:17" ht="13.5" customHeight="1">
      <c r="A57" s="299" t="s">
        <v>124</v>
      </c>
      <c r="B57" s="549">
        <v>33</v>
      </c>
      <c r="C57" s="533">
        <v>32</v>
      </c>
      <c r="D57" s="548">
        <v>58</v>
      </c>
      <c r="E57" s="533">
        <v>61</v>
      </c>
      <c r="F57" s="548"/>
      <c r="G57" s="533"/>
      <c r="H57" s="548"/>
      <c r="I57" s="533"/>
      <c r="J57" s="548"/>
      <c r="K57" s="533"/>
      <c r="L57" s="548"/>
      <c r="M57" s="548"/>
      <c r="N57" s="732">
        <f>+L57+J57+H57+F57+D57+B57</f>
        <v>91</v>
      </c>
      <c r="O57" s="733">
        <f t="shared" ref="O57:O67" si="10">+M57+K57+I57+G57+E57+C57</f>
        <v>93</v>
      </c>
      <c r="Q57" s="118"/>
    </row>
    <row r="58" spans="1:17" ht="13.5" customHeight="1">
      <c r="A58" s="299" t="s">
        <v>125</v>
      </c>
      <c r="B58" s="549">
        <v>6913</v>
      </c>
      <c r="C58" s="533">
        <v>8040</v>
      </c>
      <c r="D58" s="548">
        <v>4157</v>
      </c>
      <c r="E58" s="533">
        <v>5401</v>
      </c>
      <c r="F58" s="548"/>
      <c r="G58" s="533"/>
      <c r="H58" s="548"/>
      <c r="I58" s="533"/>
      <c r="J58" s="548"/>
      <c r="K58" s="533"/>
      <c r="L58" s="548"/>
      <c r="M58" s="548"/>
      <c r="N58" s="732">
        <f>+L58+J58+H58+F58+D58+B58</f>
        <v>11070</v>
      </c>
      <c r="O58" s="733">
        <f t="shared" si="10"/>
        <v>13441</v>
      </c>
      <c r="Q58" s="118"/>
    </row>
    <row r="59" spans="1:17" ht="13.5" customHeight="1">
      <c r="A59" s="299" t="s">
        <v>126</v>
      </c>
      <c r="B59" s="549">
        <v>12111</v>
      </c>
      <c r="C59" s="533">
        <f>SUM(C60:C62)</f>
        <v>11427</v>
      </c>
      <c r="D59" s="548">
        <v>9998</v>
      </c>
      <c r="E59" s="533">
        <f>SUM(E60:E62)</f>
        <v>9534</v>
      </c>
      <c r="F59" s="548">
        <v>918</v>
      </c>
      <c r="G59" s="533">
        <f>SUM(G60:G62)</f>
        <v>764</v>
      </c>
      <c r="H59" s="548"/>
      <c r="I59" s="533"/>
      <c r="J59" s="548"/>
      <c r="K59" s="533"/>
      <c r="L59" s="548">
        <v>362</v>
      </c>
      <c r="M59" s="533">
        <f>SUM(M60:M62)</f>
        <v>422</v>
      </c>
      <c r="N59" s="549">
        <f>SUM(N60:N62)</f>
        <v>23389</v>
      </c>
      <c r="O59" s="733">
        <f t="shared" si="10"/>
        <v>22147</v>
      </c>
      <c r="Q59" s="118"/>
    </row>
    <row r="60" spans="1:17" ht="13.5" customHeight="1">
      <c r="A60" s="299" t="s">
        <v>132</v>
      </c>
      <c r="B60" s="549">
        <v>6903</v>
      </c>
      <c r="C60" s="533">
        <v>6635</v>
      </c>
      <c r="D60" s="548">
        <v>4786</v>
      </c>
      <c r="E60" s="533">
        <v>4478</v>
      </c>
      <c r="F60" s="548"/>
      <c r="G60" s="533"/>
      <c r="H60" s="548"/>
      <c r="I60" s="533"/>
      <c r="J60" s="548"/>
      <c r="K60" s="533"/>
      <c r="L60" s="548">
        <v>111</v>
      </c>
      <c r="M60" s="548">
        <f>11+94</f>
        <v>105</v>
      </c>
      <c r="N60" s="732">
        <f t="shared" ref="N60:N67" si="11">+L60+J60+H60+F60+D60+B60</f>
        <v>11800</v>
      </c>
      <c r="O60" s="733">
        <f t="shared" si="10"/>
        <v>11218</v>
      </c>
      <c r="Q60" s="118"/>
    </row>
    <row r="61" spans="1:17" ht="13.5" customHeight="1">
      <c r="A61" s="299" t="s">
        <v>1225</v>
      </c>
      <c r="B61" s="549">
        <v>4155</v>
      </c>
      <c r="C61" s="533">
        <v>3572</v>
      </c>
      <c r="D61" s="548">
        <v>4002</v>
      </c>
      <c r="E61" s="533">
        <v>4038</v>
      </c>
      <c r="F61" s="548">
        <v>918</v>
      </c>
      <c r="G61" s="533">
        <v>764</v>
      </c>
      <c r="H61" s="548"/>
      <c r="I61" s="533"/>
      <c r="J61" s="548"/>
      <c r="K61" s="533"/>
      <c r="L61" s="548">
        <v>251</v>
      </c>
      <c r="M61" s="548">
        <f>112+135</f>
        <v>247</v>
      </c>
      <c r="N61" s="732">
        <f t="shared" si="11"/>
        <v>9326</v>
      </c>
      <c r="O61" s="733">
        <f t="shared" si="10"/>
        <v>8621</v>
      </c>
      <c r="Q61" s="118"/>
    </row>
    <row r="62" spans="1:17" ht="13.5" customHeight="1">
      <c r="A62" s="299" t="s">
        <v>1226</v>
      </c>
      <c r="B62" s="549">
        <v>1053</v>
      </c>
      <c r="C62" s="533">
        <v>1220</v>
      </c>
      <c r="D62" s="548">
        <v>1210</v>
      </c>
      <c r="E62" s="533">
        <v>1018</v>
      </c>
      <c r="F62" s="548"/>
      <c r="G62" s="533"/>
      <c r="H62" s="548"/>
      <c r="I62" s="533"/>
      <c r="J62" s="548"/>
      <c r="K62" s="533"/>
      <c r="L62" s="548"/>
      <c r="M62" s="533">
        <f>48+22</f>
        <v>70</v>
      </c>
      <c r="N62" s="95">
        <f t="shared" si="11"/>
        <v>2263</v>
      </c>
      <c r="O62" s="733">
        <f t="shared" si="10"/>
        <v>2308</v>
      </c>
      <c r="Q62" s="118"/>
    </row>
    <row r="63" spans="1:17" ht="13.5" customHeight="1">
      <c r="A63" s="302" t="s">
        <v>1266</v>
      </c>
      <c r="B63" s="553"/>
      <c r="C63" s="552"/>
      <c r="D63" s="551"/>
      <c r="E63" s="552"/>
      <c r="F63" s="551"/>
      <c r="G63" s="552"/>
      <c r="H63" s="551"/>
      <c r="I63" s="551"/>
      <c r="J63" s="553"/>
      <c r="K63" s="552"/>
      <c r="L63" s="551"/>
      <c r="M63" s="551"/>
      <c r="N63" s="734">
        <f t="shared" si="11"/>
        <v>0</v>
      </c>
      <c r="O63" s="306">
        <f t="shared" si="10"/>
        <v>0</v>
      </c>
    </row>
    <row r="64" spans="1:17" ht="23.25" customHeight="1">
      <c r="A64" s="299" t="s">
        <v>133</v>
      </c>
      <c r="B64" s="553">
        <v>10374</v>
      </c>
      <c r="C64" s="552">
        <v>8665</v>
      </c>
      <c r="D64" s="551"/>
      <c r="E64" s="552"/>
      <c r="F64" s="551"/>
      <c r="G64" s="552"/>
      <c r="H64" s="1097"/>
      <c r="I64" s="747"/>
      <c r="J64" s="1098"/>
      <c r="K64" s="746"/>
      <c r="L64" s="747"/>
      <c r="M64" s="747"/>
      <c r="N64" s="732">
        <f t="shared" si="11"/>
        <v>10374</v>
      </c>
      <c r="O64" s="306">
        <f t="shared" si="10"/>
        <v>8665</v>
      </c>
    </row>
    <row r="65" spans="1:15" ht="21.75" customHeight="1">
      <c r="A65" s="716" t="s">
        <v>134</v>
      </c>
      <c r="B65" s="553">
        <v>3</v>
      </c>
      <c r="C65" s="552">
        <v>1</v>
      </c>
      <c r="D65" s="551">
        <v>419</v>
      </c>
      <c r="E65" s="551">
        <v>370</v>
      </c>
      <c r="F65" s="743"/>
      <c r="G65" s="744"/>
      <c r="H65" s="551"/>
      <c r="I65" s="745"/>
      <c r="J65" s="743"/>
      <c r="K65" s="744"/>
      <c r="L65" s="745"/>
      <c r="M65" s="745"/>
      <c r="N65" s="749">
        <f t="shared" si="11"/>
        <v>422</v>
      </c>
      <c r="O65" s="748">
        <f t="shared" si="10"/>
        <v>371</v>
      </c>
    </row>
    <row r="66" spans="1:15">
      <c r="A66" s="750" t="s">
        <v>135</v>
      </c>
      <c r="B66" s="187">
        <v>720</v>
      </c>
      <c r="C66" s="751">
        <v>812</v>
      </c>
      <c r="D66" s="752"/>
      <c r="E66" s="752"/>
      <c r="F66" s="187"/>
      <c r="G66" s="384"/>
      <c r="H66" s="752"/>
      <c r="I66" s="752"/>
      <c r="J66" s="187"/>
      <c r="K66" s="384"/>
      <c r="L66" s="752"/>
      <c r="M66" s="384"/>
      <c r="N66" s="749">
        <f t="shared" si="11"/>
        <v>720</v>
      </c>
      <c r="O66" s="748">
        <f t="shared" si="10"/>
        <v>812</v>
      </c>
    </row>
    <row r="67" spans="1:15">
      <c r="A67" s="753" t="s">
        <v>136</v>
      </c>
      <c r="B67" s="329">
        <v>5327</v>
      </c>
      <c r="C67" s="754">
        <v>5263</v>
      </c>
      <c r="D67" s="755"/>
      <c r="E67" s="755"/>
      <c r="F67" s="329"/>
      <c r="G67" s="330"/>
      <c r="H67" s="755"/>
      <c r="I67" s="755"/>
      <c r="J67" s="329"/>
      <c r="K67" s="330"/>
      <c r="L67" s="755"/>
      <c r="M67" s="755"/>
      <c r="N67" s="749">
        <f t="shared" si="11"/>
        <v>5327</v>
      </c>
      <c r="O67" s="748">
        <f t="shared" si="10"/>
        <v>5263</v>
      </c>
    </row>
    <row r="68" spans="1:15">
      <c r="A68" s="619" t="s">
        <v>719</v>
      </c>
    </row>
  </sheetData>
  <phoneticPr fontId="19" type="noConversion"/>
  <pageMargins left="1.3779527559055118" right="0.78740157480314965" top="0.59055118110236227" bottom="0.78740157480314965" header="0.51181102362204722" footer="0.51181102362204722"/>
  <pageSetup paperSize="5" orientation="landscape" horizontalDpi="300" verticalDpi="300" r:id="rId1"/>
  <headerFooter alignWithMargins="0"/>
  <ignoredErrors>
    <ignoredError sqref="O55 N59" formula="1"/>
    <ignoredError sqref="L43" formulaRange="1"/>
  </ignoredError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4"/>
  <sheetViews>
    <sheetView topLeftCell="A16" workbookViewId="0">
      <selection activeCell="O34" sqref="O34"/>
    </sheetView>
  </sheetViews>
  <sheetFormatPr baseColWidth="10" defaultRowHeight="12.75"/>
  <cols>
    <col min="1" max="1" width="6" customWidth="1"/>
    <col min="2" max="8" width="7.140625" customWidth="1"/>
    <col min="9" max="9" width="8" customWidth="1"/>
    <col min="10" max="10" width="9.140625" customWidth="1"/>
    <col min="11" max="11" width="6.28515625" customWidth="1"/>
    <col min="12" max="12" width="8.140625" customWidth="1"/>
    <col min="13" max="13" width="7.140625" customWidth="1"/>
    <col min="14" max="14" width="10.42578125" customWidth="1"/>
    <col min="15" max="15" width="8.140625" customWidth="1"/>
    <col min="16" max="17" width="6.42578125" customWidth="1"/>
    <col min="18" max="18" width="8" customWidth="1"/>
    <col min="19" max="20" width="6.42578125" customWidth="1"/>
    <col min="21" max="21" width="7.7109375" customWidth="1"/>
    <col min="22" max="26" width="6.42578125" customWidth="1"/>
  </cols>
  <sheetData>
    <row r="1" spans="1:26">
      <c r="A1" s="148" t="s">
        <v>137</v>
      </c>
      <c r="B1" s="275"/>
      <c r="C1" s="275"/>
      <c r="D1" s="275"/>
      <c r="E1" s="275"/>
      <c r="F1" s="275"/>
      <c r="G1" s="275"/>
      <c r="H1" s="275"/>
      <c r="I1" s="275"/>
      <c r="J1" s="275"/>
      <c r="K1" s="275"/>
      <c r="L1" s="275"/>
      <c r="M1" s="275"/>
    </row>
    <row r="2" spans="1:26">
      <c r="A2" s="148" t="s">
        <v>945</v>
      </c>
      <c r="B2" s="275"/>
      <c r="C2" s="275"/>
      <c r="D2" s="275"/>
      <c r="E2" s="275"/>
      <c r="F2" s="275"/>
      <c r="G2" s="275"/>
      <c r="H2" s="275"/>
      <c r="I2" s="275"/>
      <c r="J2" s="275"/>
      <c r="K2" s="275"/>
      <c r="L2" s="275"/>
      <c r="M2" s="275"/>
    </row>
    <row r="3" spans="1:26">
      <c r="A3" s="148" t="s">
        <v>1370</v>
      </c>
      <c r="B3" s="275"/>
      <c r="C3" s="275"/>
      <c r="D3" s="275"/>
      <c r="E3" s="275"/>
      <c r="F3" s="275"/>
      <c r="G3" s="275"/>
      <c r="H3" s="275"/>
      <c r="I3" s="275"/>
      <c r="J3" s="275"/>
      <c r="K3" s="275"/>
      <c r="L3" s="275"/>
      <c r="M3" s="275"/>
    </row>
    <row r="4" spans="1:26">
      <c r="A4" s="148" t="s">
        <v>138</v>
      </c>
      <c r="B4" s="275"/>
      <c r="C4" s="275"/>
      <c r="D4" s="275"/>
      <c r="E4" s="275"/>
      <c r="F4" s="275"/>
      <c r="G4" s="275"/>
      <c r="H4" s="275"/>
      <c r="I4" s="275"/>
      <c r="J4" s="275"/>
      <c r="K4" s="275"/>
      <c r="L4" s="275"/>
      <c r="M4" s="275"/>
    </row>
    <row r="5" spans="1:26">
      <c r="A5" s="1"/>
      <c r="B5" s="1"/>
      <c r="C5" s="1"/>
      <c r="D5" s="1"/>
      <c r="E5" s="1"/>
      <c r="F5" s="1"/>
      <c r="G5" s="1"/>
      <c r="H5" s="1"/>
      <c r="I5" s="1"/>
      <c r="J5" s="1"/>
      <c r="K5" s="1"/>
      <c r="L5" s="1"/>
      <c r="M5" s="1"/>
    </row>
    <row r="7" spans="1:26">
      <c r="O7" s="278" t="s">
        <v>76</v>
      </c>
      <c r="P7" s="278"/>
      <c r="Q7" s="278"/>
      <c r="R7" s="278" t="s">
        <v>77</v>
      </c>
      <c r="S7" s="278"/>
      <c r="T7" s="278"/>
      <c r="U7" s="278" t="s">
        <v>904</v>
      </c>
      <c r="V7" s="278"/>
      <c r="W7" s="278"/>
      <c r="X7" s="278" t="s">
        <v>905</v>
      </c>
      <c r="Y7" s="278"/>
      <c r="Z7" s="278"/>
    </row>
    <row r="8" spans="1:26" ht="18" customHeight="1">
      <c r="A8" s="283" t="s">
        <v>659</v>
      </c>
      <c r="B8" s="283" t="s">
        <v>42</v>
      </c>
      <c r="C8" s="284"/>
      <c r="D8" s="283" t="s">
        <v>904</v>
      </c>
      <c r="E8" s="284"/>
      <c r="F8" s="285" t="s">
        <v>905</v>
      </c>
      <c r="G8" s="285"/>
      <c r="H8" s="283" t="s">
        <v>85</v>
      </c>
      <c r="I8" s="284"/>
      <c r="J8" s="283" t="s">
        <v>139</v>
      </c>
      <c r="K8" s="284"/>
      <c r="L8" s="283" t="s">
        <v>535</v>
      </c>
      <c r="M8" s="284"/>
      <c r="O8" s="11"/>
      <c r="P8" s="11"/>
      <c r="Q8" s="11"/>
      <c r="R8" s="11"/>
      <c r="S8" s="11"/>
      <c r="T8" s="11"/>
      <c r="U8" s="11"/>
      <c r="V8" s="11"/>
      <c r="W8" s="11"/>
      <c r="X8" s="11"/>
      <c r="Y8" s="11"/>
      <c r="Z8" s="11"/>
    </row>
    <row r="9" spans="1:26" ht="18" customHeight="1">
      <c r="A9" s="723"/>
      <c r="B9" s="756" t="s">
        <v>140</v>
      </c>
      <c r="C9" s="757" t="s">
        <v>141</v>
      </c>
      <c r="D9" s="756" t="s">
        <v>140</v>
      </c>
      <c r="E9" s="757" t="s">
        <v>141</v>
      </c>
      <c r="F9" s="756" t="s">
        <v>140</v>
      </c>
      <c r="G9" s="757" t="s">
        <v>141</v>
      </c>
      <c r="H9" s="756" t="s">
        <v>140</v>
      </c>
      <c r="I9" s="757" t="s">
        <v>141</v>
      </c>
      <c r="J9" s="756" t="s">
        <v>140</v>
      </c>
      <c r="K9" s="757" t="s">
        <v>141</v>
      </c>
      <c r="L9" s="756" t="s">
        <v>140</v>
      </c>
      <c r="M9" s="757" t="s">
        <v>141</v>
      </c>
      <c r="O9" s="278" t="s">
        <v>79</v>
      </c>
      <c r="P9" s="278" t="s">
        <v>142</v>
      </c>
      <c r="Q9" s="278" t="s">
        <v>143</v>
      </c>
      <c r="R9" s="278" t="s">
        <v>79</v>
      </c>
      <c r="S9" s="278" t="s">
        <v>142</v>
      </c>
      <c r="T9" s="278" t="s">
        <v>143</v>
      </c>
      <c r="U9" s="278" t="s">
        <v>79</v>
      </c>
      <c r="V9" s="278" t="s">
        <v>142</v>
      </c>
      <c r="W9" s="278" t="s">
        <v>143</v>
      </c>
      <c r="X9" s="278" t="s">
        <v>79</v>
      </c>
      <c r="Y9" s="278" t="s">
        <v>142</v>
      </c>
      <c r="Z9" s="278" t="s">
        <v>143</v>
      </c>
    </row>
    <row r="10" spans="1:26" ht="18" customHeight="1">
      <c r="A10" s="203">
        <v>2006</v>
      </c>
      <c r="B10" s="274">
        <v>402492</v>
      </c>
      <c r="C10" s="724">
        <v>52565</v>
      </c>
      <c r="D10" s="274">
        <v>303689</v>
      </c>
      <c r="E10" s="724">
        <v>41343</v>
      </c>
      <c r="F10" s="725">
        <v>105133</v>
      </c>
      <c r="G10" s="725">
        <v>11748</v>
      </c>
      <c r="H10" s="274">
        <v>1859</v>
      </c>
      <c r="I10" s="724">
        <v>2732</v>
      </c>
      <c r="J10" s="274">
        <v>66740</v>
      </c>
      <c r="K10" s="758"/>
      <c r="L10" s="274">
        <v>879913</v>
      </c>
      <c r="M10" s="724">
        <v>108388</v>
      </c>
      <c r="O10">
        <v>248714</v>
      </c>
      <c r="P10">
        <v>353.09258531947</v>
      </c>
      <c r="Q10">
        <v>44.404985840378693</v>
      </c>
      <c r="R10">
        <v>109302</v>
      </c>
      <c r="S10">
        <v>327.95132189479432</v>
      </c>
      <c r="T10">
        <v>45.329367805814641</v>
      </c>
      <c r="U10">
        <v>103515</v>
      </c>
      <c r="V10">
        <v>327.88655369937925</v>
      </c>
      <c r="W10">
        <v>41.158214078997268</v>
      </c>
      <c r="X10">
        <v>35897</v>
      </c>
      <c r="Y10">
        <v>296.52836579170196</v>
      </c>
      <c r="Z10">
        <v>43.135760654812302</v>
      </c>
    </row>
    <row r="11" spans="1:26" ht="18" customHeight="1">
      <c r="A11" s="203">
        <v>2007</v>
      </c>
      <c r="B11" s="274">
        <v>452488</v>
      </c>
      <c r="C11" s="724">
        <v>49398</v>
      </c>
      <c r="D11" s="274">
        <v>347132</v>
      </c>
      <c r="E11" s="724">
        <v>48942</v>
      </c>
      <c r="F11" s="725">
        <v>102068</v>
      </c>
      <c r="G11" s="725">
        <v>11059</v>
      </c>
      <c r="H11" s="274">
        <v>1973</v>
      </c>
      <c r="I11" s="724">
        <v>3251</v>
      </c>
      <c r="J11" s="274">
        <v>86372</v>
      </c>
      <c r="K11" s="758">
        <v>1015</v>
      </c>
      <c r="L11" s="274">
        <v>990033</v>
      </c>
      <c r="M11" s="724">
        <v>113665</v>
      </c>
      <c r="O11">
        <v>252006</v>
      </c>
      <c r="P11">
        <v>392.8608842646604</v>
      </c>
      <c r="Q11">
        <v>45.104084823377221</v>
      </c>
      <c r="R11">
        <v>110771</v>
      </c>
      <c r="S11">
        <v>408.48958662465805</v>
      </c>
      <c r="T11">
        <v>44.594704390138212</v>
      </c>
      <c r="U11">
        <v>105143</v>
      </c>
      <c r="V11">
        <v>330.15226881485216</v>
      </c>
      <c r="W11">
        <v>46.548034581474752</v>
      </c>
      <c r="X11">
        <v>36092</v>
      </c>
      <c r="Y11">
        <v>282.79951235730908</v>
      </c>
      <c r="Z11">
        <v>30.641139310650562</v>
      </c>
    </row>
    <row r="12" spans="1:26" ht="18" customHeight="1">
      <c r="A12" s="203">
        <v>2008</v>
      </c>
      <c r="B12" s="206">
        <v>458793</v>
      </c>
      <c r="C12" s="205">
        <v>53453</v>
      </c>
      <c r="D12" s="206">
        <v>341537</v>
      </c>
      <c r="E12" s="205">
        <v>45691</v>
      </c>
      <c r="F12" s="207">
        <v>100921</v>
      </c>
      <c r="G12" s="207">
        <v>14437</v>
      </c>
      <c r="H12" s="206">
        <v>1874</v>
      </c>
      <c r="I12" s="205">
        <v>1028</v>
      </c>
      <c r="J12" s="206">
        <v>86147</v>
      </c>
      <c r="K12" s="758">
        <v>1127</v>
      </c>
      <c r="L12" s="274">
        <v>989272</v>
      </c>
      <c r="M12" s="724">
        <v>115736</v>
      </c>
      <c r="O12">
        <v>255306</v>
      </c>
      <c r="P12">
        <v>387.48482213500665</v>
      </c>
      <c r="Q12">
        <v>45.332267945132507</v>
      </c>
      <c r="R12">
        <v>112245</v>
      </c>
      <c r="S12">
        <v>408.74248296137915</v>
      </c>
      <c r="T12">
        <v>47.621720343890594</v>
      </c>
      <c r="U12">
        <v>106765</v>
      </c>
      <c r="V12">
        <v>319.89603334426079</v>
      </c>
      <c r="W12">
        <v>42.795860066501199</v>
      </c>
      <c r="X12">
        <v>36296</v>
      </c>
      <c r="Y12">
        <v>278.04992285651309</v>
      </c>
      <c r="Z12">
        <v>39.775732863125413</v>
      </c>
    </row>
    <row r="13" spans="1:26" ht="18" customHeight="1">
      <c r="A13" s="249">
        <v>2009</v>
      </c>
      <c r="B13" s="725">
        <v>497288</v>
      </c>
      <c r="C13" s="724">
        <v>54408</v>
      </c>
      <c r="D13" s="725">
        <v>355396</v>
      </c>
      <c r="E13" s="724">
        <v>46742</v>
      </c>
      <c r="F13" s="725">
        <v>106015</v>
      </c>
      <c r="G13" s="724">
        <v>16179</v>
      </c>
      <c r="H13" s="725">
        <v>2766</v>
      </c>
      <c r="I13" s="724">
        <v>6107</v>
      </c>
      <c r="J13" s="725">
        <v>92324</v>
      </c>
      <c r="K13" s="205">
        <v>1240</v>
      </c>
      <c r="L13" s="274">
        <v>1053789</v>
      </c>
      <c r="M13" s="724">
        <v>124676</v>
      </c>
      <c r="O13">
        <v>258574</v>
      </c>
      <c r="P13">
        <v>407.53865431172505</v>
      </c>
      <c r="Q13">
        <v>48.216758065389406</v>
      </c>
      <c r="R13">
        <v>113725</v>
      </c>
      <c r="S13">
        <v>437.27236755330841</v>
      </c>
      <c r="T13">
        <v>47.841723455704546</v>
      </c>
      <c r="U13">
        <v>108360</v>
      </c>
      <c r="V13">
        <v>327.97711332595054</v>
      </c>
      <c r="W13">
        <v>43.135843484680692</v>
      </c>
      <c r="X13">
        <v>36489</v>
      </c>
      <c r="Y13">
        <v>290.53961467839622</v>
      </c>
      <c r="Z13">
        <v>44.339389953136561</v>
      </c>
    </row>
    <row r="14" spans="1:26" ht="18" customHeight="1">
      <c r="A14" s="203">
        <v>2010</v>
      </c>
      <c r="B14" s="274">
        <v>431504</v>
      </c>
      <c r="C14" s="724">
        <v>46738</v>
      </c>
      <c r="D14" s="274">
        <v>387819</v>
      </c>
      <c r="E14" s="724">
        <v>44372</v>
      </c>
      <c r="F14" s="725">
        <v>100827</v>
      </c>
      <c r="G14" s="725">
        <v>16518</v>
      </c>
      <c r="H14" s="274">
        <v>2417</v>
      </c>
      <c r="I14" s="724">
        <v>5640</v>
      </c>
      <c r="J14" s="274">
        <v>79665</v>
      </c>
      <c r="K14" s="758">
        <v>581</v>
      </c>
      <c r="L14" s="725">
        <v>1002232</v>
      </c>
      <c r="M14" s="724">
        <v>113849</v>
      </c>
      <c r="O14">
        <v>261886</v>
      </c>
      <c r="P14">
        <v>382.69781507984391</v>
      </c>
      <c r="Q14">
        <v>43.472732410285388</v>
      </c>
      <c r="R14">
        <v>115203</v>
      </c>
      <c r="S14">
        <v>374.55969028584326</v>
      </c>
      <c r="T14">
        <v>40.570124041908628</v>
      </c>
      <c r="U14">
        <v>109991</v>
      </c>
      <c r="V14">
        <v>352.59157567437336</v>
      </c>
      <c r="W14">
        <v>40.341482484930587</v>
      </c>
      <c r="X14">
        <v>36692</v>
      </c>
      <c r="Y14">
        <v>274.79287038046442</v>
      </c>
      <c r="Z14">
        <v>45.017987572222829</v>
      </c>
    </row>
    <row r="15" spans="1:26" ht="18" customHeight="1">
      <c r="A15" s="203">
        <v>2011</v>
      </c>
      <c r="B15" s="274">
        <v>469267</v>
      </c>
      <c r="C15" s="724">
        <v>47394</v>
      </c>
      <c r="D15" s="274">
        <v>444247</v>
      </c>
      <c r="E15" s="724">
        <v>53192</v>
      </c>
      <c r="F15" s="725">
        <v>102038</v>
      </c>
      <c r="G15" s="725">
        <v>13644</v>
      </c>
      <c r="H15" s="274">
        <v>3674</v>
      </c>
      <c r="I15" s="724">
        <v>5416</v>
      </c>
      <c r="J15" s="274">
        <v>76369</v>
      </c>
      <c r="K15" s="758">
        <v>1429</v>
      </c>
      <c r="L15" s="274">
        <v>1095595</v>
      </c>
      <c r="M15" s="724">
        <v>121075</v>
      </c>
      <c r="O15">
        <v>264902</v>
      </c>
      <c r="P15">
        <v>413.58502389562932</v>
      </c>
      <c r="Q15">
        <v>45.705581686812479</v>
      </c>
      <c r="R15">
        <v>116578</v>
      </c>
      <c r="S15">
        <v>402.53478357837668</v>
      </c>
      <c r="T15">
        <v>40.654325859081474</v>
      </c>
      <c r="U15">
        <v>111485</v>
      </c>
      <c r="V15">
        <v>398.48141005516436</v>
      </c>
      <c r="W15">
        <v>47.71224828452258</v>
      </c>
      <c r="X15">
        <v>36839</v>
      </c>
      <c r="Y15">
        <v>276.98363147751024</v>
      </c>
      <c r="Z15">
        <v>37.036835961888215</v>
      </c>
    </row>
    <row r="16" spans="1:26" ht="18" customHeight="1">
      <c r="A16" s="260">
        <v>2012</v>
      </c>
      <c r="B16" s="274">
        <v>492755</v>
      </c>
      <c r="C16" s="725">
        <v>48761</v>
      </c>
      <c r="D16" s="274">
        <v>423084</v>
      </c>
      <c r="E16" s="725">
        <v>50595</v>
      </c>
      <c r="F16" s="274">
        <v>117094</v>
      </c>
      <c r="G16" s="725">
        <v>15765</v>
      </c>
      <c r="H16" s="274">
        <v>3810</v>
      </c>
      <c r="I16" s="725">
        <v>5918</v>
      </c>
      <c r="J16" s="274">
        <v>88132</v>
      </c>
      <c r="K16" s="172">
        <v>1316</v>
      </c>
      <c r="L16" s="274">
        <v>1124875</v>
      </c>
      <c r="M16" s="724">
        <v>122355</v>
      </c>
      <c r="O16">
        <v>267912</v>
      </c>
      <c r="P16">
        <v>419.8673445011795</v>
      </c>
      <c r="Q16">
        <v>45.66984681537221</v>
      </c>
      <c r="R16">
        <v>117972</v>
      </c>
      <c r="S16">
        <v>417.68809548028349</v>
      </c>
      <c r="T16">
        <v>41.332689112670799</v>
      </c>
      <c r="U16">
        <v>112982</v>
      </c>
      <c r="V16">
        <v>374.4702696004673</v>
      </c>
      <c r="W16">
        <v>44.781469614628875</v>
      </c>
      <c r="X16">
        <v>36958</v>
      </c>
      <c r="Y16">
        <v>316.8299150386926</v>
      </c>
      <c r="Z16">
        <v>42.656529032956328</v>
      </c>
    </row>
    <row r="17" spans="1:26" ht="18" customHeight="1">
      <c r="A17" s="260">
        <v>2013</v>
      </c>
      <c r="B17" s="274">
        <v>487690</v>
      </c>
      <c r="C17" s="725">
        <v>47895</v>
      </c>
      <c r="D17" s="274">
        <v>444746</v>
      </c>
      <c r="E17" s="725">
        <v>51652</v>
      </c>
      <c r="F17" s="274">
        <v>111127</v>
      </c>
      <c r="G17" s="725">
        <v>17928</v>
      </c>
      <c r="H17" s="274">
        <v>3659</v>
      </c>
      <c r="I17" s="725">
        <v>5716</v>
      </c>
      <c r="J17" s="274">
        <v>92923</v>
      </c>
      <c r="K17" s="207">
        <v>687</v>
      </c>
      <c r="L17" s="274">
        <v>1140145</v>
      </c>
      <c r="M17" s="724">
        <v>123878</v>
      </c>
      <c r="O17">
        <v>270947</v>
      </c>
      <c r="P17">
        <v>420.8000088578209</v>
      </c>
      <c r="Q17" s="156">
        <v>45.720380738668446</v>
      </c>
      <c r="R17">
        <v>119349</v>
      </c>
      <c r="S17">
        <v>408.62512463447536</v>
      </c>
      <c r="T17">
        <v>40.130206369554834</v>
      </c>
      <c r="U17">
        <v>114496</v>
      </c>
      <c r="V17">
        <v>388.43802403577416</v>
      </c>
      <c r="W17">
        <v>45.112493012856341</v>
      </c>
      <c r="X17">
        <v>37102</v>
      </c>
      <c r="Y17">
        <v>299.51754622392326</v>
      </c>
      <c r="Z17">
        <v>48.320845237453511</v>
      </c>
    </row>
    <row r="18" spans="1:26" ht="18" customHeight="1">
      <c r="A18" s="249">
        <v>2014</v>
      </c>
      <c r="B18" s="725">
        <v>498600</v>
      </c>
      <c r="C18" s="725">
        <v>49140</v>
      </c>
      <c r="D18" s="274">
        <v>468195</v>
      </c>
      <c r="E18" s="724">
        <v>51292</v>
      </c>
      <c r="F18" s="725">
        <v>125415</v>
      </c>
      <c r="G18" s="725">
        <v>15957</v>
      </c>
      <c r="H18" s="274">
        <v>3152</v>
      </c>
      <c r="I18" s="724">
        <v>6918</v>
      </c>
      <c r="J18" s="725">
        <v>113168</v>
      </c>
      <c r="K18" s="207">
        <v>362</v>
      </c>
      <c r="L18" s="274">
        <v>1208530</v>
      </c>
      <c r="M18" s="724">
        <v>123669</v>
      </c>
      <c r="O18">
        <v>273968</v>
      </c>
      <c r="P18">
        <v>441.12086083046194</v>
      </c>
      <c r="Q18" s="156">
        <v>45.139943351048295</v>
      </c>
      <c r="R18" s="118">
        <v>120741</v>
      </c>
      <c r="S18">
        <v>412.95003354287275</v>
      </c>
      <c r="T18">
        <v>40.698685616319231</v>
      </c>
      <c r="U18">
        <v>115998</v>
      </c>
      <c r="V18">
        <v>403.62333833341955</v>
      </c>
      <c r="W18">
        <v>44.218003758685491</v>
      </c>
      <c r="X18">
        <v>37229</v>
      </c>
      <c r="Y18">
        <v>336.87447957237634</v>
      </c>
      <c r="Z18">
        <v>42.86174756238416</v>
      </c>
    </row>
    <row r="19" spans="1:26" ht="18" customHeight="1">
      <c r="A19" s="254">
        <v>2015</v>
      </c>
      <c r="B19" s="727">
        <f>+'72'!C$43</f>
        <v>473097</v>
      </c>
      <c r="C19" s="759">
        <f>+'72'!C$55</f>
        <v>45888</v>
      </c>
      <c r="D19" s="727">
        <f>+'72'!E$43</f>
        <v>452639</v>
      </c>
      <c r="E19" s="759">
        <f>+'72'!E$55</f>
        <v>51277</v>
      </c>
      <c r="F19" s="727">
        <f>+'72'!G$43</f>
        <v>150894</v>
      </c>
      <c r="G19" s="759">
        <f>+'72'!G$55</f>
        <v>16765</v>
      </c>
      <c r="H19" s="727">
        <f>+'72'!I$43</f>
        <v>3228</v>
      </c>
      <c r="I19" s="759">
        <f>+'72'!I$55</f>
        <v>7122</v>
      </c>
      <c r="J19" s="727">
        <f>+'72'!M43</f>
        <v>111616</v>
      </c>
      <c r="K19" s="759">
        <f>+'72'!M$55</f>
        <v>584</v>
      </c>
      <c r="L19" s="727">
        <f>+B19+D19+F19+H19+J19</f>
        <v>1191474</v>
      </c>
      <c r="M19" s="728">
        <f>+C19+E19+G19+I19+K19</f>
        <v>121636</v>
      </c>
      <c r="O19" s="138">
        <f>+R19+U19+X19</f>
        <v>276985</v>
      </c>
      <c r="P19">
        <f>+L19/O19*100</f>
        <v>430.15831182193978</v>
      </c>
      <c r="Q19" s="156">
        <f>+M19/O19*100</f>
        <v>43.914291387620267</v>
      </c>
      <c r="R19" s="118">
        <f>+'8'!B85-X19</f>
        <v>122121</v>
      </c>
      <c r="S19">
        <f>+B19/R19*100</f>
        <v>387.40020143955587</v>
      </c>
      <c r="T19">
        <f>+C19/R19*100</f>
        <v>37.575846905937553</v>
      </c>
      <c r="U19" s="118">
        <f>+'8'!B34</f>
        <v>117496</v>
      </c>
      <c r="V19">
        <f>+D19/U19*100</f>
        <v>385.2377953292027</v>
      </c>
      <c r="W19">
        <f>+E19/U19*100</f>
        <v>43.641485667597195</v>
      </c>
      <c r="X19" s="118">
        <f>+'8'!B67+'8'!B73</f>
        <v>37368</v>
      </c>
      <c r="Y19">
        <f>+F19/X19*100</f>
        <v>403.8053949903661</v>
      </c>
      <c r="Z19">
        <f>+G19/X19*100</f>
        <v>44.86459002354956</v>
      </c>
    </row>
    <row r="20" spans="1:26">
      <c r="U20" s="118"/>
    </row>
    <row r="21" spans="1:26">
      <c r="R21" s="118"/>
    </row>
    <row r="62" spans="1:13">
      <c r="A62" s="760"/>
      <c r="B62" s="1"/>
      <c r="C62" s="1"/>
      <c r="D62" s="1"/>
      <c r="E62" s="1"/>
      <c r="F62" s="1"/>
      <c r="G62" s="1"/>
      <c r="H62" s="1"/>
      <c r="I62" s="1"/>
      <c r="J62" s="1"/>
      <c r="K62" s="1"/>
      <c r="L62" s="1"/>
      <c r="M62" s="1"/>
    </row>
    <row r="63" spans="1:13">
      <c r="A63" s="760"/>
      <c r="B63" s="1"/>
      <c r="C63" s="1"/>
      <c r="D63" s="1"/>
      <c r="E63" s="1"/>
      <c r="F63" s="1"/>
      <c r="G63" s="1"/>
      <c r="H63" s="1"/>
      <c r="I63" s="1"/>
      <c r="J63" s="1"/>
      <c r="K63" s="1"/>
      <c r="L63" s="1"/>
      <c r="M63" s="1"/>
    </row>
    <row r="64" spans="1:13">
      <c r="A64" s="760"/>
      <c r="B64" s="1"/>
      <c r="C64" s="1"/>
      <c r="D64" s="1"/>
      <c r="E64" s="1"/>
      <c r="F64" s="1"/>
      <c r="G64" s="1"/>
      <c r="H64" s="1"/>
      <c r="I64" s="1"/>
      <c r="J64" s="1"/>
      <c r="K64" s="1"/>
      <c r="L64" s="1"/>
      <c r="M64" s="1"/>
    </row>
  </sheetData>
  <phoneticPr fontId="19" type="noConversion"/>
  <pageMargins left="0.59055118110236227" right="0.59055118110236227" top="0.78740157480314965" bottom="0.78740157480314965" header="0.51181102362204722" footer="0.51181102362204722"/>
  <pageSetup paperSize="5" scale="95" orientation="portrait" horizontalDpi="300" verticalDpi="300" r:id="rId1"/>
  <headerFooter alignWithMargins="0">
    <oddHeader xml:space="preserve">&amp;R
</oddHead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0"/>
  <sheetViews>
    <sheetView showGridLines="0" topLeftCell="A11" zoomScale="75" workbookViewId="0">
      <selection activeCell="A13" sqref="A13:B13"/>
    </sheetView>
  </sheetViews>
  <sheetFormatPr baseColWidth="10" defaultColWidth="12.5703125" defaultRowHeight="12.75"/>
  <cols>
    <col min="1" max="1" width="29.7109375" style="826" customWidth="1"/>
    <col min="2" max="2" width="9.28515625" style="826" customWidth="1"/>
    <col min="3" max="3" width="8.140625" style="826" customWidth="1"/>
    <col min="4" max="4" width="8" style="826" customWidth="1"/>
    <col min="5" max="9" width="8.140625" style="826" customWidth="1"/>
    <col min="10" max="10" width="7" style="826" customWidth="1"/>
    <col min="11" max="12" width="8.140625" style="826" customWidth="1"/>
    <col min="13" max="13" width="8.5703125" style="826" customWidth="1"/>
    <col min="14" max="17" width="8.140625" style="826" customWidth="1"/>
    <col min="18" max="18" width="10.42578125" style="826" customWidth="1"/>
    <col min="19" max="19" width="9.7109375" style="826" customWidth="1"/>
    <col min="20" max="20" width="9.42578125" style="826" customWidth="1"/>
    <col min="21" max="21" width="9.140625" style="826" customWidth="1"/>
    <col min="22" max="22" width="8.28515625" style="826" customWidth="1"/>
    <col min="23" max="23" width="8.85546875" style="826" customWidth="1"/>
    <col min="24" max="24" width="10" style="826" customWidth="1"/>
    <col min="25" max="25" width="8.85546875" style="826" customWidth="1"/>
    <col min="26" max="26" width="10.85546875" style="764" customWidth="1"/>
    <col min="27" max="27" width="9.28515625" style="764" customWidth="1"/>
    <col min="28" max="16384" width="12.5703125" style="764"/>
  </cols>
  <sheetData>
    <row r="1" spans="1:27">
      <c r="A1" s="761" t="s">
        <v>147</v>
      </c>
      <c r="B1" s="761"/>
      <c r="C1" s="762"/>
      <c r="D1" s="762"/>
      <c r="E1" s="762"/>
      <c r="F1" s="762"/>
      <c r="G1" s="762"/>
      <c r="H1" s="762"/>
      <c r="I1" s="762"/>
      <c r="J1" s="762"/>
      <c r="K1" s="763"/>
      <c r="L1" s="762"/>
      <c r="M1" s="762"/>
      <c r="N1" s="762"/>
      <c r="O1" s="762"/>
      <c r="P1" s="762"/>
      <c r="Q1" s="762"/>
      <c r="R1" s="762"/>
      <c r="S1" s="762"/>
      <c r="T1" s="762"/>
      <c r="U1" s="762"/>
      <c r="V1" s="762"/>
      <c r="W1" s="762"/>
      <c r="X1" s="762"/>
      <c r="Y1" s="762"/>
    </row>
    <row r="2" spans="1:27">
      <c r="A2" s="761"/>
      <c r="B2" s="761"/>
      <c r="C2" s="762"/>
      <c r="D2" s="762"/>
      <c r="E2" s="762"/>
      <c r="F2" s="762"/>
      <c r="G2" s="762"/>
      <c r="H2" s="762"/>
      <c r="I2" s="762"/>
      <c r="J2" s="762"/>
      <c r="K2" s="762"/>
      <c r="L2" s="762"/>
      <c r="M2" s="762"/>
      <c r="N2" s="762"/>
      <c r="O2" s="762"/>
      <c r="P2" s="762"/>
      <c r="Q2" s="762"/>
      <c r="R2" s="762"/>
      <c r="S2" s="762"/>
      <c r="T2" s="762"/>
      <c r="U2" s="762"/>
      <c r="V2" s="762"/>
      <c r="W2" s="762"/>
      <c r="X2" s="762"/>
      <c r="Y2" s="762"/>
    </row>
    <row r="3" spans="1:27">
      <c r="A3" s="761" t="s">
        <v>1364</v>
      </c>
      <c r="B3" s="761"/>
      <c r="C3" s="762"/>
      <c r="D3" s="762"/>
      <c r="E3" s="762"/>
      <c r="F3" s="762"/>
      <c r="G3" s="762"/>
      <c r="H3" s="762"/>
      <c r="I3" s="762"/>
      <c r="J3" s="762"/>
      <c r="K3" s="762"/>
      <c r="L3" s="762"/>
      <c r="M3" s="762"/>
      <c r="N3" s="762"/>
      <c r="O3" s="762"/>
      <c r="P3" s="762"/>
      <c r="Q3" s="762"/>
      <c r="R3" s="762"/>
      <c r="S3" s="762"/>
      <c r="T3" s="762"/>
      <c r="U3" s="762"/>
      <c r="V3" s="762"/>
      <c r="W3" s="762"/>
      <c r="X3" s="762"/>
      <c r="Y3" s="762"/>
    </row>
    <row r="4" spans="1:27" ht="15.75">
      <c r="A4" s="762"/>
      <c r="B4" s="762"/>
      <c r="C4" s="765"/>
      <c r="D4" s="762"/>
      <c r="E4" s="762"/>
      <c r="F4" s="762"/>
      <c r="G4" s="762"/>
      <c r="H4" s="762"/>
      <c r="I4" s="762"/>
      <c r="J4" s="762"/>
      <c r="K4" s="762"/>
      <c r="L4" s="762"/>
      <c r="M4" s="762"/>
      <c r="N4" s="762"/>
      <c r="O4" s="762"/>
      <c r="P4" s="762"/>
      <c r="Q4" s="762"/>
      <c r="R4" s="762"/>
      <c r="S4" s="762"/>
      <c r="T4" s="762"/>
      <c r="U4" s="762"/>
      <c r="V4" s="762"/>
      <c r="W4" s="762"/>
      <c r="X4" s="762"/>
      <c r="Y4" s="762"/>
    </row>
    <row r="5" spans="1:27">
      <c r="A5" s="762"/>
      <c r="B5" s="762"/>
      <c r="C5" s="762"/>
      <c r="D5" s="762"/>
      <c r="E5" s="762"/>
      <c r="F5" s="762"/>
      <c r="G5" s="762"/>
      <c r="H5" s="762"/>
      <c r="I5" s="762"/>
      <c r="J5" s="762"/>
      <c r="K5" s="762"/>
      <c r="L5" s="762"/>
      <c r="M5" s="762"/>
      <c r="N5" s="762"/>
      <c r="O5" s="762"/>
      <c r="P5" s="762"/>
      <c r="Q5" s="762"/>
      <c r="R5" s="762"/>
      <c r="S5" s="762"/>
      <c r="T5" s="762"/>
      <c r="U5" s="762"/>
      <c r="V5" s="762"/>
      <c r="W5" s="762"/>
      <c r="X5" s="762"/>
      <c r="Y5" s="762"/>
    </row>
    <row r="6" spans="1:27">
      <c r="A6" s="762"/>
      <c r="B6" s="762"/>
      <c r="C6" s="762"/>
      <c r="D6" s="762"/>
      <c r="E6" s="762"/>
      <c r="F6" s="762"/>
      <c r="G6" s="762"/>
      <c r="H6" s="762"/>
      <c r="I6" s="762"/>
      <c r="J6" s="762"/>
      <c r="K6" s="762"/>
      <c r="L6" s="762"/>
      <c r="M6" s="762"/>
      <c r="N6" s="762"/>
      <c r="O6" s="762"/>
      <c r="P6" s="762"/>
      <c r="Q6" s="762"/>
      <c r="R6" s="762"/>
      <c r="S6" s="762"/>
      <c r="T6" s="762"/>
      <c r="U6" s="762"/>
      <c r="V6" s="762"/>
      <c r="W6" s="762"/>
      <c r="X6" s="762"/>
      <c r="Y6" s="762"/>
    </row>
    <row r="7" spans="1:27">
      <c r="A7" s="762"/>
      <c r="B7" s="762"/>
      <c r="C7" s="762"/>
      <c r="D7" s="762"/>
      <c r="E7" s="762"/>
      <c r="F7" s="762"/>
      <c r="G7" s="762"/>
      <c r="H7" s="762"/>
      <c r="I7" s="762"/>
      <c r="J7" s="762"/>
      <c r="K7" s="762"/>
      <c r="L7" s="762"/>
      <c r="M7" s="762"/>
      <c r="N7" s="762"/>
      <c r="O7" s="762"/>
      <c r="P7" s="762"/>
      <c r="Q7" s="762"/>
      <c r="R7" s="762"/>
      <c r="S7" s="762"/>
      <c r="T7" s="762"/>
      <c r="U7" s="762"/>
      <c r="V7" s="762"/>
      <c r="W7" s="762"/>
      <c r="X7" s="762"/>
      <c r="Y7" s="762"/>
    </row>
    <row r="8" spans="1:27" ht="15.75">
      <c r="A8" s="766"/>
      <c r="B8" s="766"/>
      <c r="C8" s="766"/>
      <c r="D8" s="766"/>
      <c r="E8" s="766"/>
      <c r="F8" s="766"/>
      <c r="G8" s="766"/>
      <c r="H8" s="766"/>
      <c r="I8" s="766"/>
      <c r="J8" s="766"/>
      <c r="K8" s="766"/>
      <c r="L8" s="766"/>
      <c r="M8" s="766"/>
      <c r="N8" s="766"/>
      <c r="O8" s="766"/>
      <c r="P8" s="766"/>
      <c r="Q8" s="766"/>
      <c r="R8" s="766"/>
      <c r="S8" s="766"/>
      <c r="T8" s="766"/>
      <c r="U8" s="766"/>
      <c r="V8" s="766"/>
      <c r="W8" s="766"/>
      <c r="X8" s="766"/>
      <c r="Y8" s="766"/>
      <c r="Z8" s="765"/>
      <c r="AA8" s="765"/>
    </row>
    <row r="9" spans="1:27" s="777" customFormat="1" ht="21.75" customHeight="1">
      <c r="A9" s="767"/>
      <c r="B9" s="767"/>
      <c r="C9" s="768"/>
      <c r="D9" s="769"/>
      <c r="E9" s="1472" t="s">
        <v>148</v>
      </c>
      <c r="F9" s="1472"/>
      <c r="G9" s="1472"/>
      <c r="H9" s="1472"/>
      <c r="I9" s="1472"/>
      <c r="J9" s="1472"/>
      <c r="K9" s="1472"/>
      <c r="L9" s="1472"/>
      <c r="M9" s="1472"/>
      <c r="N9" s="1472"/>
      <c r="O9" s="1472"/>
      <c r="P9" s="770"/>
      <c r="Q9" s="1470" t="s">
        <v>149</v>
      </c>
      <c r="R9" s="771" t="s">
        <v>150</v>
      </c>
      <c r="S9" s="772"/>
      <c r="T9" s="773" t="s">
        <v>151</v>
      </c>
      <c r="U9" s="774"/>
      <c r="V9" s="771" t="s">
        <v>152</v>
      </c>
      <c r="W9" s="775"/>
      <c r="X9" s="775"/>
      <c r="Y9" s="772"/>
      <c r="Z9" s="776"/>
      <c r="AA9" s="776"/>
    </row>
    <row r="10" spans="1:27" s="777" customFormat="1" ht="19.5" customHeight="1">
      <c r="A10" s="778" t="s">
        <v>153</v>
      </c>
      <c r="B10" s="1153" t="s">
        <v>1334</v>
      </c>
      <c r="C10" s="779"/>
      <c r="D10" s="780" t="s">
        <v>154</v>
      </c>
      <c r="E10" s="781" t="s">
        <v>155</v>
      </c>
      <c r="F10" s="782"/>
      <c r="G10" s="782"/>
      <c r="H10" s="782"/>
      <c r="I10" s="782"/>
      <c r="J10" s="782"/>
      <c r="K10" s="783"/>
      <c r="L10" s="784" t="s">
        <v>156</v>
      </c>
      <c r="M10" s="784"/>
      <c r="N10" s="784"/>
      <c r="O10" s="784"/>
      <c r="P10" s="780" t="s">
        <v>154</v>
      </c>
      <c r="Q10" s="1471"/>
      <c r="R10" s="785"/>
      <c r="S10" s="786"/>
      <c r="T10" s="787"/>
      <c r="U10" s="787"/>
      <c r="V10" s="788"/>
      <c r="W10" s="789"/>
      <c r="X10" s="789"/>
      <c r="Y10" s="790"/>
      <c r="Z10" s="776"/>
      <c r="AA10" s="776"/>
    </row>
    <row r="11" spans="1:27" s="777" customFormat="1" ht="36" customHeight="1">
      <c r="A11" s="778" t="s">
        <v>157</v>
      </c>
      <c r="B11" s="1153" t="s">
        <v>1335</v>
      </c>
      <c r="C11" s="791" t="s">
        <v>158</v>
      </c>
      <c r="D11" s="791" t="s">
        <v>159</v>
      </c>
      <c r="E11" s="792" t="s">
        <v>1097</v>
      </c>
      <c r="F11" s="793" t="s">
        <v>1095</v>
      </c>
      <c r="G11" s="793" t="s">
        <v>160</v>
      </c>
      <c r="H11" s="794" t="s">
        <v>161</v>
      </c>
      <c r="I11" s="794" t="s">
        <v>162</v>
      </c>
      <c r="J11" s="795" t="s">
        <v>237</v>
      </c>
      <c r="K11" s="793" t="s">
        <v>535</v>
      </c>
      <c r="L11" s="796" t="s">
        <v>163</v>
      </c>
      <c r="M11" s="794" t="s">
        <v>164</v>
      </c>
      <c r="N11" s="797" t="s">
        <v>165</v>
      </c>
      <c r="O11" s="793" t="s">
        <v>535</v>
      </c>
      <c r="P11" s="791" t="s">
        <v>166</v>
      </c>
      <c r="Q11" s="798" t="s">
        <v>167</v>
      </c>
      <c r="R11" s="799" t="s">
        <v>168</v>
      </c>
      <c r="S11" s="793" t="s">
        <v>169</v>
      </c>
      <c r="T11" s="793" t="s">
        <v>535</v>
      </c>
      <c r="U11" s="800" t="s">
        <v>170</v>
      </c>
      <c r="V11" s="794" t="s">
        <v>171</v>
      </c>
      <c r="W11" s="794" t="s">
        <v>172</v>
      </c>
      <c r="X11" s="801" t="s">
        <v>173</v>
      </c>
      <c r="Y11" s="802" t="s">
        <v>174</v>
      </c>
      <c r="Z11" s="776"/>
      <c r="AA11" s="776"/>
    </row>
    <row r="12" spans="1:27" ht="23.25" customHeight="1">
      <c r="A12" s="803" t="s">
        <v>644</v>
      </c>
      <c r="B12" s="1155"/>
      <c r="C12" s="804">
        <f t="shared" ref="C12:J12" si="0">SUM(C13:C26)</f>
        <v>829</v>
      </c>
      <c r="D12" s="804">
        <f t="shared" si="0"/>
        <v>479</v>
      </c>
      <c r="E12" s="804">
        <f t="shared" si="0"/>
        <v>13664</v>
      </c>
      <c r="F12" s="804">
        <f t="shared" si="0"/>
        <v>18</v>
      </c>
      <c r="G12" s="804">
        <f t="shared" si="0"/>
        <v>5528</v>
      </c>
      <c r="H12" s="804">
        <f t="shared" si="0"/>
        <v>113</v>
      </c>
      <c r="I12" s="804">
        <f t="shared" si="0"/>
        <v>4335</v>
      </c>
      <c r="J12" s="804">
        <f t="shared" si="0"/>
        <v>5189</v>
      </c>
      <c r="K12" s="804">
        <f>SUM(K13:K26)-J12</f>
        <v>23658</v>
      </c>
      <c r="L12" s="804">
        <f>SUM(L13:L26)</f>
        <v>22984</v>
      </c>
      <c r="M12" s="804">
        <f>SUM(M13:M26)</f>
        <v>5188</v>
      </c>
      <c r="N12" s="804">
        <f>SUM(N13:N26)</f>
        <v>681</v>
      </c>
      <c r="O12" s="805">
        <f>L12+N12</f>
        <v>23665</v>
      </c>
      <c r="P12" s="804">
        <f t="shared" ref="P12:U12" si="1">SUM(P13:P26)</f>
        <v>473</v>
      </c>
      <c r="Q12" s="804">
        <f t="shared" si="1"/>
        <v>1270</v>
      </c>
      <c r="R12" s="804">
        <f t="shared" si="1"/>
        <v>287019</v>
      </c>
      <c r="S12" s="804">
        <f t="shared" si="1"/>
        <v>227156</v>
      </c>
      <c r="T12" s="804">
        <f t="shared" si="1"/>
        <v>226133</v>
      </c>
      <c r="U12" s="804">
        <f t="shared" si="1"/>
        <v>216370</v>
      </c>
      <c r="V12" s="806">
        <f>S12/R12*100</f>
        <v>79.143192610942137</v>
      </c>
      <c r="W12" s="807">
        <f>+T12/O12</f>
        <v>9.5555884217198397</v>
      </c>
      <c r="X12" s="808">
        <f>+O12/(R12/30.4)</f>
        <v>2.506510021984607</v>
      </c>
      <c r="Y12" s="809">
        <f>(+R12-S12)/O12</f>
        <v>2.5296006761039509</v>
      </c>
      <c r="Z12" s="765"/>
      <c r="AA12" s="765"/>
    </row>
    <row r="13" spans="1:27" ht="23.25" customHeight="1">
      <c r="A13" s="1148" t="s">
        <v>1507</v>
      </c>
      <c r="B13" s="778">
        <v>401</v>
      </c>
      <c r="C13" s="811">
        <f>+'76'!C13+'78'!C13+'80'!C13+'81'!C13+'82'!C13</f>
        <v>33</v>
      </c>
      <c r="D13" s="812">
        <f>+'76'!D13+'78'!D13+'80'!D13+'81'!D13+'82'!D13</f>
        <v>11</v>
      </c>
      <c r="E13" s="813">
        <f>+'76'!E13+'78'!E13+'80'!E13+'81'!E13+'82'!E13</f>
        <v>1224</v>
      </c>
      <c r="F13" s="813">
        <f>+'76'!F13+'78'!F13+'80'!F13+'81'!F13+'82'!F13</f>
        <v>0</v>
      </c>
      <c r="G13" s="813">
        <f>+'76'!G13+'78'!G13+'80'!G13+'81'!G13+'82'!G13</f>
        <v>0</v>
      </c>
      <c r="H13" s="813">
        <f>+'76'!H13+'78'!H13+'80'!H13+'81'!H13+'82'!H13</f>
        <v>0</v>
      </c>
      <c r="I13" s="813">
        <f>+'76'!I13+'78'!I13+'80'!I13+'81'!I13+'82'!I13</f>
        <v>0</v>
      </c>
      <c r="J13" s="812">
        <f>+'76'!J13+'78'!J13+'80'!J13+'81'!J13+'82'!J13</f>
        <v>0</v>
      </c>
      <c r="K13" s="805">
        <f>SUM(E13:J13)</f>
        <v>1224</v>
      </c>
      <c r="L13" s="812">
        <f>+'76'!L13+'78'!L13+'80'!L13+'81'!L13+'82'!L13</f>
        <v>1160</v>
      </c>
      <c r="M13" s="812">
        <f>+'76'!M13+'78'!M13+'80'!M13+'81'!M13+'82'!M13</f>
        <v>0</v>
      </c>
      <c r="N13" s="812">
        <f>+'76'!N13+'78'!N13+'80'!N13+'81'!N13+'82'!N13</f>
        <v>56</v>
      </c>
      <c r="O13" s="805">
        <f>SUM(L13:N13)</f>
        <v>1216</v>
      </c>
      <c r="P13" s="814">
        <f>SUM(D13,K13)-O13</f>
        <v>19</v>
      </c>
      <c r="Q13" s="812">
        <f>+'76'!Q13+'78'!Q13+'80'!Q13+'81'!Q13+'82'!Q13</f>
        <v>43</v>
      </c>
      <c r="R13" s="812">
        <f>+'76'!R13+'78'!R13+'80'!R13+'81'!R13+'82'!R13</f>
        <v>12045</v>
      </c>
      <c r="S13" s="812">
        <f>+'76'!S13+'78'!S13+'80'!S13+'81'!S13+'82'!S13</f>
        <v>7719</v>
      </c>
      <c r="T13" s="812">
        <f>+'76'!T13+'78'!T13+'80'!T13+'81'!T13+'82'!T13</f>
        <v>7935</v>
      </c>
      <c r="U13" s="813">
        <f>+'76'!U13+'78'!U13+'80'!U13+'81'!U13+'82'!U13</f>
        <v>7935</v>
      </c>
      <c r="V13" s="806">
        <f>S13/R13*100</f>
        <v>64.084682440846834</v>
      </c>
      <c r="W13" s="807">
        <f>+T13/O13</f>
        <v>6.5254934210526319</v>
      </c>
      <c r="X13" s="808">
        <f>+O13/(R13/30.4)</f>
        <v>3.0690244914902447</v>
      </c>
      <c r="Y13" s="809">
        <f>(+R13-S13)/O13</f>
        <v>3.5575657894736841</v>
      </c>
      <c r="Z13" s="765"/>
      <c r="AA13" s="765"/>
    </row>
    <row r="14" spans="1:27" ht="23.25" customHeight="1">
      <c r="A14" s="1148" t="s">
        <v>1336</v>
      </c>
      <c r="B14" s="778">
        <v>403</v>
      </c>
      <c r="C14" s="811">
        <f>+'76'!C14+'78'!C14+'80'!C14+'81'!C14+'82'!C14</f>
        <v>231</v>
      </c>
      <c r="D14" s="812">
        <f>+'76'!D14+'78'!D14+'80'!D14+'81'!D14+'82'!D14</f>
        <v>126</v>
      </c>
      <c r="E14" s="813">
        <f>+'76'!E14+'78'!E14+'80'!E14+'81'!E14+'82'!E14</f>
        <v>6241</v>
      </c>
      <c r="F14" s="813">
        <f>+'76'!F14+'78'!F14+'80'!F14+'81'!F14+'82'!F14</f>
        <v>15</v>
      </c>
      <c r="G14" s="813">
        <f>+'76'!G14+'78'!G14+'80'!G14+'81'!G14+'82'!G14</f>
        <v>3462</v>
      </c>
      <c r="H14" s="813">
        <f>+'76'!H14+'78'!H14+'80'!H14+'81'!H14+'82'!H14</f>
        <v>20</v>
      </c>
      <c r="I14" s="813">
        <f>+'76'!I14+'78'!I14+'80'!I14+'81'!I14+'82'!I14</f>
        <v>41</v>
      </c>
      <c r="J14" s="812">
        <f>+'76'!J14+'78'!J14+'80'!J14+'81'!J14+'82'!J14</f>
        <v>2459</v>
      </c>
      <c r="K14" s="805">
        <f>SUM(E14:J14)</f>
        <v>12238</v>
      </c>
      <c r="L14" s="812">
        <f>+'76'!L14+'78'!L14+'80'!L14+'81'!L14+'82'!L14</f>
        <v>9865</v>
      </c>
      <c r="M14" s="812">
        <f>+'76'!M14+'78'!M14+'80'!M14+'81'!M14+'82'!M14</f>
        <v>1951</v>
      </c>
      <c r="N14" s="812">
        <f>+'76'!N14+'78'!N14+'80'!N14+'81'!N14+'82'!N14</f>
        <v>424</v>
      </c>
      <c r="O14" s="805">
        <f>SUM(L14:N14)</f>
        <v>12240</v>
      </c>
      <c r="P14" s="814">
        <f>SUM(D14,K14)-O14</f>
        <v>124</v>
      </c>
      <c r="Q14" s="812">
        <f>+'76'!Q14+'78'!Q14+'80'!Q14+'81'!Q14+'82'!Q14</f>
        <v>259</v>
      </c>
      <c r="R14" s="812">
        <f>+'76'!R14+'78'!R14+'80'!R14+'81'!R14+'82'!R14</f>
        <v>81529</v>
      </c>
      <c r="S14" s="812">
        <f>+'76'!S14+'78'!S14+'80'!S14+'81'!S14+'82'!S14</f>
        <v>63660</v>
      </c>
      <c r="T14" s="812">
        <f>+'76'!T14+'78'!T14+'80'!T14+'81'!T14+'82'!T14</f>
        <v>68337</v>
      </c>
      <c r="U14" s="813">
        <f>+'76'!U14+'78'!U14+'80'!U14+'81'!U14+'82'!U14</f>
        <v>67078</v>
      </c>
      <c r="V14" s="806">
        <f>S14/R14*100</f>
        <v>78.082645439046232</v>
      </c>
      <c r="W14" s="807">
        <f>+T14/O14</f>
        <v>5.5830882352941176</v>
      </c>
      <c r="X14" s="808">
        <f>+O14/(R14/30.4)</f>
        <v>4.5639711023071543</v>
      </c>
      <c r="Y14" s="809">
        <f>(+R14-S14)/O14</f>
        <v>1.4598856209150326</v>
      </c>
      <c r="Z14" s="765"/>
      <c r="AA14" s="765"/>
    </row>
    <row r="15" spans="1:27" ht="23.25" customHeight="1">
      <c r="A15" s="1148" t="s">
        <v>1337</v>
      </c>
      <c r="B15" s="778">
        <v>404</v>
      </c>
      <c r="C15" s="811">
        <f>+'76'!C15+'78'!C15+'80'!C15+'81'!C15+'82'!C15</f>
        <v>12</v>
      </c>
      <c r="D15" s="812">
        <f>+'76'!D15+'78'!D15+'80'!D15+'81'!D15+'82'!D15</f>
        <v>6</v>
      </c>
      <c r="E15" s="813">
        <f>+'76'!E15+'78'!E15+'80'!E15+'81'!E15+'82'!E15</f>
        <v>481</v>
      </c>
      <c r="F15" s="813">
        <f>+'76'!F15+'78'!F15+'80'!F15+'81'!F15+'82'!F15</f>
        <v>3</v>
      </c>
      <c r="G15" s="813">
        <f>+'76'!G15+'78'!G15+'80'!G15+'81'!G15+'82'!G15</f>
        <v>298</v>
      </c>
      <c r="H15" s="813">
        <f>+'76'!H15+'78'!H15+'80'!H15+'81'!H15+'82'!H15</f>
        <v>4</v>
      </c>
      <c r="I15" s="813">
        <f>+'76'!I15+'78'!I15+'80'!I15+'81'!I15+'82'!I15</f>
        <v>2</v>
      </c>
      <c r="J15" s="812">
        <f>+'76'!J15+'78'!J15+'80'!J15+'81'!J15+'82'!J15</f>
        <v>291</v>
      </c>
      <c r="K15" s="805">
        <f>SUM(E15:J15)</f>
        <v>1079</v>
      </c>
      <c r="L15" s="812">
        <f>+'76'!L15+'78'!L15+'80'!L15+'81'!L15+'82'!L15</f>
        <v>679</v>
      </c>
      <c r="M15" s="812">
        <f>+'76'!M15+'78'!M15+'80'!M15+'81'!M15+'82'!M15</f>
        <v>388</v>
      </c>
      <c r="N15" s="812">
        <f>+'76'!N15+'78'!N15+'80'!N15+'81'!N15+'82'!N15</f>
        <v>8</v>
      </c>
      <c r="O15" s="805">
        <f>SUM(L15:N15)</f>
        <v>1075</v>
      </c>
      <c r="P15" s="814">
        <f>SUM(D15,K15)-O15</f>
        <v>10</v>
      </c>
      <c r="Q15" s="812">
        <f>+'76'!Q15+'78'!Q15+'80'!Q15+'81'!Q15+'82'!Q15</f>
        <v>47</v>
      </c>
      <c r="R15" s="812">
        <f>+'76'!R15+'78'!R15+'80'!R15+'81'!R15+'82'!R15</f>
        <v>7154</v>
      </c>
      <c r="S15" s="812">
        <f>+'76'!S15+'78'!S15+'80'!S15+'81'!S15+'82'!S15</f>
        <v>7031</v>
      </c>
      <c r="T15" s="812">
        <f>+'76'!T15+'78'!T15+'80'!T15+'81'!T15+'82'!T15</f>
        <v>3680</v>
      </c>
      <c r="U15" s="813">
        <f>+'76'!U15+'78'!U15+'80'!U15+'81'!U15+'82'!U15</f>
        <v>3452</v>
      </c>
      <c r="V15" s="806">
        <f>S15/R15*100</f>
        <v>98.280682135868048</v>
      </c>
      <c r="W15" s="807">
        <f>+T15/O15</f>
        <v>3.4232558139534883</v>
      </c>
      <c r="X15" s="808">
        <f>+O15/(R15/30.4)</f>
        <v>4.5680738048644116</v>
      </c>
      <c r="Y15" s="809">
        <f>(+R15-S15)/O15</f>
        <v>0.1144186046511628</v>
      </c>
      <c r="Z15" s="765"/>
      <c r="AA15" s="765"/>
    </row>
    <row r="16" spans="1:27" ht="23.25" customHeight="1">
      <c r="A16" s="810" t="s">
        <v>175</v>
      </c>
      <c r="B16" s="778">
        <v>416</v>
      </c>
      <c r="C16" s="811">
        <f>+'76'!C16+'78'!C16+'80'!C16+'81'!C16+'82'!C16</f>
        <v>62</v>
      </c>
      <c r="D16" s="812">
        <f>+'76'!D16+'78'!D16+'80'!D16+'81'!D16+'82'!D16</f>
        <v>17</v>
      </c>
      <c r="E16" s="815">
        <f>+'76'!E16+'78'!E16+'80'!E16+'81'!E16+'82'!E16</f>
        <v>3221</v>
      </c>
      <c r="F16" s="815">
        <f>+'76'!F16+'78'!F16+'80'!F16+'81'!F16+'82'!F16</f>
        <v>0</v>
      </c>
      <c r="G16" s="815">
        <f>+'76'!G16+'78'!G16+'80'!G16+'81'!G16+'82'!G16</f>
        <v>916</v>
      </c>
      <c r="H16" s="815">
        <f>+'76'!H16+'78'!H16+'80'!H16+'81'!H16+'82'!H16</f>
        <v>6</v>
      </c>
      <c r="I16" s="815">
        <f>+'76'!I16+'78'!I16+'80'!I16+'81'!I16+'82'!I16</f>
        <v>64</v>
      </c>
      <c r="J16" s="812">
        <f>+'76'!J16+'78'!J16+'80'!J16+'81'!J16+'82'!J16</f>
        <v>438</v>
      </c>
      <c r="K16" s="805">
        <f t="shared" ref="K16:K26" si="2">SUM(E16:J16)</f>
        <v>4645</v>
      </c>
      <c r="L16" s="812">
        <f>+'76'!L16+'78'!L16+'80'!L16+'81'!L16+'82'!L16</f>
        <v>4052</v>
      </c>
      <c r="M16" s="812">
        <f>+'76'!M16+'78'!M16+'80'!M16+'81'!M16+'82'!M16</f>
        <v>586</v>
      </c>
      <c r="N16" s="812">
        <f>+'76'!N16+'78'!N16+'80'!N16+'81'!N16+'82'!N16</f>
        <v>1</v>
      </c>
      <c r="O16" s="805">
        <f t="shared" ref="O16:O26" si="3">SUM(L16:N16)</f>
        <v>4639</v>
      </c>
      <c r="P16" s="814">
        <f t="shared" ref="P16:P26" si="4">SUM(D16,K16)-O16</f>
        <v>23</v>
      </c>
      <c r="Q16" s="812">
        <f>+'76'!Q16+'78'!Q16+'80'!Q16+'81'!Q16+'82'!Q16</f>
        <v>137</v>
      </c>
      <c r="R16" s="812">
        <f>+'76'!R16+'78'!R16+'80'!R16+'81'!R16+'82'!R16</f>
        <v>21661</v>
      </c>
      <c r="S16" s="812">
        <f>+'76'!S16+'78'!S16+'80'!S16+'81'!S16+'82'!S16</f>
        <v>12972</v>
      </c>
      <c r="T16" s="812">
        <f>+'76'!T16+'78'!T16+'80'!T16+'81'!T16+'82'!T16</f>
        <v>13046</v>
      </c>
      <c r="U16" s="812">
        <f>+'76'!U16+'78'!U16+'80'!U16+'81'!U16+'82'!U16</f>
        <v>12690</v>
      </c>
      <c r="V16" s="806">
        <f t="shared" ref="V16:V25" si="5">S16/R16*100</f>
        <v>59.886431836018652</v>
      </c>
      <c r="W16" s="807">
        <f t="shared" ref="W16:W25" si="6">+T16/O16</f>
        <v>2.8122440181073509</v>
      </c>
      <c r="X16" s="808">
        <f t="shared" ref="X16:X25" si="7">+O16/(R16/30.4)</f>
        <v>6.5105766123447664</v>
      </c>
      <c r="Y16" s="809">
        <f t="shared" ref="Y16:Y25" si="8">(+R16-S16)/O16</f>
        <v>1.8730329812459581</v>
      </c>
      <c r="Z16" s="765"/>
      <c r="AA16" s="765"/>
    </row>
    <row r="17" spans="1:27" ht="23.25" customHeight="1">
      <c r="A17" s="1148" t="s">
        <v>1338</v>
      </c>
      <c r="B17" s="778">
        <v>407</v>
      </c>
      <c r="C17" s="811">
        <f>+'76'!C17+'78'!C17+'80'!C17+'81'!C17+'82'!C17</f>
        <v>24</v>
      </c>
      <c r="D17" s="812">
        <f>+'76'!D17+'78'!D17+'80'!D17+'81'!D17+'82'!D17</f>
        <v>3</v>
      </c>
      <c r="E17" s="813">
        <f>+'76'!E17+'78'!E17+'80'!E17+'81'!E17+'82'!E17</f>
        <v>884</v>
      </c>
      <c r="F17" s="813">
        <f>+'76'!F17+'78'!F17+'80'!F17+'81'!F17+'82'!F17</f>
        <v>0</v>
      </c>
      <c r="G17" s="813">
        <f>+'76'!G17+'78'!G17+'80'!G17+'81'!G17+'82'!G17</f>
        <v>162</v>
      </c>
      <c r="H17" s="813">
        <f>+'76'!H17+'78'!H17+'80'!H17+'81'!H17+'82'!H17</f>
        <v>1</v>
      </c>
      <c r="I17" s="813">
        <f>+'76'!I17+'78'!I17+'80'!I17+'81'!I17+'82'!I17</f>
        <v>4</v>
      </c>
      <c r="J17" s="812">
        <f>+'76'!J17+'78'!J17+'80'!J17+'81'!J17+'82'!J17</f>
        <v>18</v>
      </c>
      <c r="K17" s="805">
        <f t="shared" si="2"/>
        <v>1069</v>
      </c>
      <c r="L17" s="812">
        <f>+'76'!L17+'78'!L17+'80'!L17+'81'!L17+'82'!L17</f>
        <v>1050</v>
      </c>
      <c r="M17" s="812">
        <f>+'76'!M17+'78'!M17+'80'!M17+'81'!M17+'82'!M17</f>
        <v>19</v>
      </c>
      <c r="N17" s="812">
        <f>+'76'!N17+'78'!N17+'80'!N17+'81'!N17+'82'!N17</f>
        <v>1</v>
      </c>
      <c r="O17" s="805">
        <f t="shared" si="3"/>
        <v>1070</v>
      </c>
      <c r="P17" s="814">
        <f t="shared" si="4"/>
        <v>2</v>
      </c>
      <c r="Q17" s="812">
        <f>+'76'!Q17+'78'!Q17+'80'!Q17+'81'!Q17+'82'!Q17</f>
        <v>163</v>
      </c>
      <c r="R17" s="812">
        <f>+'76'!R17+'78'!R17+'80'!R17+'81'!R17+'82'!R17</f>
        <v>8328</v>
      </c>
      <c r="S17" s="812">
        <f>+'76'!S17+'78'!S17+'80'!S17+'81'!S17+'82'!S17</f>
        <v>3284</v>
      </c>
      <c r="T17" s="812">
        <f>+'76'!T17+'78'!T17+'80'!T17+'81'!T17+'82'!T17</f>
        <v>3287</v>
      </c>
      <c r="U17" s="812">
        <f>+'76'!U17+'78'!U17+'80'!U17+'81'!U17+'82'!U17</f>
        <v>3188</v>
      </c>
      <c r="V17" s="806">
        <f t="shared" si="5"/>
        <v>39.43323727185399</v>
      </c>
      <c r="W17" s="807">
        <f t="shared" si="6"/>
        <v>3.0719626168224301</v>
      </c>
      <c r="X17" s="808">
        <f t="shared" si="7"/>
        <v>3.9058597502401535</v>
      </c>
      <c r="Y17" s="809">
        <f t="shared" si="8"/>
        <v>4.7140186915887847</v>
      </c>
      <c r="Z17" s="765"/>
      <c r="AA17" s="765"/>
    </row>
    <row r="18" spans="1:27" ht="23.25" customHeight="1">
      <c r="A18" s="1148" t="s">
        <v>1339</v>
      </c>
      <c r="B18" s="778">
        <v>409</v>
      </c>
      <c r="C18" s="811">
        <f>+'76'!C18+'78'!C18+'80'!C18+'81'!C18+'82'!C18</f>
        <v>30</v>
      </c>
      <c r="D18" s="812">
        <f>+'76'!D18+'78'!D18+'80'!D18+'81'!D18+'82'!D18</f>
        <v>7</v>
      </c>
      <c r="E18" s="813">
        <f>+'76'!E18+'78'!E18+'80'!E18+'81'!E18+'82'!E18</f>
        <v>444</v>
      </c>
      <c r="F18" s="813">
        <f>+'76'!F18+'78'!F18+'80'!F18+'81'!F18+'82'!F18</f>
        <v>0</v>
      </c>
      <c r="G18" s="813">
        <f>+'76'!G18+'78'!G18+'80'!G18+'81'!G18+'82'!G18</f>
        <v>500</v>
      </c>
      <c r="H18" s="813">
        <f>+'76'!H18+'78'!H18+'80'!H18+'81'!H18+'82'!H18</f>
        <v>22</v>
      </c>
      <c r="I18" s="813">
        <f>+'76'!I18+'78'!I18+'80'!I18+'81'!I18+'82'!I18</f>
        <v>26</v>
      </c>
      <c r="J18" s="812">
        <f>+'76'!J18+'78'!J18+'80'!J18+'81'!J18+'82'!J18</f>
        <v>251</v>
      </c>
      <c r="K18" s="805">
        <f t="shared" ref="K18" si="9">SUM(E18:J18)</f>
        <v>1243</v>
      </c>
      <c r="L18" s="812">
        <f>+'76'!L18+'78'!L18+'80'!L18+'81'!L18+'82'!L18</f>
        <v>1098</v>
      </c>
      <c r="M18" s="812">
        <f>+'76'!M18+'78'!M18+'80'!M18+'81'!M18+'82'!M18</f>
        <v>143</v>
      </c>
      <c r="N18" s="812">
        <f>+'76'!N18+'78'!N18+'80'!N18+'81'!N18+'82'!N18</f>
        <v>2</v>
      </c>
      <c r="O18" s="805">
        <f t="shared" ref="O18" si="10">SUM(L18:N18)</f>
        <v>1243</v>
      </c>
      <c r="P18" s="814">
        <f t="shared" ref="P18" si="11">SUM(D18,K18)-O18</f>
        <v>7</v>
      </c>
      <c r="Q18" s="812">
        <f>+'76'!Q18+'78'!Q18+'80'!Q18+'81'!Q18+'82'!Q18</f>
        <v>291</v>
      </c>
      <c r="R18" s="812">
        <f>+'76'!R18+'78'!R18+'80'!R18+'81'!R18+'82'!R18</f>
        <v>10900</v>
      </c>
      <c r="S18" s="812">
        <f>+'76'!S18+'78'!S18+'80'!S18+'81'!S18+'82'!S18</f>
        <v>3332</v>
      </c>
      <c r="T18" s="812">
        <f>+'76'!T18+'78'!T18+'80'!T18+'81'!T18+'82'!T18</f>
        <v>3226</v>
      </c>
      <c r="U18" s="812">
        <f>+'76'!U18+'78'!U18+'80'!U18+'81'!U18+'82'!U18</f>
        <v>3173</v>
      </c>
      <c r="V18" s="806">
        <f t="shared" ref="V18" si="12">S18/R18*100</f>
        <v>30.568807339449538</v>
      </c>
      <c r="W18" s="807">
        <f t="shared" ref="W18" si="13">+T18/O18</f>
        <v>2.5953338696701529</v>
      </c>
      <c r="X18" s="808">
        <f t="shared" ref="X18" si="14">+O18/(R18/30.4)</f>
        <v>3.4667155963302752</v>
      </c>
      <c r="Y18" s="809">
        <f t="shared" ref="Y18" si="15">(+R18-S18)/O18</f>
        <v>6.0884955752212386</v>
      </c>
      <c r="Z18" s="765"/>
      <c r="AA18" s="765"/>
    </row>
    <row r="19" spans="1:27" ht="23.25" customHeight="1">
      <c r="A19" s="810" t="s">
        <v>176</v>
      </c>
      <c r="B19" s="778">
        <v>413</v>
      </c>
      <c r="C19" s="811">
        <f>+'76'!C19+'78'!C19+'80'!C19+'81'!C19+'82'!C19</f>
        <v>18</v>
      </c>
      <c r="D19" s="812">
        <f>+'76'!D19+'78'!D19+'80'!D19+'81'!D19+'82'!D19</f>
        <v>6</v>
      </c>
      <c r="E19" s="813">
        <f>+'76'!E19+'78'!E19+'80'!E19+'81'!E19+'82'!E19</f>
        <v>234</v>
      </c>
      <c r="F19" s="813">
        <f>+'76'!F19+'78'!F19+'80'!F19+'81'!F19+'82'!F19</f>
        <v>0</v>
      </c>
      <c r="G19" s="813">
        <f>+'76'!G19+'78'!G19+'80'!G19+'81'!G19+'82'!G19</f>
        <v>115</v>
      </c>
      <c r="H19" s="813">
        <f>+'76'!H19+'78'!H19+'80'!H19+'81'!H19+'82'!H19</f>
        <v>2</v>
      </c>
      <c r="I19" s="813">
        <f>+'76'!I19+'78'!I19+'80'!I19+'81'!I19+'82'!I19</f>
        <v>84</v>
      </c>
      <c r="J19" s="812">
        <f>+'76'!J19+'78'!J19+'80'!J19+'81'!J19+'82'!J19</f>
        <v>212</v>
      </c>
      <c r="K19" s="805">
        <f t="shared" si="2"/>
        <v>647</v>
      </c>
      <c r="L19" s="812">
        <f>+'76'!L19+'78'!L19+'80'!L19+'81'!L19+'82'!L19</f>
        <v>589</v>
      </c>
      <c r="M19" s="812">
        <f>+'76'!M19+'78'!M19+'80'!M19+'81'!M19+'82'!M19</f>
        <v>55</v>
      </c>
      <c r="N19" s="812">
        <f>+'76'!N19+'78'!N19+'80'!N19+'81'!N19+'82'!N19</f>
        <v>0</v>
      </c>
      <c r="O19" s="805">
        <f t="shared" si="3"/>
        <v>644</v>
      </c>
      <c r="P19" s="814">
        <f t="shared" si="4"/>
        <v>9</v>
      </c>
      <c r="Q19" s="812">
        <f>+'76'!Q19+'78'!Q19+'80'!Q19+'81'!Q19+'82'!Q19</f>
        <v>33</v>
      </c>
      <c r="R19" s="812">
        <f>+'76'!R19+'78'!R19+'80'!R19+'81'!R19+'82'!R19</f>
        <v>5135</v>
      </c>
      <c r="S19" s="812">
        <f>+'76'!S19+'78'!S19+'80'!S19+'81'!S19+'82'!S19</f>
        <v>2433</v>
      </c>
      <c r="T19" s="812">
        <f>+'76'!T19+'78'!T19+'80'!T19+'81'!T19+'82'!T19</f>
        <v>2500</v>
      </c>
      <c r="U19" s="812">
        <f>+'76'!U19+'78'!U19+'80'!U19+'81'!U19+'82'!U19</f>
        <v>2313</v>
      </c>
      <c r="V19" s="806">
        <f t="shared" si="5"/>
        <v>47.380720545277505</v>
      </c>
      <c r="W19" s="807">
        <f t="shared" si="6"/>
        <v>3.8819875776397517</v>
      </c>
      <c r="X19" s="808">
        <f t="shared" si="7"/>
        <v>3.8125803310613438</v>
      </c>
      <c r="Y19" s="809">
        <f t="shared" si="8"/>
        <v>4.1956521739130439</v>
      </c>
      <c r="Z19" s="765"/>
      <c r="AA19" s="765"/>
    </row>
    <row r="20" spans="1:27" ht="23.25" customHeight="1">
      <c r="A20" s="1148" t="s">
        <v>1331</v>
      </c>
      <c r="B20" s="1153">
        <v>412</v>
      </c>
      <c r="C20" s="811">
        <f>+'76'!C20+'78'!C20+'80'!C20+'81'!C20+'82'!C20</f>
        <v>6</v>
      </c>
      <c r="D20" s="812">
        <f>+'76'!D20+'78'!D20+'80'!D20+'81'!D20+'82'!D20</f>
        <v>0</v>
      </c>
      <c r="E20" s="813">
        <f>+'76'!E20+'78'!E20+'80'!E20+'81'!E20+'82'!E20</f>
        <v>145</v>
      </c>
      <c r="F20" s="813">
        <f>+'76'!F20+'78'!F20+'80'!F20+'81'!F20+'82'!F20</f>
        <v>0</v>
      </c>
      <c r="G20" s="813">
        <f>+'76'!G20+'78'!G20+'80'!G20+'81'!G20+'82'!G20</f>
        <v>2</v>
      </c>
      <c r="H20" s="813">
        <f>+'76'!H20+'78'!H20+'80'!H20+'81'!H20+'82'!H20</f>
        <v>8</v>
      </c>
      <c r="I20" s="813">
        <f>+'76'!I20+'78'!I20+'80'!I20+'81'!I20+'82'!I20</f>
        <v>15</v>
      </c>
      <c r="J20" s="812">
        <f>+'76'!J20+'78'!J20+'80'!J20+'81'!J20+'82'!J20</f>
        <v>39</v>
      </c>
      <c r="K20" s="805">
        <f t="shared" si="2"/>
        <v>209</v>
      </c>
      <c r="L20" s="812">
        <f>+'76'!L20+'78'!L20+'80'!L20+'81'!L20+'82'!L20</f>
        <v>60</v>
      </c>
      <c r="M20" s="812">
        <f>+'76'!M20+'78'!M20+'80'!M20+'81'!M20+'82'!M20</f>
        <v>144</v>
      </c>
      <c r="N20" s="812">
        <f>+'76'!N20+'78'!N20+'80'!N20+'81'!N20+'82'!N20</f>
        <v>2</v>
      </c>
      <c r="O20" s="805">
        <f t="shared" si="3"/>
        <v>206</v>
      </c>
      <c r="P20" s="814">
        <f t="shared" si="4"/>
        <v>3</v>
      </c>
      <c r="Q20" s="812">
        <f>+'76'!Q20+'78'!Q20+'80'!Q20+'81'!Q20+'82'!Q20</f>
        <v>18</v>
      </c>
      <c r="R20" s="812">
        <f>+'76'!R20+'78'!R20+'80'!R20+'81'!R20+'82'!R20</f>
        <v>2119</v>
      </c>
      <c r="S20" s="812">
        <f>+'76'!S20+'78'!S20+'80'!S20+'81'!S20+'82'!S20</f>
        <v>1250</v>
      </c>
      <c r="T20" s="812">
        <f>+'76'!T20+'78'!T20+'80'!T20+'81'!T20+'82'!T20</f>
        <v>449</v>
      </c>
      <c r="U20" s="812">
        <f>+'76'!U20+'78'!U20+'80'!U20+'81'!U20+'82'!U20</f>
        <v>438</v>
      </c>
      <c r="V20" s="806">
        <f t="shared" si="5"/>
        <v>58.990089664936299</v>
      </c>
      <c r="W20" s="807">
        <f t="shared" si="6"/>
        <v>2.179611650485437</v>
      </c>
      <c r="X20" s="808">
        <f t="shared" si="7"/>
        <v>2.9553563001415761</v>
      </c>
      <c r="Y20" s="809">
        <f t="shared" si="8"/>
        <v>4.2184466019417473</v>
      </c>
      <c r="Z20" s="765"/>
      <c r="AA20" s="765"/>
    </row>
    <row r="21" spans="1:27" ht="23.25" customHeight="1">
      <c r="A21" s="810" t="s">
        <v>177</v>
      </c>
      <c r="B21" s="778">
        <v>414</v>
      </c>
      <c r="C21" s="811">
        <f>+'76'!C21+'78'!C21+'80'!C21+'81'!C21+'82'!C21</f>
        <v>5</v>
      </c>
      <c r="D21" s="812">
        <f>+'76'!D21+'78'!D21+'80'!D21+'81'!D21+'82'!D21</f>
        <v>3</v>
      </c>
      <c r="E21" s="813">
        <f>+'76'!E21+'78'!E21+'80'!E21+'81'!E21+'82'!E21</f>
        <v>0</v>
      </c>
      <c r="F21" s="813">
        <f>+'76'!F21+'78'!F21+'80'!F21+'81'!F21+'82'!F21</f>
        <v>0</v>
      </c>
      <c r="G21" s="813">
        <f>+'76'!G21+'78'!G21+'80'!G21+'81'!G21+'82'!G21</f>
        <v>3</v>
      </c>
      <c r="H21" s="813">
        <f>+'76'!H21+'78'!H21+'80'!H21+'81'!H21+'82'!H21</f>
        <v>2</v>
      </c>
      <c r="I21" s="813">
        <f>+'76'!I21+'78'!I21+'80'!I21+'81'!I21+'82'!I21</f>
        <v>145</v>
      </c>
      <c r="J21" s="812">
        <f>+'76'!J21+'78'!J21+'80'!J21+'81'!J21+'82'!J21</f>
        <v>35</v>
      </c>
      <c r="K21" s="805">
        <f t="shared" si="2"/>
        <v>185</v>
      </c>
      <c r="L21" s="812">
        <f>+'76'!L21+'78'!L21+'80'!L21+'81'!L21+'82'!L21</f>
        <v>19</v>
      </c>
      <c r="M21" s="812">
        <f>+'76'!M21+'78'!M21+'80'!M21+'81'!M21+'82'!M21</f>
        <v>152</v>
      </c>
      <c r="N21" s="812">
        <f>+'76'!N21+'78'!N21+'80'!N21+'81'!N21+'82'!N21</f>
        <v>13</v>
      </c>
      <c r="O21" s="805">
        <f t="shared" si="3"/>
        <v>184</v>
      </c>
      <c r="P21" s="814">
        <f t="shared" si="4"/>
        <v>4</v>
      </c>
      <c r="Q21" s="812">
        <f>+'76'!Q21+'78'!Q21+'80'!Q21+'81'!Q21+'82'!Q21</f>
        <v>7</v>
      </c>
      <c r="R21" s="812">
        <f>+'76'!R21+'78'!R21+'80'!R21+'81'!R21+'82'!R21</f>
        <v>1825</v>
      </c>
      <c r="S21" s="812">
        <f>+'76'!S21+'78'!S21+'80'!S21+'81'!S21+'82'!S21</f>
        <v>1478</v>
      </c>
      <c r="T21" s="812">
        <f>+'76'!T21+'78'!T21+'80'!T21+'81'!T21+'82'!T21</f>
        <v>1468</v>
      </c>
      <c r="U21" s="812">
        <f>+'76'!U21+'78'!U21+'80'!U21+'81'!U21+'82'!U21</f>
        <v>1450</v>
      </c>
      <c r="V21" s="806">
        <f t="shared" si="5"/>
        <v>80.986301369863014</v>
      </c>
      <c r="W21" s="807">
        <f t="shared" si="6"/>
        <v>7.9782608695652177</v>
      </c>
      <c r="X21" s="808">
        <f t="shared" si="7"/>
        <v>3.0649863013698626</v>
      </c>
      <c r="Y21" s="809">
        <f t="shared" si="8"/>
        <v>1.8858695652173914</v>
      </c>
      <c r="Z21" s="765"/>
      <c r="AA21" s="765"/>
    </row>
    <row r="22" spans="1:27" ht="23.25" customHeight="1">
      <c r="A22" s="810" t="s">
        <v>178</v>
      </c>
      <c r="B22" s="778">
        <v>405</v>
      </c>
      <c r="C22" s="811">
        <f>+'76'!C22+'78'!C22+'80'!C22+'81'!C22+'82'!C22</f>
        <v>6</v>
      </c>
      <c r="D22" s="812">
        <f>+'76'!D22+'78'!D22+'80'!D22+'81'!D22+'82'!D22</f>
        <v>5</v>
      </c>
      <c r="E22" s="813">
        <f>+'76'!E22+'78'!E22+'80'!E22+'81'!E22+'82'!E22</f>
        <v>108</v>
      </c>
      <c r="F22" s="813">
        <f>+'76'!F22+'78'!F22+'80'!F22+'81'!F22+'82'!F22</f>
        <v>0</v>
      </c>
      <c r="G22" s="813">
        <f>+'76'!G22+'78'!G22+'80'!G22+'81'!G22+'82'!G22</f>
        <v>2</v>
      </c>
      <c r="H22" s="813">
        <f>+'76'!H22+'78'!H22+'80'!H22+'81'!H22+'82'!H22</f>
        <v>33</v>
      </c>
      <c r="I22" s="813">
        <f>+'76'!I22+'78'!I22+'80'!I22+'81'!I22+'82'!I22</f>
        <v>35</v>
      </c>
      <c r="J22" s="812">
        <f>+'76'!J22+'78'!J22+'80'!J22+'81'!J22+'82'!J22</f>
        <v>124</v>
      </c>
      <c r="K22" s="805">
        <f>SUM(E22:J22)</f>
        <v>302</v>
      </c>
      <c r="L22" s="812">
        <f>+'76'!L22+'78'!L22+'80'!L22+'81'!L22+'82'!L22</f>
        <v>32</v>
      </c>
      <c r="M22" s="812">
        <f>+'76'!M22+'78'!M22+'80'!M22+'81'!M22+'82'!M22</f>
        <v>185</v>
      </c>
      <c r="N22" s="812">
        <f>+'76'!N22+'78'!N22+'80'!N22+'81'!N22+'82'!N22</f>
        <v>86</v>
      </c>
      <c r="O22" s="805">
        <f>SUM(L22:N22)</f>
        <v>303</v>
      </c>
      <c r="P22" s="814">
        <f>SUM(D22,K22)-O22</f>
        <v>4</v>
      </c>
      <c r="Q22" s="812">
        <f>+'76'!Q22+'78'!Q22+'80'!Q22+'81'!Q22+'82'!Q22</f>
        <v>22</v>
      </c>
      <c r="R22" s="812">
        <f>+'76'!R22+'78'!R22+'80'!R22+'81'!R22+'82'!R22</f>
        <v>2189</v>
      </c>
      <c r="S22" s="812">
        <f>+'76'!S22+'78'!S22+'80'!S22+'81'!S22+'82'!S22</f>
        <v>1753</v>
      </c>
      <c r="T22" s="812">
        <f>+'76'!T22+'78'!T22+'80'!T22+'81'!T22+'82'!T22</f>
        <v>1757</v>
      </c>
      <c r="U22" s="812">
        <f>+'76'!U22+'78'!U22+'80'!U22+'81'!U22+'82'!U22</f>
        <v>1702</v>
      </c>
      <c r="V22" s="806">
        <f>S22/R22*100</f>
        <v>80.082229328460485</v>
      </c>
      <c r="W22" s="807">
        <f>+T22/O22</f>
        <v>5.7986798679867988</v>
      </c>
      <c r="X22" s="808">
        <f>+O22/(R22/30.4)</f>
        <v>4.2079488350845136</v>
      </c>
      <c r="Y22" s="809">
        <f>(+R22-S22)/O22</f>
        <v>1.438943894389439</v>
      </c>
      <c r="Z22" s="765"/>
      <c r="AA22" s="765"/>
    </row>
    <row r="23" spans="1:27" ht="23.25" customHeight="1">
      <c r="A23" s="810" t="s">
        <v>179</v>
      </c>
      <c r="B23" s="778">
        <v>406</v>
      </c>
      <c r="C23" s="811">
        <f>+'76'!C23+'78'!C23+'80'!C23+'81'!C23+'82'!C23</f>
        <v>12</v>
      </c>
      <c r="D23" s="812">
        <f>+'76'!D23+'78'!D23+'80'!D23+'81'!D23+'82'!D23</f>
        <v>9</v>
      </c>
      <c r="E23" s="813">
        <f>+'76'!E23+'78'!E23+'80'!E23+'81'!E23+'82'!E23</f>
        <v>445</v>
      </c>
      <c r="F23" s="813">
        <f>+'76'!F23+'78'!F23+'80'!F23+'81'!F23+'82'!F23</f>
        <v>0</v>
      </c>
      <c r="G23" s="813">
        <f>+'76'!G23+'78'!G23+'80'!G23+'81'!G23+'82'!G23</f>
        <v>19</v>
      </c>
      <c r="H23" s="813">
        <f>+'76'!H23+'78'!H23+'80'!H23+'81'!H23+'82'!H23</f>
        <v>14</v>
      </c>
      <c r="I23" s="813">
        <f>+'76'!I23+'78'!I23+'80'!I23+'81'!I23+'82'!I23</f>
        <v>18</v>
      </c>
      <c r="J23" s="812">
        <f>+'76'!J23+'78'!J23+'80'!J23+'81'!J23+'82'!J23</f>
        <v>403</v>
      </c>
      <c r="K23" s="805">
        <f>SUM(E23:J23)</f>
        <v>899</v>
      </c>
      <c r="L23" s="812">
        <f>+'76'!L23+'78'!L23+'80'!L23+'81'!L23+'82'!L23</f>
        <v>151</v>
      </c>
      <c r="M23" s="812">
        <f>+'76'!M23+'78'!M23+'80'!M23+'81'!M23+'82'!M23</f>
        <v>681</v>
      </c>
      <c r="N23" s="812">
        <f>+'76'!N23+'78'!N23+'80'!N23+'81'!N23+'82'!N23</f>
        <v>67</v>
      </c>
      <c r="O23" s="805">
        <f>SUM(L23:N23)</f>
        <v>899</v>
      </c>
      <c r="P23" s="814">
        <f>SUM(D23,K23)-O23</f>
        <v>9</v>
      </c>
      <c r="Q23" s="812">
        <f>+'76'!Q23+'78'!Q23+'80'!Q23+'81'!Q23+'82'!Q23</f>
        <v>14</v>
      </c>
      <c r="R23" s="812">
        <f>+'76'!R23+'78'!R23+'80'!R23+'81'!R23+'82'!R23</f>
        <v>4380</v>
      </c>
      <c r="S23" s="812">
        <f>+'76'!S23+'78'!S23+'80'!S23+'81'!S23+'82'!S23</f>
        <v>3749</v>
      </c>
      <c r="T23" s="812">
        <f>+'76'!T23+'78'!T23+'80'!T23+'81'!T23+'82'!T23</f>
        <v>3718</v>
      </c>
      <c r="U23" s="812">
        <f>+'76'!U23+'78'!U23+'80'!U23+'81'!U23+'82'!U23</f>
        <v>3552</v>
      </c>
      <c r="V23" s="806">
        <f>S23/R23*100</f>
        <v>85.593607305936075</v>
      </c>
      <c r="W23" s="807">
        <f>+T23/O23</f>
        <v>4.1357063403781984</v>
      </c>
      <c r="X23" s="808">
        <f>+O23/(R23/30.4)</f>
        <v>6.2396347031963462</v>
      </c>
      <c r="Y23" s="809">
        <f>(+R23-S23)/O23</f>
        <v>0.70189098998887656</v>
      </c>
      <c r="Z23" s="765"/>
      <c r="AA23" s="765"/>
    </row>
    <row r="24" spans="1:27" ht="23.25" customHeight="1">
      <c r="A24" s="810" t="s">
        <v>787</v>
      </c>
      <c r="B24" s="778">
        <v>415</v>
      </c>
      <c r="C24" s="811">
        <f>+'76'!C24+'78'!C24+'80'!C24+'81'!C24+'82'!C24</f>
        <v>6</v>
      </c>
      <c r="D24" s="812">
        <f>+'76'!D24+'78'!D24+'80'!D24+'81'!D24+'82'!D24</f>
        <v>4</v>
      </c>
      <c r="E24" s="813">
        <f>+'76'!E24+'78'!E24+'80'!E24+'81'!E24+'82'!E24</f>
        <v>4</v>
      </c>
      <c r="F24" s="813">
        <f>+'76'!F24+'78'!F24+'80'!F24+'81'!F24+'82'!F24</f>
        <v>0</v>
      </c>
      <c r="G24" s="813">
        <f>+'76'!G24+'78'!G24+'80'!G24+'81'!G24+'82'!G24</f>
        <v>4</v>
      </c>
      <c r="H24" s="813">
        <f>+'76'!H24+'78'!H24+'80'!H24+'81'!H24+'82'!H24</f>
        <v>0</v>
      </c>
      <c r="I24" s="813">
        <f>+'76'!I24+'78'!I24+'80'!I24+'81'!I24+'82'!I24</f>
        <v>90</v>
      </c>
      <c r="J24" s="812">
        <f>+'76'!J24+'78'!J24+'80'!J24+'81'!J24+'82'!J24</f>
        <v>121</v>
      </c>
      <c r="K24" s="805">
        <f>SUM(E24:J24)</f>
        <v>219</v>
      </c>
      <c r="L24" s="812">
        <f>+'76'!L24+'78'!L24+'80'!L24+'81'!L24+'82'!L24</f>
        <v>59</v>
      </c>
      <c r="M24" s="812">
        <f>+'76'!M24+'78'!M24+'80'!M24+'81'!M24+'82'!M24</f>
        <v>163</v>
      </c>
      <c r="N24" s="812">
        <f>+'76'!N24+'78'!N24+'80'!N24+'81'!N24+'82'!N24</f>
        <v>1</v>
      </c>
      <c r="O24" s="805">
        <f>SUM(L24:N24)</f>
        <v>223</v>
      </c>
      <c r="P24" s="814">
        <f>SUM(D24,K24)-O24</f>
        <v>0</v>
      </c>
      <c r="Q24" s="812">
        <f>+'76'!Q24+'78'!Q24+'80'!Q24+'81'!Q24+'82'!Q24</f>
        <v>4</v>
      </c>
      <c r="R24" s="812">
        <f>+'76'!R24+'78'!R24+'80'!R24+'81'!R24+'82'!R24</f>
        <v>2190</v>
      </c>
      <c r="S24" s="812">
        <f>+'76'!S24+'78'!S24+'80'!S24+'81'!S24+'82'!S24</f>
        <v>1017</v>
      </c>
      <c r="T24" s="812">
        <f>+'76'!T24+'78'!T24+'80'!T24+'81'!T24+'82'!T24</f>
        <v>1017</v>
      </c>
      <c r="U24" s="812">
        <f>+'76'!U24+'78'!U24+'80'!U24+'81'!U24+'82'!U24</f>
        <v>1004</v>
      </c>
      <c r="V24" s="806">
        <f>S24/R24*100</f>
        <v>46.438356164383556</v>
      </c>
      <c r="W24" s="807">
        <f>+T24/O24</f>
        <v>4.5605381165919283</v>
      </c>
      <c r="X24" s="808">
        <f>+O24/(R24/30.4)</f>
        <v>3.0955251141552509</v>
      </c>
      <c r="Y24" s="809">
        <f>(+R24-S24)/O24</f>
        <v>5.260089686098655</v>
      </c>
      <c r="Z24" s="765"/>
      <c r="AA24" s="765"/>
    </row>
    <row r="25" spans="1:27" ht="23.25" customHeight="1">
      <c r="A25" s="810" t="s">
        <v>180</v>
      </c>
      <c r="B25" s="778">
        <v>330</v>
      </c>
      <c r="C25" s="811">
        <f>+'76'!C25+'78'!C25+'80'!C25+'81'!C25+'82'!C25</f>
        <v>30</v>
      </c>
      <c r="D25" s="812">
        <f>+'76'!D25+'78'!D25+'80'!D25+'81'!D25+'82'!D25</f>
        <v>9</v>
      </c>
      <c r="E25" s="813">
        <f>+'76'!E25+'78'!E25+'80'!E25+'81'!E25+'82'!E25</f>
        <v>233</v>
      </c>
      <c r="F25" s="813">
        <f>+'76'!F25+'78'!F25+'80'!F25+'81'!F25+'82'!F25</f>
        <v>0</v>
      </c>
      <c r="G25" s="813">
        <f>+'76'!G25+'78'!G25+'80'!G25+'81'!G25+'82'!G25</f>
        <v>45</v>
      </c>
      <c r="H25" s="813">
        <f>+'76'!H25+'78'!H25+'80'!H25+'81'!H25+'82'!H25</f>
        <v>1</v>
      </c>
      <c r="I25" s="813">
        <f>+'76'!I25+'78'!I25+'80'!I25+'81'!I25+'82'!I25</f>
        <v>2961</v>
      </c>
      <c r="J25" s="812">
        <f>+'76'!J25+'78'!J25+'80'!J25+'81'!J25+'82'!J25</f>
        <v>630</v>
      </c>
      <c r="K25" s="805">
        <f t="shared" si="2"/>
        <v>3870</v>
      </c>
      <c r="L25" s="812">
        <f>+'76'!L25+'78'!L25+'80'!L25+'81'!L25+'82'!L25</f>
        <v>3304</v>
      </c>
      <c r="M25" s="812">
        <f>+'76'!M25+'78'!M25+'80'!M25+'81'!M25+'82'!M25</f>
        <v>553</v>
      </c>
      <c r="N25" s="812">
        <f>+'76'!N25+'78'!N25+'80'!N25+'81'!N25+'82'!N25</f>
        <v>13</v>
      </c>
      <c r="O25" s="805">
        <f t="shared" si="3"/>
        <v>3870</v>
      </c>
      <c r="P25" s="814">
        <f t="shared" si="4"/>
        <v>9</v>
      </c>
      <c r="Q25" s="812">
        <f>+'76'!Q25+'78'!Q25+'80'!Q25+'81'!Q25+'82'!Q25</f>
        <v>228</v>
      </c>
      <c r="R25" s="812">
        <f>+'76'!R25+'78'!R25+'80'!R25+'81'!R25+'82'!R25</f>
        <v>10561</v>
      </c>
      <c r="S25" s="812">
        <f>+'76'!S25+'78'!S25+'80'!S25+'81'!S25+'82'!S25</f>
        <v>6673</v>
      </c>
      <c r="T25" s="812">
        <f>+'76'!T25+'78'!T25+'80'!T25+'81'!T25+'82'!T25</f>
        <v>6780</v>
      </c>
      <c r="U25" s="812">
        <f>+'76'!U25+'78'!U25+'80'!U25+'81'!U25+'82'!U25</f>
        <v>0</v>
      </c>
      <c r="V25" s="806">
        <f t="shared" si="5"/>
        <v>63.185304421929743</v>
      </c>
      <c r="W25" s="807">
        <f t="shared" si="6"/>
        <v>1.751937984496124</v>
      </c>
      <c r="X25" s="808">
        <f t="shared" si="7"/>
        <v>11.139854180475334</v>
      </c>
      <c r="Y25" s="809">
        <f t="shared" si="8"/>
        <v>1.0046511627906978</v>
      </c>
      <c r="Z25" s="765"/>
      <c r="AA25" s="765"/>
    </row>
    <row r="26" spans="1:27" ht="23.25" customHeight="1">
      <c r="A26" s="816" t="s">
        <v>1015</v>
      </c>
      <c r="B26" s="1156"/>
      <c r="C26" s="817">
        <f>+'76'!C26+'78'!C26+'80'!C26+'81'!C26+'82'!C26</f>
        <v>354</v>
      </c>
      <c r="D26" s="818">
        <f>+'76'!D26+'78'!D26+'80'!D26+'81'!D26+'82'!D26</f>
        <v>273</v>
      </c>
      <c r="E26" s="819">
        <f>+'76'!E26+'78'!E26+'80'!E26+'81'!E26+'82'!E26</f>
        <v>0</v>
      </c>
      <c r="F26" s="819">
        <f>+'76'!F26+'78'!F26+'80'!F26+'81'!F26+'82'!F26</f>
        <v>0</v>
      </c>
      <c r="G26" s="819">
        <f>+'76'!G26+'78'!G26+'80'!G26+'81'!G26+'82'!G26</f>
        <v>0</v>
      </c>
      <c r="H26" s="819">
        <f>+'76'!H26+'78'!H26+'80'!H26+'81'!H26+'82'!H26</f>
        <v>0</v>
      </c>
      <c r="I26" s="819">
        <f>+'76'!I26+'78'!I26+'80'!I26+'81'!I26+'82'!I26</f>
        <v>850</v>
      </c>
      <c r="J26" s="818">
        <f>+'76'!J26+'78'!J26+'80'!J26+'81'!J26+'82'!J26</f>
        <v>168</v>
      </c>
      <c r="K26" s="820">
        <f t="shared" si="2"/>
        <v>1018</v>
      </c>
      <c r="L26" s="818">
        <f>+'76'!L26+'78'!L26+'80'!L26+'81'!L26+'82'!L26</f>
        <v>866</v>
      </c>
      <c r="M26" s="818">
        <f>+'76'!M26+'78'!M26+'80'!M26+'81'!M26+'82'!M26</f>
        <v>168</v>
      </c>
      <c r="N26" s="818">
        <f>+'76'!N26+'78'!N26+'80'!N26+'81'!N26+'82'!N26</f>
        <v>7</v>
      </c>
      <c r="O26" s="820">
        <f t="shared" si="3"/>
        <v>1041</v>
      </c>
      <c r="P26" s="821">
        <f t="shared" si="4"/>
        <v>250</v>
      </c>
      <c r="Q26" s="818">
        <f>+'76'!Q26+'78'!Q26+'80'!Q26+'81'!Q26+'82'!Q26</f>
        <v>4</v>
      </c>
      <c r="R26" s="818">
        <f>+'76'!R26+'78'!R26+'80'!R26+'81'!R26+'82'!R26</f>
        <v>117003</v>
      </c>
      <c r="S26" s="818">
        <f>+'76'!S26+'78'!S26+'80'!S26+'81'!S26+'82'!S26</f>
        <v>110805</v>
      </c>
      <c r="T26" s="818">
        <f>+'76'!T26+'78'!T26+'80'!T26+'81'!T26+'82'!T26</f>
        <v>108933</v>
      </c>
      <c r="U26" s="818">
        <f>+'76'!U26+'78'!U26+'80'!U26+'81'!U26+'82'!U26</f>
        <v>108395</v>
      </c>
      <c r="V26" s="822">
        <f>S26/R26*100</f>
        <v>94.702699930771004</v>
      </c>
      <c r="W26" s="823">
        <f>+T26/O26</f>
        <v>104.64265129682997</v>
      </c>
      <c r="X26" s="824">
        <f>+O26/(R26/30.4)</f>
        <v>0.27047511602266611</v>
      </c>
      <c r="Y26" s="825">
        <f>(+R26-S26)/O26</f>
        <v>5.9538904899135447</v>
      </c>
      <c r="Z26" s="765"/>
      <c r="AA26" s="765"/>
    </row>
    <row r="27" spans="1:27" ht="15.75">
      <c r="A27" s="826" t="s">
        <v>183</v>
      </c>
      <c r="Z27" s="765"/>
      <c r="AA27" s="765"/>
    </row>
    <row r="28" spans="1:27" ht="15.75">
      <c r="Z28" s="765"/>
      <c r="AA28" s="765"/>
    </row>
    <row r="29" spans="1:27">
      <c r="O29" s="827"/>
    </row>
    <row r="30" spans="1:27">
      <c r="D30" s="828"/>
      <c r="O30" s="1057"/>
    </row>
  </sheetData>
  <mergeCells count="2">
    <mergeCell ref="Q9:Q10"/>
    <mergeCell ref="E9:O9"/>
  </mergeCells>
  <phoneticPr fontId="56" type="noConversion"/>
  <printOptions horizontalCentered="1" verticalCentered="1" gridLinesSet="0"/>
  <pageMargins left="0.19685039370078741" right="0.78740157480314965" top="0.27559055118110237" bottom="0.23622047244094491" header="0.39370078740157483" footer="0.39370078740157483"/>
  <pageSetup paperSize="5" scale="73" orientation="landscape" horizontalDpi="300" verticalDpi="300" r:id="rId1"/>
  <headerFooter alignWithMargins="0"/>
  <ignoredErrors>
    <ignoredError sqref="C14:U26 C13:Y13" unlockedFormula="1"/>
  </ignoredError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Y32"/>
  <sheetViews>
    <sheetView showGridLines="0" topLeftCell="A13" zoomScale="75" workbookViewId="0">
      <selection activeCell="A2" sqref="A2"/>
    </sheetView>
  </sheetViews>
  <sheetFormatPr baseColWidth="10" defaultColWidth="12.5703125" defaultRowHeight="12.75"/>
  <cols>
    <col min="1" max="1" width="50.42578125" style="826" customWidth="1"/>
    <col min="2" max="2" width="11.28515625" style="826" customWidth="1"/>
    <col min="3" max="3" width="14" style="826" customWidth="1"/>
    <col min="4" max="14" width="11.28515625" style="826" customWidth="1"/>
    <col min="15" max="17" width="8.140625" style="826" customWidth="1"/>
    <col min="18" max="18" width="10.42578125" style="826" customWidth="1"/>
    <col min="19" max="19" width="9.7109375" style="826" customWidth="1"/>
    <col min="20" max="20" width="9.42578125" style="826" customWidth="1"/>
    <col min="21" max="21" width="9.140625" style="826" customWidth="1"/>
    <col min="22" max="22" width="8.28515625" style="826" customWidth="1"/>
    <col min="23" max="23" width="8.85546875" style="826" customWidth="1"/>
    <col min="24" max="24" width="10" style="826" customWidth="1"/>
    <col min="25" max="25" width="8.85546875" style="826" customWidth="1"/>
    <col min="26" max="26" width="10.85546875" style="764" customWidth="1"/>
    <col min="27" max="27" width="9.28515625" style="764" customWidth="1"/>
    <col min="28" max="16384" width="12.5703125" style="764"/>
  </cols>
  <sheetData>
    <row r="1" spans="1:14">
      <c r="A1" s="1473" t="s">
        <v>1521</v>
      </c>
      <c r="B1" s="1473"/>
      <c r="C1" s="1473"/>
      <c r="D1" s="1473"/>
      <c r="E1" s="1473"/>
      <c r="F1" s="1473"/>
      <c r="G1" s="1473"/>
      <c r="H1" s="1473"/>
      <c r="I1" s="1473"/>
      <c r="J1" s="1473"/>
      <c r="K1" s="1473"/>
      <c r="L1" s="1473"/>
      <c r="M1" s="1473"/>
      <c r="N1" s="1473"/>
    </row>
    <row r="2" spans="1:14">
      <c r="A2" s="761"/>
      <c r="B2" s="761"/>
      <c r="C2" s="762"/>
      <c r="D2" s="762"/>
      <c r="E2" s="762"/>
      <c r="F2" s="762"/>
      <c r="G2" s="762"/>
      <c r="H2" s="762"/>
      <c r="I2" s="762"/>
      <c r="J2" s="762"/>
      <c r="K2" s="762"/>
      <c r="L2" s="762"/>
      <c r="M2" s="762"/>
      <c r="N2" s="762"/>
    </row>
    <row r="3" spans="1:14">
      <c r="A3" s="1473" t="str">
        <f>+'74'!A3</f>
        <v>SERVICIO DE SALUD   ACONCAGUA   2015</v>
      </c>
      <c r="B3" s="1473"/>
      <c r="C3" s="1473"/>
      <c r="D3" s="1473"/>
      <c r="E3" s="1473"/>
      <c r="F3" s="1473"/>
      <c r="G3" s="1473"/>
      <c r="H3" s="1473"/>
      <c r="I3" s="1473"/>
      <c r="J3" s="1473"/>
      <c r="K3" s="1473"/>
      <c r="L3" s="1473"/>
      <c r="M3" s="1473"/>
      <c r="N3" s="1473"/>
    </row>
    <row r="4" spans="1:14">
      <c r="A4" s="762"/>
      <c r="B4" s="762"/>
      <c r="C4" s="762"/>
      <c r="D4" s="762"/>
      <c r="E4" s="762"/>
      <c r="F4" s="762"/>
      <c r="G4" s="762"/>
      <c r="H4" s="762"/>
      <c r="I4" s="762"/>
      <c r="J4" s="762"/>
      <c r="K4" s="762"/>
      <c r="L4" s="762"/>
      <c r="M4" s="762"/>
      <c r="N4" s="762"/>
    </row>
    <row r="6" spans="1:14" ht="28.5" customHeight="1">
      <c r="A6" s="1197" t="s">
        <v>1404</v>
      </c>
      <c r="B6" s="1246" t="s">
        <v>509</v>
      </c>
      <c r="C6" s="1244" t="s">
        <v>1380</v>
      </c>
      <c r="D6" s="1244" t="s">
        <v>1381</v>
      </c>
      <c r="E6" s="1244" t="s">
        <v>1382</v>
      </c>
      <c r="F6" s="1244" t="s">
        <v>1383</v>
      </c>
      <c r="G6" s="1244" t="s">
        <v>1384</v>
      </c>
      <c r="H6" s="1244" t="s">
        <v>1385</v>
      </c>
      <c r="I6" s="1244" t="s">
        <v>1386</v>
      </c>
      <c r="J6" s="1244" t="s">
        <v>1387</v>
      </c>
      <c r="K6" s="1244" t="s">
        <v>1388</v>
      </c>
      <c r="L6" s="1244" t="s">
        <v>1389</v>
      </c>
      <c r="M6" s="1244" t="s">
        <v>1390</v>
      </c>
      <c r="N6" s="1245" t="s">
        <v>1391</v>
      </c>
    </row>
    <row r="7" spans="1:14" ht="22.5" customHeight="1">
      <c r="A7" s="1194" t="s">
        <v>1392</v>
      </c>
      <c r="B7" s="555">
        <f>SUM(C7:N7)</f>
        <v>54472</v>
      </c>
      <c r="C7" s="556">
        <f>+'77'!C7+'79'!C7</f>
        <v>122</v>
      </c>
      <c r="D7" s="556">
        <f>+'77'!D7+'79'!D7</f>
        <v>74</v>
      </c>
      <c r="E7" s="556">
        <f>+'77'!E7+'79'!E7</f>
        <v>4</v>
      </c>
      <c r="F7" s="556">
        <f>+'77'!F7+'79'!F7</f>
        <v>3801</v>
      </c>
      <c r="G7" s="556">
        <f>+'77'!G7+'79'!G7</f>
        <v>1441</v>
      </c>
      <c r="H7" s="556">
        <f>+'77'!H7+'79'!H7</f>
        <v>225</v>
      </c>
      <c r="I7" s="556">
        <f>+'77'!I7+'79'!I7</f>
        <v>12623</v>
      </c>
      <c r="J7" s="556">
        <f>+'77'!J7+'79'!J7</f>
        <v>18883</v>
      </c>
      <c r="K7" s="556">
        <f>+'77'!K7+'79'!K7</f>
        <v>8889</v>
      </c>
      <c r="L7" s="556">
        <f>+'77'!L7+'79'!L7</f>
        <v>652</v>
      </c>
      <c r="M7" s="556">
        <f>+'77'!M7+'79'!M7</f>
        <v>4213</v>
      </c>
      <c r="N7" s="557">
        <f>+'77'!N7+'79'!N7</f>
        <v>3545</v>
      </c>
    </row>
    <row r="8" spans="1:14" ht="21.75" customHeight="1">
      <c r="A8" s="1195" t="s">
        <v>1401</v>
      </c>
      <c r="B8" s="549">
        <f t="shared" ref="B8" si="0">SUM(C8:N8)</f>
        <v>4093</v>
      </c>
      <c r="C8" s="548">
        <v>3</v>
      </c>
      <c r="D8" s="548">
        <v>0</v>
      </c>
      <c r="E8" s="548">
        <v>0</v>
      </c>
      <c r="F8" s="548">
        <v>177</v>
      </c>
      <c r="G8" s="548">
        <v>81</v>
      </c>
      <c r="H8" s="548">
        <v>25</v>
      </c>
      <c r="I8" s="548">
        <v>733</v>
      </c>
      <c r="J8" s="548">
        <v>1373</v>
      </c>
      <c r="K8" s="548">
        <v>1162</v>
      </c>
      <c r="L8" s="548">
        <v>33</v>
      </c>
      <c r="M8" s="548">
        <v>174</v>
      </c>
      <c r="N8" s="533">
        <v>332</v>
      </c>
    </row>
    <row r="9" spans="1:14" ht="18" customHeight="1">
      <c r="A9" s="1195" t="s">
        <v>1393</v>
      </c>
      <c r="B9" s="549">
        <f t="shared" ref="B9:B16" si="1">SUM(C9:N9)</f>
        <v>5404</v>
      </c>
      <c r="C9" s="548">
        <f>+'77'!C8+'79'!C9</f>
        <v>7</v>
      </c>
      <c r="D9" s="548">
        <f>+'77'!D8+'79'!D9</f>
        <v>0</v>
      </c>
      <c r="E9" s="548">
        <f>+'77'!E8+'79'!E9</f>
        <v>0</v>
      </c>
      <c r="F9" s="548">
        <f>+'77'!F8+'79'!F9</f>
        <v>949</v>
      </c>
      <c r="G9" s="548">
        <f>+'77'!G8+'79'!G9</f>
        <v>88</v>
      </c>
      <c r="H9" s="548">
        <f>+'77'!H8+'79'!H9</f>
        <v>4</v>
      </c>
      <c r="I9" s="548">
        <f>+'77'!I8+'79'!I9</f>
        <v>2761</v>
      </c>
      <c r="J9" s="548">
        <f>+'77'!J8+'79'!J9</f>
        <v>1021</v>
      </c>
      <c r="K9" s="548">
        <f>+'77'!K8+'79'!K9</f>
        <v>30</v>
      </c>
      <c r="L9" s="548">
        <f>+'77'!L8+'79'!L9</f>
        <v>386</v>
      </c>
      <c r="M9" s="548">
        <f>+'77'!M8+'79'!M9</f>
        <v>140</v>
      </c>
      <c r="N9" s="533">
        <f>+'77'!N8+'79'!N9</f>
        <v>18</v>
      </c>
    </row>
    <row r="10" spans="1:14" ht="18" customHeight="1">
      <c r="A10" s="1195" t="s">
        <v>1394</v>
      </c>
      <c r="B10" s="549">
        <f t="shared" si="1"/>
        <v>2179</v>
      </c>
      <c r="C10" s="548">
        <f>+'77'!C9+'79'!C10</f>
        <v>4</v>
      </c>
      <c r="D10" s="548">
        <f>+'77'!D9+'79'!D10</f>
        <v>0</v>
      </c>
      <c r="E10" s="548">
        <f>+'77'!E9+'79'!E10</f>
        <v>0</v>
      </c>
      <c r="F10" s="548">
        <f>+'77'!F9+'79'!F10</f>
        <v>332</v>
      </c>
      <c r="G10" s="548">
        <f>+'77'!G9+'79'!G10</f>
        <v>5</v>
      </c>
      <c r="H10" s="548">
        <f>+'77'!H9+'79'!H10</f>
        <v>7</v>
      </c>
      <c r="I10" s="548">
        <f>+'77'!I9+'79'!I10</f>
        <v>1531</v>
      </c>
      <c r="J10" s="548">
        <f>+'77'!J9+'79'!J10</f>
        <v>1</v>
      </c>
      <c r="K10" s="548">
        <f>+'77'!K9+'79'!K10</f>
        <v>1</v>
      </c>
      <c r="L10" s="548">
        <f>+'77'!L9+'79'!L10</f>
        <v>298</v>
      </c>
      <c r="M10" s="548">
        <f>+'77'!M9+'79'!M10</f>
        <v>0</v>
      </c>
      <c r="N10" s="533">
        <f>+'77'!N9+'79'!N10</f>
        <v>0</v>
      </c>
    </row>
    <row r="11" spans="1:14" ht="18" customHeight="1">
      <c r="A11" s="1195" t="s">
        <v>1395</v>
      </c>
      <c r="B11" s="549">
        <f t="shared" si="1"/>
        <v>11883</v>
      </c>
      <c r="C11" s="548">
        <f>+'77'!C10+'79'!C11</f>
        <v>8</v>
      </c>
      <c r="D11" s="548">
        <f>+'77'!D10+'79'!D11</f>
        <v>0</v>
      </c>
      <c r="E11" s="548">
        <f>+'77'!E10+'79'!E11</f>
        <v>0</v>
      </c>
      <c r="F11" s="548">
        <f>+'77'!F10+'79'!F11</f>
        <v>2257</v>
      </c>
      <c r="G11" s="548">
        <f>+'77'!G10+'79'!G11</f>
        <v>956</v>
      </c>
      <c r="H11" s="548">
        <f>+'77'!H10+'79'!H11</f>
        <v>6</v>
      </c>
      <c r="I11" s="548">
        <f>+'77'!I10+'79'!I11</f>
        <v>656</v>
      </c>
      <c r="J11" s="548">
        <f>+'77'!J10+'79'!J11</f>
        <v>4784</v>
      </c>
      <c r="K11" s="548">
        <f>+'77'!K10+'79'!K11</f>
        <v>65</v>
      </c>
      <c r="L11" s="548">
        <f>+'77'!L10+'79'!L11</f>
        <v>77</v>
      </c>
      <c r="M11" s="548">
        <f>+'77'!M10+'79'!M11</f>
        <v>3035</v>
      </c>
      <c r="N11" s="533">
        <f>+'77'!N10+'79'!N11</f>
        <v>39</v>
      </c>
    </row>
    <row r="12" spans="1:14" ht="39.75" customHeight="1">
      <c r="A12" s="1195" t="s">
        <v>1400</v>
      </c>
      <c r="B12" s="549">
        <f t="shared" si="1"/>
        <v>1305</v>
      </c>
      <c r="C12" s="548">
        <f>+'77'!C11</f>
        <v>394</v>
      </c>
      <c r="D12" s="548">
        <f>+'77'!D11</f>
        <v>0</v>
      </c>
      <c r="E12" s="548">
        <f>+'77'!E11</f>
        <v>0</v>
      </c>
      <c r="F12" s="548">
        <f>+'77'!F11</f>
        <v>750</v>
      </c>
      <c r="G12" s="548">
        <f>+'77'!G11</f>
        <v>1</v>
      </c>
      <c r="H12" s="548">
        <f>+'77'!H11</f>
        <v>0</v>
      </c>
      <c r="I12" s="548">
        <f>+'77'!I11</f>
        <v>155</v>
      </c>
      <c r="J12" s="548">
        <f>+'77'!J11</f>
        <v>0</v>
      </c>
      <c r="K12" s="548">
        <f>+'77'!K11</f>
        <v>0</v>
      </c>
      <c r="L12" s="548">
        <f>+'77'!L11</f>
        <v>5</v>
      </c>
      <c r="M12" s="548">
        <f>+'77'!M11</f>
        <v>0</v>
      </c>
      <c r="N12" s="533">
        <f>+'77'!N11</f>
        <v>0</v>
      </c>
    </row>
    <row r="13" spans="1:14">
      <c r="A13" s="1195" t="s">
        <v>1396</v>
      </c>
      <c r="B13" s="549">
        <f t="shared" si="1"/>
        <v>1672</v>
      </c>
      <c r="C13" s="548">
        <f>+'77'!C12</f>
        <v>1449</v>
      </c>
      <c r="D13" s="548">
        <f>+'77'!D12</f>
        <v>0</v>
      </c>
      <c r="E13" s="548">
        <f>+'77'!E12</f>
        <v>0</v>
      </c>
      <c r="F13" s="548">
        <f>+'77'!F12</f>
        <v>215</v>
      </c>
      <c r="G13" s="548">
        <f>+'77'!G12</f>
        <v>7</v>
      </c>
      <c r="H13" s="548">
        <f>+'77'!H12</f>
        <v>0</v>
      </c>
      <c r="I13" s="548">
        <f>+'77'!I12</f>
        <v>0</v>
      </c>
      <c r="J13" s="548">
        <f>+'77'!J12</f>
        <v>1</v>
      </c>
      <c r="K13" s="548">
        <f>+'77'!K12</f>
        <v>0</v>
      </c>
      <c r="L13" s="548">
        <f>+'77'!L12</f>
        <v>0</v>
      </c>
      <c r="M13" s="548">
        <f>+'77'!M12</f>
        <v>0</v>
      </c>
      <c r="N13" s="533">
        <f>+'77'!N12</f>
        <v>0</v>
      </c>
    </row>
    <row r="14" spans="1:14" ht="33.75" customHeight="1">
      <c r="A14" s="1195" t="s">
        <v>1397</v>
      </c>
      <c r="B14" s="549">
        <f t="shared" si="1"/>
        <v>3181</v>
      </c>
      <c r="C14" s="548">
        <f>+'77'!C13+'79'!C12</f>
        <v>511</v>
      </c>
      <c r="D14" s="548">
        <f>+'77'!D13+'79'!D12</f>
        <v>2</v>
      </c>
      <c r="E14" s="548">
        <f>+'77'!E13+'79'!E12</f>
        <v>1</v>
      </c>
      <c r="F14" s="548">
        <f>+'77'!F13+'79'!F12</f>
        <v>2207</v>
      </c>
      <c r="G14" s="548">
        <f>+'77'!G13+'79'!G12</f>
        <v>357</v>
      </c>
      <c r="H14" s="548">
        <f>+'77'!H13+'79'!H12</f>
        <v>3</v>
      </c>
      <c r="I14" s="548">
        <f>+'77'!I13+'79'!I12</f>
        <v>39</v>
      </c>
      <c r="J14" s="548">
        <f>+'77'!J13+'79'!J12</f>
        <v>56</v>
      </c>
      <c r="K14" s="548">
        <f>+'77'!K13+'79'!K12</f>
        <v>4</v>
      </c>
      <c r="L14" s="548">
        <f>+'77'!L13+'79'!L12</f>
        <v>0</v>
      </c>
      <c r="M14" s="548">
        <f>+'77'!M13+'79'!M12</f>
        <v>0</v>
      </c>
      <c r="N14" s="533">
        <f>+'77'!N13+'79'!N12</f>
        <v>1</v>
      </c>
    </row>
    <row r="15" spans="1:14" ht="24">
      <c r="A15" s="1195" t="s">
        <v>1399</v>
      </c>
      <c r="B15" s="549">
        <f t="shared" si="1"/>
        <v>1155</v>
      </c>
      <c r="C15" s="548">
        <f>+'77'!C14</f>
        <v>154</v>
      </c>
      <c r="D15" s="548">
        <f>+'77'!D14</f>
        <v>0</v>
      </c>
      <c r="E15" s="548">
        <f>+'77'!E14</f>
        <v>0</v>
      </c>
      <c r="F15" s="548">
        <f>+'77'!F14</f>
        <v>937</v>
      </c>
      <c r="G15" s="548">
        <f>+'77'!G14</f>
        <v>11</v>
      </c>
      <c r="H15" s="548">
        <f>+'77'!H14</f>
        <v>1</v>
      </c>
      <c r="I15" s="548">
        <f>+'77'!I14</f>
        <v>47</v>
      </c>
      <c r="J15" s="548">
        <f>+'77'!J14</f>
        <v>4</v>
      </c>
      <c r="K15" s="548">
        <f>+'77'!K14</f>
        <v>0</v>
      </c>
      <c r="L15" s="548">
        <f>+'77'!L14</f>
        <v>0</v>
      </c>
      <c r="M15" s="548">
        <f>+'77'!M14</f>
        <v>1</v>
      </c>
      <c r="N15" s="533">
        <f>+'77'!N14</f>
        <v>0</v>
      </c>
    </row>
    <row r="16" spans="1:14" ht="36" customHeight="1">
      <c r="A16" s="1195" t="s">
        <v>1398</v>
      </c>
      <c r="B16" s="549">
        <f t="shared" si="1"/>
        <v>826</v>
      </c>
      <c r="C16" s="548">
        <f>+'77'!C15</f>
        <v>1</v>
      </c>
      <c r="D16" s="548">
        <f>+'77'!D15</f>
        <v>0</v>
      </c>
      <c r="E16" s="548">
        <f>+'77'!E15</f>
        <v>0</v>
      </c>
      <c r="F16" s="548">
        <f>+'77'!F15</f>
        <v>217</v>
      </c>
      <c r="G16" s="548">
        <f>+'77'!G15</f>
        <v>1</v>
      </c>
      <c r="H16" s="548">
        <f>+'77'!H15</f>
        <v>1</v>
      </c>
      <c r="I16" s="548">
        <f>+'77'!I15</f>
        <v>548</v>
      </c>
      <c r="J16" s="548">
        <f>+'77'!J15</f>
        <v>0</v>
      </c>
      <c r="K16" s="548">
        <f>+'77'!K15</f>
        <v>3</v>
      </c>
      <c r="L16" s="548">
        <f>+'77'!L15</f>
        <v>55</v>
      </c>
      <c r="M16" s="548">
        <f>+'77'!M15</f>
        <v>0</v>
      </c>
      <c r="N16" s="533">
        <f>+'77'!N15</f>
        <v>0</v>
      </c>
    </row>
    <row r="17" spans="1:14" ht="27.75" customHeight="1">
      <c r="A17" s="1196" t="s">
        <v>509</v>
      </c>
      <c r="B17" s="553">
        <f>SUM(B7:B16)</f>
        <v>86170</v>
      </c>
      <c r="C17" s="551">
        <f>SUM(C7:C16)</f>
        <v>2653</v>
      </c>
      <c r="D17" s="551">
        <f t="shared" ref="D17:N17" si="2">SUM(D7:D16)</f>
        <v>76</v>
      </c>
      <c r="E17" s="551">
        <f t="shared" si="2"/>
        <v>5</v>
      </c>
      <c r="F17" s="551">
        <f t="shared" si="2"/>
        <v>11842</v>
      </c>
      <c r="G17" s="551">
        <f t="shared" si="2"/>
        <v>2948</v>
      </c>
      <c r="H17" s="551">
        <f t="shared" si="2"/>
        <v>272</v>
      </c>
      <c r="I17" s="551">
        <f t="shared" si="2"/>
        <v>19093</v>
      </c>
      <c r="J17" s="551">
        <f t="shared" si="2"/>
        <v>26123</v>
      </c>
      <c r="K17" s="551">
        <f t="shared" si="2"/>
        <v>10154</v>
      </c>
      <c r="L17" s="551">
        <f t="shared" si="2"/>
        <v>1506</v>
      </c>
      <c r="M17" s="1252">
        <f t="shared" si="2"/>
        <v>7563</v>
      </c>
      <c r="N17" s="1253">
        <f t="shared" si="2"/>
        <v>3935</v>
      </c>
    </row>
    <row r="20" spans="1:14">
      <c r="A20" s="64"/>
      <c r="B20" s="1474" t="s">
        <v>150</v>
      </c>
      <c r="C20" s="1474"/>
      <c r="D20" s="1474"/>
      <c r="E20" s="1475" t="s">
        <v>1409</v>
      </c>
      <c r="F20" s="1476"/>
    </row>
    <row r="21" spans="1:14" ht="19.5" customHeight="1">
      <c r="A21" s="1198" t="s">
        <v>1404</v>
      </c>
      <c r="B21" s="1199" t="s">
        <v>1408</v>
      </c>
      <c r="C21" s="1199" t="s">
        <v>1407</v>
      </c>
      <c r="D21" s="1199" t="s">
        <v>922</v>
      </c>
      <c r="E21" s="1200" t="s">
        <v>509</v>
      </c>
      <c r="F21" s="1200" t="s">
        <v>529</v>
      </c>
    </row>
    <row r="22" spans="1:14" ht="31.5" customHeight="1">
      <c r="A22" s="1194" t="s">
        <v>1392</v>
      </c>
      <c r="B22" s="1191">
        <f>+'76'!S14+'78'!S14</f>
        <v>57917</v>
      </c>
      <c r="C22" s="1192">
        <f t="shared" ref="C22:C32" si="3">+B7</f>
        <v>54472</v>
      </c>
      <c r="D22" s="1248">
        <f>+C22/B22*100</f>
        <v>94.051832795206934</v>
      </c>
      <c r="E22" s="1191">
        <f t="shared" ref="E22:E32" si="4">SUM(M7:N7)</f>
        <v>7758</v>
      </c>
      <c r="F22" s="1248">
        <f t="shared" ref="F22:F32" si="5">+E22/B7*100</f>
        <v>14.242179468350713</v>
      </c>
    </row>
    <row r="23" spans="1:14" ht="31.5" customHeight="1">
      <c r="A23" s="1195" t="s">
        <v>1401</v>
      </c>
      <c r="B23" s="1193">
        <f>+'78'!S15</f>
        <v>7031</v>
      </c>
      <c r="C23" s="332">
        <f t="shared" si="3"/>
        <v>4093</v>
      </c>
      <c r="D23" s="1249">
        <f t="shared" ref="D23" si="6">+C23/B23*100</f>
        <v>58.213625373346609</v>
      </c>
      <c r="E23" s="1193">
        <f t="shared" si="4"/>
        <v>506</v>
      </c>
      <c r="F23" s="1249">
        <f t="shared" si="5"/>
        <v>12.362570241876375</v>
      </c>
    </row>
    <row r="24" spans="1:14" ht="31.5" customHeight="1">
      <c r="A24" s="1195" t="s">
        <v>1393</v>
      </c>
      <c r="B24" s="1193">
        <f>+'76'!S18+'78'!S17</f>
        <v>5875</v>
      </c>
      <c r="C24" s="332">
        <f t="shared" si="3"/>
        <v>5404</v>
      </c>
      <c r="D24" s="1249">
        <f t="shared" ref="D24:D32" si="7">+C24/B24*100</f>
        <v>91.982978723404258</v>
      </c>
      <c r="E24" s="1193">
        <f t="shared" si="4"/>
        <v>158</v>
      </c>
      <c r="F24" s="1249">
        <f t="shared" si="5"/>
        <v>2.9237601776461881</v>
      </c>
    </row>
    <row r="25" spans="1:14" ht="31.5" customHeight="1">
      <c r="A25" s="1195" t="s">
        <v>1394</v>
      </c>
      <c r="B25" s="1193">
        <f>+'76'!S19+'78'!S19</f>
        <v>2433</v>
      </c>
      <c r="C25" s="332">
        <f t="shared" si="3"/>
        <v>2179</v>
      </c>
      <c r="D25" s="1249">
        <f t="shared" si="7"/>
        <v>89.560213727907936</v>
      </c>
      <c r="E25" s="1193">
        <f t="shared" si="4"/>
        <v>0</v>
      </c>
      <c r="F25" s="1249">
        <f t="shared" si="5"/>
        <v>0</v>
      </c>
    </row>
    <row r="26" spans="1:14" ht="31.5" customHeight="1">
      <c r="A26" s="1195" t="s">
        <v>1395</v>
      </c>
      <c r="B26" s="1193">
        <f>+'76'!S16+'78'!S16</f>
        <v>12968</v>
      </c>
      <c r="C26" s="332">
        <f t="shared" si="3"/>
        <v>11883</v>
      </c>
      <c r="D26" s="1249">
        <f t="shared" si="7"/>
        <v>91.633251079580504</v>
      </c>
      <c r="E26" s="1193">
        <f t="shared" si="4"/>
        <v>3074</v>
      </c>
      <c r="F26" s="1249">
        <f t="shared" si="5"/>
        <v>25.868888327863331</v>
      </c>
    </row>
    <row r="27" spans="1:14" ht="31.5" customHeight="1">
      <c r="A27" s="1195" t="s">
        <v>1400</v>
      </c>
      <c r="B27" s="1193">
        <f>+'76'!S21</f>
        <v>1478</v>
      </c>
      <c r="C27" s="332">
        <f t="shared" si="3"/>
        <v>1305</v>
      </c>
      <c r="D27" s="1249">
        <f t="shared" si="7"/>
        <v>88.294993234100133</v>
      </c>
      <c r="E27" s="1193">
        <f t="shared" si="4"/>
        <v>0</v>
      </c>
      <c r="F27" s="1249">
        <f t="shared" si="5"/>
        <v>0</v>
      </c>
    </row>
    <row r="28" spans="1:14" ht="31.5" customHeight="1">
      <c r="A28" s="1195" t="s">
        <v>1396</v>
      </c>
      <c r="B28" s="1193">
        <f>+'76'!S22</f>
        <v>1753</v>
      </c>
      <c r="C28" s="332">
        <f t="shared" si="3"/>
        <v>1672</v>
      </c>
      <c r="D28" s="1249">
        <f t="shared" si="7"/>
        <v>95.379349686252141</v>
      </c>
      <c r="E28" s="1193">
        <f t="shared" si="4"/>
        <v>0</v>
      </c>
      <c r="F28" s="1249">
        <f t="shared" si="5"/>
        <v>0</v>
      </c>
    </row>
    <row r="29" spans="1:14" ht="31.5" customHeight="1">
      <c r="A29" s="1195" t="s">
        <v>1397</v>
      </c>
      <c r="B29" s="1193">
        <f>+'76'!S23+'78'!S23</f>
        <v>3749</v>
      </c>
      <c r="C29" s="332">
        <f t="shared" si="3"/>
        <v>3181</v>
      </c>
      <c r="D29" s="1249">
        <f t="shared" si="7"/>
        <v>84.849293144838626</v>
      </c>
      <c r="E29" s="1193">
        <f t="shared" si="4"/>
        <v>1</v>
      </c>
      <c r="F29" s="1249">
        <f t="shared" si="5"/>
        <v>3.1436655139893112E-2</v>
      </c>
    </row>
    <row r="30" spans="1:14" ht="31.5" customHeight="1">
      <c r="A30" s="1195" t="s">
        <v>1399</v>
      </c>
      <c r="B30" s="1193">
        <f>+'76'!S20</f>
        <v>1250</v>
      </c>
      <c r="C30" s="332">
        <f t="shared" si="3"/>
        <v>1155</v>
      </c>
      <c r="D30" s="1249">
        <f t="shared" si="7"/>
        <v>92.4</v>
      </c>
      <c r="E30" s="1193">
        <f t="shared" si="4"/>
        <v>1</v>
      </c>
      <c r="F30" s="1249">
        <f t="shared" si="5"/>
        <v>8.6580086580086577E-2</v>
      </c>
    </row>
    <row r="31" spans="1:14" ht="31.5" customHeight="1">
      <c r="A31" s="1195" t="s">
        <v>1398</v>
      </c>
      <c r="B31" s="1193">
        <f>+'76'!S24</f>
        <v>1017</v>
      </c>
      <c r="C31" s="332">
        <f t="shared" si="3"/>
        <v>826</v>
      </c>
      <c r="D31" s="1249">
        <f t="shared" si="7"/>
        <v>81.219272369714844</v>
      </c>
      <c r="E31" s="1193">
        <f t="shared" si="4"/>
        <v>0</v>
      </c>
      <c r="F31" s="1249">
        <f t="shared" si="5"/>
        <v>0</v>
      </c>
    </row>
    <row r="32" spans="1:14" ht="31.5" customHeight="1">
      <c r="A32" s="1196" t="s">
        <v>509</v>
      </c>
      <c r="B32" s="671">
        <f>SUM(B22:B31)</f>
        <v>95471</v>
      </c>
      <c r="C32" s="334">
        <f t="shared" si="3"/>
        <v>86170</v>
      </c>
      <c r="D32" s="1250">
        <f t="shared" si="7"/>
        <v>90.257774612185898</v>
      </c>
      <c r="E32" s="671">
        <f t="shared" si="4"/>
        <v>11498</v>
      </c>
      <c r="F32" s="1251">
        <f t="shared" si="5"/>
        <v>13.343390971335731</v>
      </c>
    </row>
  </sheetData>
  <mergeCells count="4">
    <mergeCell ref="A1:N1"/>
    <mergeCell ref="A3:N3"/>
    <mergeCell ref="B20:D20"/>
    <mergeCell ref="E20:F20"/>
  </mergeCells>
  <printOptions horizontalCentered="1" verticalCentered="1" gridLinesSet="0"/>
  <pageMargins left="0.19685039370078741" right="0.78740157480314965" top="0.27559055118110237" bottom="0.23622047244094491" header="0.39370078740157483" footer="0.39370078740157483"/>
  <pageSetup paperSize="5" scale="73" orientation="landscape" horizontalDpi="300" verticalDpi="300" r:id="rId1"/>
  <headerFooter alignWithMargins="0"/>
  <ignoredErrors>
    <ignoredError sqref="E23" formulaRange="1"/>
  </ignoredError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29"/>
  <sheetViews>
    <sheetView showGridLines="0" zoomScale="75" workbookViewId="0">
      <selection activeCell="A13" sqref="A13:B13"/>
    </sheetView>
  </sheetViews>
  <sheetFormatPr baseColWidth="10" defaultColWidth="12.5703125" defaultRowHeight="12.75"/>
  <cols>
    <col min="1" max="1" width="32.5703125" style="826" customWidth="1"/>
    <col min="2" max="2" width="9.85546875" style="826" customWidth="1"/>
    <col min="3" max="3" width="8.140625" style="826" customWidth="1"/>
    <col min="4" max="4" width="8.5703125" style="826" customWidth="1"/>
    <col min="5" max="9" width="8.140625" style="826" customWidth="1"/>
    <col min="10" max="10" width="7" style="826" customWidth="1"/>
    <col min="11" max="12" width="8.140625" style="826" customWidth="1"/>
    <col min="13" max="14" width="9.28515625" style="826" customWidth="1"/>
    <col min="15" max="17" width="8.140625" style="826" customWidth="1"/>
    <col min="18" max="19" width="9.5703125" style="826" customWidth="1"/>
    <col min="20" max="21" width="9.28515625" style="826" customWidth="1"/>
    <col min="22" max="22" width="8.28515625" style="826" customWidth="1"/>
    <col min="23" max="23" width="8.85546875" style="826" customWidth="1"/>
    <col min="24" max="25" width="8.5703125" style="826" customWidth="1"/>
    <col min="26" max="26" width="10.85546875" style="764" customWidth="1"/>
    <col min="27" max="27" width="9.28515625" style="764" customWidth="1"/>
    <col min="28" max="16384" width="12.5703125" style="764"/>
  </cols>
  <sheetData>
    <row r="1" spans="1:27">
      <c r="A1" s="761" t="s">
        <v>184</v>
      </c>
      <c r="B1" s="761"/>
      <c r="C1" s="762"/>
      <c r="D1" s="762"/>
      <c r="E1" s="762"/>
      <c r="F1" s="762"/>
      <c r="G1" s="762"/>
      <c r="H1" s="762"/>
      <c r="I1" s="762"/>
      <c r="J1" s="762"/>
      <c r="K1" s="763"/>
      <c r="L1" s="762"/>
      <c r="M1" s="762"/>
      <c r="N1" s="762"/>
      <c r="O1" s="762"/>
      <c r="P1" s="762"/>
      <c r="Q1" s="762"/>
      <c r="R1" s="762"/>
      <c r="S1" s="762"/>
      <c r="T1" s="762"/>
      <c r="U1" s="762"/>
      <c r="V1" s="762"/>
      <c r="W1" s="762"/>
      <c r="X1" s="762"/>
      <c r="Y1" s="762"/>
    </row>
    <row r="2" spans="1:27">
      <c r="A2" s="761"/>
      <c r="B2" s="761"/>
      <c r="C2" s="762"/>
      <c r="D2" s="762"/>
      <c r="E2" s="762"/>
      <c r="F2" s="762"/>
      <c r="G2" s="762"/>
      <c r="H2" s="762"/>
      <c r="I2" s="762"/>
      <c r="J2" s="762"/>
      <c r="K2" s="762"/>
      <c r="L2" s="762"/>
      <c r="M2" s="762"/>
      <c r="N2" s="762"/>
      <c r="O2" s="762"/>
      <c r="P2" s="762"/>
      <c r="Q2" s="762"/>
      <c r="R2" s="762"/>
      <c r="S2" s="762"/>
      <c r="T2" s="762"/>
      <c r="U2" s="762"/>
      <c r="V2" s="762"/>
      <c r="W2" s="762"/>
      <c r="X2" s="762"/>
      <c r="Y2" s="762"/>
    </row>
    <row r="3" spans="1:27">
      <c r="A3" s="761" t="str">
        <f>+'74'!A3</f>
        <v>SERVICIO DE SALUD   ACONCAGUA   2015</v>
      </c>
      <c r="B3" s="761"/>
      <c r="C3" s="762"/>
      <c r="D3" s="762"/>
      <c r="E3" s="762"/>
      <c r="F3" s="762"/>
      <c r="G3" s="762"/>
      <c r="H3" s="762"/>
      <c r="I3" s="762"/>
      <c r="J3" s="762"/>
      <c r="K3" s="762"/>
      <c r="L3" s="762"/>
      <c r="M3" s="762"/>
      <c r="N3" s="762"/>
      <c r="O3" s="762"/>
      <c r="P3" s="762"/>
      <c r="Q3" s="762"/>
      <c r="R3" s="762"/>
      <c r="S3" s="762"/>
      <c r="T3" s="762"/>
      <c r="U3" s="762"/>
      <c r="V3" s="762"/>
      <c r="W3" s="762"/>
      <c r="X3" s="762"/>
      <c r="Y3" s="762"/>
    </row>
    <row r="4" spans="1:27">
      <c r="A4" s="762"/>
      <c r="B4" s="762"/>
      <c r="C4" s="762"/>
      <c r="D4" s="762"/>
      <c r="E4" s="762"/>
      <c r="F4" s="762"/>
      <c r="G4" s="762"/>
      <c r="H4" s="762"/>
      <c r="I4" s="762"/>
      <c r="J4" s="762"/>
      <c r="K4" s="762"/>
      <c r="L4" s="762"/>
      <c r="M4" s="762"/>
      <c r="N4" s="762"/>
      <c r="O4" s="762"/>
      <c r="P4" s="762"/>
      <c r="Q4" s="762"/>
      <c r="R4" s="762"/>
      <c r="S4" s="762"/>
      <c r="T4" s="762"/>
      <c r="U4" s="762"/>
      <c r="V4" s="762"/>
      <c r="W4" s="762"/>
      <c r="X4" s="762"/>
      <c r="Y4" s="762"/>
    </row>
    <row r="5" spans="1:27">
      <c r="A5" s="762"/>
      <c r="B5" s="762"/>
      <c r="C5" s="762"/>
      <c r="D5" s="762"/>
      <c r="E5" s="762"/>
      <c r="F5" s="762"/>
      <c r="G5" s="762"/>
      <c r="H5" s="762"/>
      <c r="I5" s="762"/>
      <c r="J5" s="762"/>
      <c r="K5" s="762"/>
      <c r="L5" s="762"/>
      <c r="M5" s="762"/>
      <c r="N5" s="762"/>
      <c r="O5" s="762"/>
      <c r="P5" s="762"/>
      <c r="Q5" s="762"/>
      <c r="R5" s="762"/>
      <c r="S5" s="762"/>
      <c r="T5" s="762"/>
      <c r="U5" s="762"/>
      <c r="V5" s="762"/>
      <c r="W5" s="762"/>
      <c r="X5" s="762"/>
      <c r="Y5" s="762"/>
    </row>
    <row r="6" spans="1:27">
      <c r="A6" s="762"/>
      <c r="B6" s="762"/>
      <c r="C6" s="762"/>
      <c r="D6" s="762"/>
      <c r="E6" s="762"/>
      <c r="F6" s="762"/>
      <c r="G6" s="762"/>
      <c r="H6" s="762"/>
      <c r="I6" s="762"/>
      <c r="J6" s="762"/>
      <c r="K6" s="762"/>
      <c r="L6" s="762"/>
      <c r="M6" s="762"/>
      <c r="N6" s="762"/>
      <c r="O6" s="762"/>
      <c r="P6" s="762"/>
      <c r="Q6" s="762"/>
      <c r="R6" s="762"/>
      <c r="S6" s="762"/>
      <c r="T6" s="762"/>
      <c r="U6" s="762"/>
      <c r="V6" s="762"/>
      <c r="W6" s="762"/>
      <c r="X6" s="762"/>
      <c r="Y6" s="762"/>
    </row>
    <row r="7" spans="1:27">
      <c r="A7" s="762"/>
      <c r="B7" s="762"/>
      <c r="C7" s="762"/>
      <c r="D7" s="762"/>
      <c r="E7" s="762"/>
      <c r="F7" s="762"/>
      <c r="G7" s="762"/>
      <c r="H7" s="762"/>
      <c r="I7" s="762"/>
      <c r="J7" s="762"/>
      <c r="K7" s="762"/>
      <c r="L7" s="762"/>
      <c r="M7" s="762"/>
      <c r="N7" s="762"/>
      <c r="O7" s="762"/>
      <c r="P7" s="762"/>
      <c r="Q7" s="762"/>
      <c r="R7" s="762"/>
      <c r="S7" s="762"/>
      <c r="T7" s="762"/>
      <c r="U7" s="762"/>
      <c r="V7" s="762"/>
      <c r="W7" s="762"/>
      <c r="X7" s="762"/>
      <c r="Y7" s="762"/>
    </row>
    <row r="8" spans="1:27" ht="15.75">
      <c r="A8" s="766"/>
      <c r="B8" s="766"/>
      <c r="C8" s="766"/>
      <c r="D8" s="766"/>
      <c r="E8" s="766"/>
      <c r="F8" s="766"/>
      <c r="G8" s="766"/>
      <c r="H8" s="766"/>
      <c r="I8" s="766"/>
      <c r="J8" s="766"/>
      <c r="K8" s="766"/>
      <c r="L8" s="766"/>
      <c r="M8" s="766"/>
      <c r="N8" s="766"/>
      <c r="O8" s="766"/>
      <c r="P8" s="766"/>
      <c r="Q8" s="766"/>
      <c r="R8" s="766"/>
      <c r="S8" s="766"/>
      <c r="T8" s="766"/>
      <c r="U8" s="766"/>
      <c r="V8" s="766"/>
      <c r="W8" s="766"/>
      <c r="X8" s="766"/>
      <c r="Y8" s="766"/>
      <c r="Z8" s="765"/>
      <c r="AA8" s="765"/>
    </row>
    <row r="9" spans="1:27" s="777" customFormat="1" ht="21.75" customHeight="1">
      <c r="A9" s="767"/>
      <c r="B9" s="767"/>
      <c r="C9" s="768"/>
      <c r="D9" s="769"/>
      <c r="E9" s="1472" t="s">
        <v>148</v>
      </c>
      <c r="F9" s="1472"/>
      <c r="G9" s="1472"/>
      <c r="H9" s="1472"/>
      <c r="I9" s="1472"/>
      <c r="J9" s="1472"/>
      <c r="K9" s="1472"/>
      <c r="L9" s="1472"/>
      <c r="M9" s="1472"/>
      <c r="N9" s="1472"/>
      <c r="O9" s="1472"/>
      <c r="P9" s="770"/>
      <c r="Q9" s="1470" t="s">
        <v>149</v>
      </c>
      <c r="R9" s="771" t="s">
        <v>150</v>
      </c>
      <c r="S9" s="772"/>
      <c r="T9" s="773" t="s">
        <v>151</v>
      </c>
      <c r="U9" s="774"/>
      <c r="V9" s="771" t="s">
        <v>152</v>
      </c>
      <c r="W9" s="775"/>
      <c r="X9" s="775"/>
      <c r="Y9" s="772"/>
      <c r="Z9" s="776"/>
      <c r="AA9" s="776"/>
    </row>
    <row r="10" spans="1:27" s="777" customFormat="1" ht="19.5" customHeight="1">
      <c r="A10" s="778" t="s">
        <v>153</v>
      </c>
      <c r="B10" s="1153" t="s">
        <v>1334</v>
      </c>
      <c r="C10" s="779"/>
      <c r="D10" s="780" t="s">
        <v>154</v>
      </c>
      <c r="E10" s="781" t="s">
        <v>155</v>
      </c>
      <c r="F10" s="782"/>
      <c r="G10" s="782"/>
      <c r="H10" s="782"/>
      <c r="I10" s="782"/>
      <c r="J10" s="782"/>
      <c r="K10" s="783"/>
      <c r="L10" s="784" t="s">
        <v>156</v>
      </c>
      <c r="M10" s="784"/>
      <c r="N10" s="784"/>
      <c r="O10" s="784"/>
      <c r="P10" s="780" t="s">
        <v>154</v>
      </c>
      <c r="Q10" s="1471"/>
      <c r="R10" s="785"/>
      <c r="S10" s="786"/>
      <c r="T10" s="787"/>
      <c r="U10" s="787"/>
      <c r="V10" s="788"/>
      <c r="W10" s="789"/>
      <c r="X10" s="789"/>
      <c r="Y10" s="790"/>
      <c r="Z10" s="776"/>
      <c r="AA10" s="776"/>
    </row>
    <row r="11" spans="1:27" s="777" customFormat="1" ht="36" customHeight="1">
      <c r="A11" s="778" t="s">
        <v>157</v>
      </c>
      <c r="B11" s="1153" t="s">
        <v>1335</v>
      </c>
      <c r="C11" s="791" t="s">
        <v>158</v>
      </c>
      <c r="D11" s="791" t="s">
        <v>159</v>
      </c>
      <c r="E11" s="792" t="s">
        <v>1097</v>
      </c>
      <c r="F11" s="793" t="s">
        <v>1095</v>
      </c>
      <c r="G11" s="793" t="s">
        <v>160</v>
      </c>
      <c r="H11" s="794" t="s">
        <v>161</v>
      </c>
      <c r="I11" s="794" t="s">
        <v>162</v>
      </c>
      <c r="J11" s="795" t="s">
        <v>237</v>
      </c>
      <c r="K11" s="793" t="s">
        <v>535</v>
      </c>
      <c r="L11" s="796" t="s">
        <v>163</v>
      </c>
      <c r="M11" s="794" t="s">
        <v>164</v>
      </c>
      <c r="N11" s="797" t="s">
        <v>165</v>
      </c>
      <c r="O11" s="793" t="s">
        <v>535</v>
      </c>
      <c r="P11" s="791" t="s">
        <v>166</v>
      </c>
      <c r="Q11" s="798" t="s">
        <v>167</v>
      </c>
      <c r="R11" s="799" t="s">
        <v>168</v>
      </c>
      <c r="S11" s="793" t="s">
        <v>169</v>
      </c>
      <c r="T11" s="793" t="s">
        <v>535</v>
      </c>
      <c r="U11" s="800" t="s">
        <v>170</v>
      </c>
      <c r="V11" s="794" t="s">
        <v>171</v>
      </c>
      <c r="W11" s="794" t="s">
        <v>172</v>
      </c>
      <c r="X11" s="801" t="s">
        <v>173</v>
      </c>
      <c r="Y11" s="802" t="s">
        <v>174</v>
      </c>
      <c r="Z11" s="776"/>
      <c r="AA11" s="776"/>
    </row>
    <row r="12" spans="1:27" ht="24.75" customHeight="1">
      <c r="A12" s="803" t="s">
        <v>644</v>
      </c>
      <c r="B12" s="1155"/>
      <c r="C12" s="1152">
        <f>SUM(C14:C26)</f>
        <v>234</v>
      </c>
      <c r="D12" s="804">
        <f t="shared" ref="D12:U12" si="0">SUM(D14:D26)</f>
        <v>122</v>
      </c>
      <c r="E12" s="804">
        <f t="shared" si="0"/>
        <v>6101</v>
      </c>
      <c r="F12" s="804">
        <f t="shared" si="0"/>
        <v>0</v>
      </c>
      <c r="G12" s="804">
        <f t="shared" si="0"/>
        <v>3107</v>
      </c>
      <c r="H12" s="804">
        <f t="shared" si="0"/>
        <v>80</v>
      </c>
      <c r="I12" s="804">
        <f t="shared" si="0"/>
        <v>2108</v>
      </c>
      <c r="J12" s="804">
        <f t="shared" si="0"/>
        <v>2441</v>
      </c>
      <c r="K12" s="804">
        <f>SUM(K14:K26)-J12</f>
        <v>11396</v>
      </c>
      <c r="L12" s="804">
        <f t="shared" si="0"/>
        <v>11047</v>
      </c>
      <c r="M12" s="804">
        <f t="shared" si="0"/>
        <v>2440</v>
      </c>
      <c r="N12" s="804">
        <f t="shared" si="0"/>
        <v>374</v>
      </c>
      <c r="O12" s="805">
        <f>L12+N12</f>
        <v>11421</v>
      </c>
      <c r="P12" s="804">
        <f t="shared" si="0"/>
        <v>98</v>
      </c>
      <c r="Q12" s="804">
        <f t="shared" si="0"/>
        <v>595</v>
      </c>
      <c r="R12" s="804">
        <f t="shared" si="0"/>
        <v>85252</v>
      </c>
      <c r="S12" s="804">
        <f t="shared" si="0"/>
        <v>54982</v>
      </c>
      <c r="T12" s="804">
        <f t="shared" si="0"/>
        <v>54536</v>
      </c>
      <c r="U12" s="804">
        <f t="shared" si="0"/>
        <v>50102</v>
      </c>
      <c r="V12" s="806">
        <f>S12/R12*100</f>
        <v>64.493501618730349</v>
      </c>
      <c r="W12" s="807">
        <f>+T12/O12</f>
        <v>4.7750634795552056</v>
      </c>
      <c r="X12" s="808">
        <f>+O12/(R12/30.4)</f>
        <v>4.0726129592267633</v>
      </c>
      <c r="Y12" s="809">
        <f>(+R12-S12)/O12</f>
        <v>2.6503808773312318</v>
      </c>
      <c r="Z12" s="765"/>
      <c r="AA12" s="765"/>
    </row>
    <row r="13" spans="1:27" ht="24.75" customHeight="1">
      <c r="A13" s="1148" t="s">
        <v>1507</v>
      </c>
      <c r="B13" s="778">
        <v>401</v>
      </c>
      <c r="C13" s="1310"/>
      <c r="D13" s="814"/>
      <c r="E13" s="1310"/>
      <c r="F13" s="814"/>
      <c r="G13" s="814"/>
      <c r="H13" s="814"/>
      <c r="I13" s="814"/>
      <c r="J13" s="814"/>
      <c r="K13" s="805"/>
      <c r="L13" s="814"/>
      <c r="M13" s="814"/>
      <c r="N13" s="814"/>
      <c r="O13" s="805"/>
      <c r="P13" s="814"/>
      <c r="Q13" s="814"/>
      <c r="R13" s="814"/>
      <c r="S13" s="814"/>
      <c r="T13" s="814"/>
      <c r="U13" s="805"/>
      <c r="V13" s="806"/>
      <c r="W13" s="807"/>
      <c r="X13" s="808"/>
      <c r="Y13" s="809"/>
      <c r="Z13" s="765"/>
      <c r="AA13" s="765"/>
    </row>
    <row r="14" spans="1:27" ht="24.75" customHeight="1">
      <c r="A14" s="1148" t="s">
        <v>1336</v>
      </c>
      <c r="B14" s="778">
        <v>403</v>
      </c>
      <c r="C14" s="1149">
        <v>110</v>
      </c>
      <c r="D14" s="831">
        <v>71</v>
      </c>
      <c r="E14" s="1149">
        <v>3175</v>
      </c>
      <c r="F14" s="831"/>
      <c r="G14" s="831">
        <v>2019</v>
      </c>
      <c r="H14" s="831">
        <v>8</v>
      </c>
      <c r="I14" s="831">
        <v>29</v>
      </c>
      <c r="J14" s="831">
        <v>640</v>
      </c>
      <c r="K14" s="805">
        <f t="shared" ref="K14:K25" si="1">SUM(E14:J14)</f>
        <v>5871</v>
      </c>
      <c r="L14" s="831">
        <v>5188</v>
      </c>
      <c r="M14" s="831">
        <v>469</v>
      </c>
      <c r="N14" s="831">
        <v>229</v>
      </c>
      <c r="O14" s="805">
        <f t="shared" ref="O14:O25" si="2">SUM(L14:N14)</f>
        <v>5886</v>
      </c>
      <c r="P14" s="814">
        <f t="shared" ref="P14:P25" si="3">SUM(D14,K14)-O14</f>
        <v>56</v>
      </c>
      <c r="Q14" s="831">
        <v>95</v>
      </c>
      <c r="R14" s="831">
        <v>40138</v>
      </c>
      <c r="S14" s="831">
        <v>30899</v>
      </c>
      <c r="T14" s="831">
        <v>31117</v>
      </c>
      <c r="U14" s="830">
        <v>30646</v>
      </c>
      <c r="V14" s="806">
        <f t="shared" ref="V14" si="4">S14/R14*100</f>
        <v>76.981912402212373</v>
      </c>
      <c r="W14" s="807">
        <f t="shared" ref="W14" si="5">+T14/O14</f>
        <v>5.2866123003737684</v>
      </c>
      <c r="X14" s="808">
        <f t="shared" ref="X14" si="6">+O14/(R14/30.4)</f>
        <v>4.4579799691065825</v>
      </c>
      <c r="Y14" s="809">
        <f t="shared" ref="Y14" si="7">(+R14-S14)/O14</f>
        <v>1.5696568127760788</v>
      </c>
      <c r="Z14" s="765"/>
      <c r="AA14" s="765"/>
    </row>
    <row r="15" spans="1:27" ht="24.75" customHeight="1">
      <c r="A15" s="1148" t="s">
        <v>1337</v>
      </c>
      <c r="B15" s="778">
        <v>404</v>
      </c>
      <c r="C15" s="1149"/>
      <c r="D15" s="831"/>
      <c r="E15" s="1149"/>
      <c r="F15" s="831"/>
      <c r="G15" s="831"/>
      <c r="H15" s="831"/>
      <c r="I15" s="831"/>
      <c r="J15" s="831"/>
      <c r="K15" s="805">
        <f t="shared" si="1"/>
        <v>0</v>
      </c>
      <c r="L15" s="831"/>
      <c r="M15" s="831"/>
      <c r="N15" s="831"/>
      <c r="O15" s="805">
        <f t="shared" si="2"/>
        <v>0</v>
      </c>
      <c r="P15" s="814">
        <f t="shared" si="3"/>
        <v>0</v>
      </c>
      <c r="Q15" s="831"/>
      <c r="R15" s="831"/>
      <c r="S15" s="831"/>
      <c r="T15" s="831"/>
      <c r="U15" s="830"/>
      <c r="V15" s="806"/>
      <c r="W15" s="807"/>
      <c r="X15" s="808"/>
      <c r="Y15" s="809"/>
      <c r="Z15" s="765"/>
      <c r="AA15" s="765"/>
    </row>
    <row r="16" spans="1:27" ht="24.75" customHeight="1">
      <c r="A16" s="810" t="s">
        <v>175</v>
      </c>
      <c r="B16" s="778">
        <v>416</v>
      </c>
      <c r="C16" s="832">
        <v>40</v>
      </c>
      <c r="D16" s="812">
        <v>16</v>
      </c>
      <c r="E16" s="832">
        <v>1911</v>
      </c>
      <c r="F16" s="815"/>
      <c r="G16" s="815">
        <v>556</v>
      </c>
      <c r="H16" s="815"/>
      <c r="I16" s="815">
        <v>9</v>
      </c>
      <c r="J16" s="813">
        <v>383</v>
      </c>
      <c r="K16" s="805">
        <f t="shared" si="1"/>
        <v>2859</v>
      </c>
      <c r="L16" s="813">
        <v>2475</v>
      </c>
      <c r="M16" s="832">
        <v>385</v>
      </c>
      <c r="N16" s="813">
        <v>1</v>
      </c>
      <c r="O16" s="805">
        <f t="shared" si="2"/>
        <v>2861</v>
      </c>
      <c r="P16" s="814">
        <f t="shared" si="3"/>
        <v>14</v>
      </c>
      <c r="Q16" s="813">
        <v>40</v>
      </c>
      <c r="R16" s="813">
        <v>14600</v>
      </c>
      <c r="S16" s="832">
        <v>8434</v>
      </c>
      <c r="T16" s="813">
        <v>8523</v>
      </c>
      <c r="U16" s="832">
        <v>8406</v>
      </c>
      <c r="V16" s="806">
        <f t="shared" ref="V16:V25" si="8">S16/R16*100</f>
        <v>57.767123287671232</v>
      </c>
      <c r="W16" s="807">
        <f t="shared" ref="W16:W25" si="9">+T16/O16</f>
        <v>2.9790283117790981</v>
      </c>
      <c r="X16" s="808">
        <f t="shared" ref="X16:X25" si="10">+O16/(R16/30.4)</f>
        <v>5.9571506849315066</v>
      </c>
      <c r="Y16" s="809">
        <f t="shared" ref="Y16:Y25" si="11">(+R16-S16)/O16</f>
        <v>2.1551904928346732</v>
      </c>
      <c r="Z16" s="765"/>
      <c r="AA16" s="765"/>
    </row>
    <row r="17" spans="1:27" ht="24.75" customHeight="1">
      <c r="A17" s="1148" t="s">
        <v>1338</v>
      </c>
      <c r="B17" s="778">
        <v>407</v>
      </c>
      <c r="C17" s="832"/>
      <c r="D17" s="812"/>
      <c r="E17" s="832"/>
      <c r="F17" s="813"/>
      <c r="G17" s="813"/>
      <c r="H17" s="813"/>
      <c r="I17" s="813"/>
      <c r="J17" s="813"/>
      <c r="K17" s="805"/>
      <c r="L17" s="813"/>
      <c r="M17" s="832"/>
      <c r="N17" s="813"/>
      <c r="O17" s="805"/>
      <c r="P17" s="814"/>
      <c r="Q17" s="813"/>
      <c r="R17" s="813"/>
      <c r="S17" s="832"/>
      <c r="T17" s="813"/>
      <c r="U17" s="832"/>
      <c r="V17" s="806"/>
      <c r="W17" s="807"/>
      <c r="X17" s="808"/>
      <c r="Y17" s="809"/>
      <c r="Z17" s="765"/>
      <c r="AA17" s="765"/>
    </row>
    <row r="18" spans="1:27" ht="24.75" customHeight="1">
      <c r="A18" s="1148" t="s">
        <v>1339</v>
      </c>
      <c r="B18" s="778">
        <v>409</v>
      </c>
      <c r="C18" s="832">
        <v>30</v>
      </c>
      <c r="D18" s="812">
        <v>7</v>
      </c>
      <c r="E18" s="832">
        <v>444</v>
      </c>
      <c r="F18" s="813"/>
      <c r="G18" s="813">
        <v>500</v>
      </c>
      <c r="H18" s="813">
        <v>22</v>
      </c>
      <c r="I18" s="813">
        <v>26</v>
      </c>
      <c r="J18" s="813">
        <v>251</v>
      </c>
      <c r="K18" s="805">
        <f t="shared" ref="K18" si="12">SUM(E18:J18)</f>
        <v>1243</v>
      </c>
      <c r="L18" s="813">
        <v>1098</v>
      </c>
      <c r="M18" s="832">
        <v>143</v>
      </c>
      <c r="N18" s="813">
        <v>2</v>
      </c>
      <c r="O18" s="805">
        <f t="shared" ref="O18" si="13">SUM(L18:N18)</f>
        <v>1243</v>
      </c>
      <c r="P18" s="814">
        <f t="shared" ref="P18" si="14">SUM(D18,K18)-O18</f>
        <v>7</v>
      </c>
      <c r="Q18" s="813">
        <v>291</v>
      </c>
      <c r="R18" s="813">
        <v>10900</v>
      </c>
      <c r="S18" s="832">
        <v>3332</v>
      </c>
      <c r="T18" s="813">
        <v>3226</v>
      </c>
      <c r="U18" s="832">
        <v>3173</v>
      </c>
      <c r="V18" s="806">
        <f t="shared" ref="V18" si="15">S18/R18*100</f>
        <v>30.568807339449538</v>
      </c>
      <c r="W18" s="807">
        <f t="shared" ref="W18" si="16">+T18/O18</f>
        <v>2.5953338696701529</v>
      </c>
      <c r="X18" s="808">
        <f t="shared" ref="X18" si="17">+O18/(R18/30.4)</f>
        <v>3.4667155963302752</v>
      </c>
      <c r="Y18" s="809">
        <f t="shared" ref="Y18" si="18">(+R18-S18)/O18</f>
        <v>6.0884955752212386</v>
      </c>
      <c r="Z18" s="765"/>
      <c r="AA18" s="765"/>
    </row>
    <row r="19" spans="1:27" ht="24.75" customHeight="1">
      <c r="A19" s="810" t="s">
        <v>176</v>
      </c>
      <c r="B19" s="778">
        <v>413</v>
      </c>
      <c r="C19" s="832">
        <v>8</v>
      </c>
      <c r="D19" s="812">
        <v>5</v>
      </c>
      <c r="E19" s="832">
        <v>31</v>
      </c>
      <c r="F19" s="813"/>
      <c r="G19" s="813">
        <v>4</v>
      </c>
      <c r="H19" s="813">
        <v>1</v>
      </c>
      <c r="I19" s="813">
        <v>73</v>
      </c>
      <c r="J19" s="813">
        <v>171</v>
      </c>
      <c r="K19" s="805">
        <f t="shared" si="1"/>
        <v>280</v>
      </c>
      <c r="L19" s="813">
        <v>269</v>
      </c>
      <c r="M19" s="832">
        <v>12</v>
      </c>
      <c r="N19" s="813"/>
      <c r="O19" s="805">
        <f t="shared" si="2"/>
        <v>281</v>
      </c>
      <c r="P19" s="814">
        <f t="shared" si="3"/>
        <v>4</v>
      </c>
      <c r="Q19" s="813">
        <v>5</v>
      </c>
      <c r="R19" s="813">
        <v>2920</v>
      </c>
      <c r="S19" s="832">
        <v>1518</v>
      </c>
      <c r="T19" s="813">
        <v>1596</v>
      </c>
      <c r="U19" s="832">
        <v>1580</v>
      </c>
      <c r="V19" s="806">
        <f t="shared" si="8"/>
        <v>51.986301369863007</v>
      </c>
      <c r="W19" s="807">
        <f t="shared" si="9"/>
        <v>5.6797153024911031</v>
      </c>
      <c r="X19" s="808">
        <f t="shared" si="10"/>
        <v>2.9254794520547946</v>
      </c>
      <c r="Y19" s="809">
        <f t="shared" si="11"/>
        <v>4.9893238434163703</v>
      </c>
      <c r="Z19" s="765"/>
      <c r="AA19" s="765"/>
    </row>
    <row r="20" spans="1:27" ht="24.75" customHeight="1">
      <c r="A20" s="1148" t="s">
        <v>1331</v>
      </c>
      <c r="B20" s="1153">
        <v>412</v>
      </c>
      <c r="C20" s="832">
        <v>6</v>
      </c>
      <c r="D20" s="812">
        <v>0</v>
      </c>
      <c r="E20" s="832">
        <v>145</v>
      </c>
      <c r="F20" s="813"/>
      <c r="G20" s="813">
        <v>2</v>
      </c>
      <c r="H20" s="813">
        <v>8</v>
      </c>
      <c r="I20" s="813">
        <v>15</v>
      </c>
      <c r="J20" s="813">
        <v>39</v>
      </c>
      <c r="K20" s="805">
        <f t="shared" si="1"/>
        <v>209</v>
      </c>
      <c r="L20" s="813">
        <v>60</v>
      </c>
      <c r="M20" s="832">
        <v>144</v>
      </c>
      <c r="N20" s="813">
        <v>2</v>
      </c>
      <c r="O20" s="805">
        <f t="shared" si="2"/>
        <v>206</v>
      </c>
      <c r="P20" s="814">
        <f t="shared" si="3"/>
        <v>3</v>
      </c>
      <c r="Q20" s="813">
        <v>18</v>
      </c>
      <c r="R20" s="813">
        <v>2119</v>
      </c>
      <c r="S20" s="832">
        <v>1250</v>
      </c>
      <c r="T20" s="813">
        <v>449</v>
      </c>
      <c r="U20" s="832">
        <v>438</v>
      </c>
      <c r="V20" s="806">
        <f t="shared" ref="V20" si="19">S20/R20*100</f>
        <v>58.990089664936299</v>
      </c>
      <c r="W20" s="807">
        <f t="shared" ref="W20" si="20">+T20/O20</f>
        <v>2.179611650485437</v>
      </c>
      <c r="X20" s="808">
        <f t="shared" ref="X20" si="21">+O20/(R20/30.4)</f>
        <v>2.9553563001415761</v>
      </c>
      <c r="Y20" s="809">
        <f t="shared" ref="Y20" si="22">(+R20-S20)/O20</f>
        <v>4.2184466019417473</v>
      </c>
      <c r="Z20" s="765"/>
      <c r="AA20" s="765"/>
    </row>
    <row r="21" spans="1:27" ht="24.75" customHeight="1">
      <c r="A21" s="810" t="s">
        <v>177</v>
      </c>
      <c r="B21" s="778">
        <v>414</v>
      </c>
      <c r="C21" s="832">
        <v>5</v>
      </c>
      <c r="D21" s="812">
        <v>3</v>
      </c>
      <c r="E21" s="832"/>
      <c r="F21" s="813"/>
      <c r="G21" s="813">
        <v>3</v>
      </c>
      <c r="H21" s="813">
        <v>2</v>
      </c>
      <c r="I21" s="813">
        <v>145</v>
      </c>
      <c r="J21" s="813">
        <v>35</v>
      </c>
      <c r="K21" s="805">
        <f t="shared" si="1"/>
        <v>185</v>
      </c>
      <c r="L21" s="813">
        <v>19</v>
      </c>
      <c r="M21" s="832">
        <v>152</v>
      </c>
      <c r="N21" s="813">
        <v>13</v>
      </c>
      <c r="O21" s="805">
        <f t="shared" si="2"/>
        <v>184</v>
      </c>
      <c r="P21" s="814">
        <f t="shared" si="3"/>
        <v>4</v>
      </c>
      <c r="Q21" s="813">
        <v>7</v>
      </c>
      <c r="R21" s="813">
        <v>1825</v>
      </c>
      <c r="S21" s="832">
        <v>1478</v>
      </c>
      <c r="T21" s="813">
        <v>1468</v>
      </c>
      <c r="U21" s="832">
        <v>1450</v>
      </c>
      <c r="V21" s="806">
        <f t="shared" si="8"/>
        <v>80.986301369863014</v>
      </c>
      <c r="W21" s="807">
        <f t="shared" si="9"/>
        <v>7.9782608695652177</v>
      </c>
      <c r="X21" s="808">
        <f t="shared" si="10"/>
        <v>3.0649863013698626</v>
      </c>
      <c r="Y21" s="809">
        <f t="shared" si="11"/>
        <v>1.8858695652173914</v>
      </c>
      <c r="Z21" s="765"/>
      <c r="AA21" s="765"/>
    </row>
    <row r="22" spans="1:27" ht="24.75" customHeight="1">
      <c r="A22" s="810" t="s">
        <v>178</v>
      </c>
      <c r="B22" s="778">
        <v>405</v>
      </c>
      <c r="C22" s="832">
        <v>6</v>
      </c>
      <c r="D22" s="812">
        <v>5</v>
      </c>
      <c r="E22" s="832">
        <v>108</v>
      </c>
      <c r="F22" s="813"/>
      <c r="G22" s="813">
        <v>2</v>
      </c>
      <c r="H22" s="813">
        <v>33</v>
      </c>
      <c r="I22" s="813">
        <v>35</v>
      </c>
      <c r="J22" s="813">
        <v>124</v>
      </c>
      <c r="K22" s="805">
        <f t="shared" si="1"/>
        <v>302</v>
      </c>
      <c r="L22" s="813">
        <v>32</v>
      </c>
      <c r="M22" s="832">
        <v>185</v>
      </c>
      <c r="N22" s="813">
        <v>86</v>
      </c>
      <c r="O22" s="805">
        <f>SUM(L22:N22)</f>
        <v>303</v>
      </c>
      <c r="P22" s="814">
        <f t="shared" si="3"/>
        <v>4</v>
      </c>
      <c r="Q22" s="813">
        <v>22</v>
      </c>
      <c r="R22" s="813">
        <v>2189</v>
      </c>
      <c r="S22" s="832">
        <v>1753</v>
      </c>
      <c r="T22" s="813">
        <v>1757</v>
      </c>
      <c r="U22" s="832">
        <v>1702</v>
      </c>
      <c r="V22" s="806">
        <f t="shared" si="8"/>
        <v>80.082229328460485</v>
      </c>
      <c r="W22" s="807">
        <f t="shared" si="9"/>
        <v>5.7986798679867988</v>
      </c>
      <c r="X22" s="808">
        <f t="shared" si="10"/>
        <v>4.2079488350845136</v>
      </c>
      <c r="Y22" s="809">
        <f t="shared" si="11"/>
        <v>1.438943894389439</v>
      </c>
      <c r="Z22" s="765"/>
      <c r="AA22" s="765"/>
    </row>
    <row r="23" spans="1:27" ht="24.75" customHeight="1">
      <c r="A23" s="810" t="s">
        <v>179</v>
      </c>
      <c r="B23" s="778">
        <v>406</v>
      </c>
      <c r="C23" s="832">
        <v>6</v>
      </c>
      <c r="D23" s="812">
        <v>5</v>
      </c>
      <c r="E23" s="832">
        <v>199</v>
      </c>
      <c r="F23" s="813"/>
      <c r="G23" s="813">
        <v>14</v>
      </c>
      <c r="H23" s="813">
        <v>6</v>
      </c>
      <c r="I23" s="813">
        <v>17</v>
      </c>
      <c r="J23" s="813">
        <v>258</v>
      </c>
      <c r="K23" s="805">
        <f t="shared" si="1"/>
        <v>494</v>
      </c>
      <c r="L23" s="813">
        <v>74</v>
      </c>
      <c r="M23" s="832">
        <v>392</v>
      </c>
      <c r="N23" s="813">
        <v>29</v>
      </c>
      <c r="O23" s="805">
        <f>SUM(L23:N23)</f>
        <v>495</v>
      </c>
      <c r="P23" s="814">
        <f t="shared" si="3"/>
        <v>4</v>
      </c>
      <c r="Q23" s="813">
        <v>6</v>
      </c>
      <c r="R23" s="813">
        <v>2190</v>
      </c>
      <c r="S23" s="832">
        <v>1810</v>
      </c>
      <c r="T23" s="813">
        <v>1776</v>
      </c>
      <c r="U23" s="832">
        <v>1703</v>
      </c>
      <c r="V23" s="806">
        <f t="shared" si="8"/>
        <v>82.648401826484019</v>
      </c>
      <c r="W23" s="807">
        <f t="shared" si="9"/>
        <v>3.5878787878787879</v>
      </c>
      <c r="X23" s="808">
        <f t="shared" si="10"/>
        <v>6.8712328767123276</v>
      </c>
      <c r="Y23" s="809">
        <f t="shared" si="11"/>
        <v>0.76767676767676762</v>
      </c>
      <c r="Z23" s="765"/>
      <c r="AA23" s="765"/>
    </row>
    <row r="24" spans="1:27" ht="24.75" customHeight="1">
      <c r="A24" s="810" t="s">
        <v>787</v>
      </c>
      <c r="B24" s="778">
        <v>415</v>
      </c>
      <c r="C24" s="832">
        <v>6</v>
      </c>
      <c r="D24" s="812">
        <v>4</v>
      </c>
      <c r="E24" s="832">
        <v>4</v>
      </c>
      <c r="F24" s="813"/>
      <c r="G24" s="813">
        <v>4</v>
      </c>
      <c r="H24" s="813"/>
      <c r="I24" s="813">
        <v>90</v>
      </c>
      <c r="J24" s="813">
        <v>121</v>
      </c>
      <c r="K24" s="805">
        <f t="shared" si="1"/>
        <v>219</v>
      </c>
      <c r="L24" s="813">
        <v>59</v>
      </c>
      <c r="M24" s="832">
        <v>163</v>
      </c>
      <c r="N24" s="813">
        <v>1</v>
      </c>
      <c r="O24" s="805">
        <f>SUM(L24:N24)</f>
        <v>223</v>
      </c>
      <c r="P24" s="814">
        <f>SUM(D24,K24)-O24</f>
        <v>0</v>
      </c>
      <c r="Q24" s="813">
        <v>4</v>
      </c>
      <c r="R24" s="813">
        <v>2190</v>
      </c>
      <c r="S24" s="832">
        <v>1017</v>
      </c>
      <c r="T24" s="813">
        <v>1017</v>
      </c>
      <c r="U24" s="832">
        <v>1004</v>
      </c>
      <c r="V24" s="806">
        <f t="shared" si="8"/>
        <v>46.438356164383556</v>
      </c>
      <c r="W24" s="807">
        <f t="shared" si="9"/>
        <v>4.5605381165919283</v>
      </c>
      <c r="X24" s="808">
        <f t="shared" si="10"/>
        <v>3.0955251141552509</v>
      </c>
      <c r="Y24" s="809">
        <f t="shared" si="11"/>
        <v>5.260089686098655</v>
      </c>
      <c r="Z24" s="765"/>
      <c r="AA24" s="765"/>
    </row>
    <row r="25" spans="1:27" ht="24.75" customHeight="1">
      <c r="A25" s="810" t="s">
        <v>180</v>
      </c>
      <c r="B25" s="778">
        <v>330</v>
      </c>
      <c r="C25" s="832">
        <v>17</v>
      </c>
      <c r="D25" s="812">
        <v>6</v>
      </c>
      <c r="E25" s="832">
        <v>84</v>
      </c>
      <c r="F25" s="813"/>
      <c r="G25" s="813">
        <v>3</v>
      </c>
      <c r="H25" s="813"/>
      <c r="I25" s="813">
        <v>1669</v>
      </c>
      <c r="J25" s="813">
        <v>419</v>
      </c>
      <c r="K25" s="805">
        <f t="shared" si="1"/>
        <v>2175</v>
      </c>
      <c r="L25" s="813">
        <v>1773</v>
      </c>
      <c r="M25" s="832">
        <v>395</v>
      </c>
      <c r="N25" s="813">
        <v>11</v>
      </c>
      <c r="O25" s="805">
        <f t="shared" si="2"/>
        <v>2179</v>
      </c>
      <c r="P25" s="814">
        <f t="shared" si="3"/>
        <v>2</v>
      </c>
      <c r="Q25" s="813">
        <v>107</v>
      </c>
      <c r="R25" s="813">
        <v>6181</v>
      </c>
      <c r="S25" s="832">
        <v>3491</v>
      </c>
      <c r="T25" s="813">
        <v>3607</v>
      </c>
      <c r="U25" s="832"/>
      <c r="V25" s="806">
        <f t="shared" si="8"/>
        <v>56.479534055978</v>
      </c>
      <c r="W25" s="807">
        <f t="shared" si="9"/>
        <v>1.6553464892152363</v>
      </c>
      <c r="X25" s="808">
        <f t="shared" si="10"/>
        <v>10.716971363856981</v>
      </c>
      <c r="Y25" s="809">
        <f t="shared" si="11"/>
        <v>1.2345112436897661</v>
      </c>
      <c r="Z25" s="765"/>
      <c r="AA25" s="765"/>
    </row>
    <row r="26" spans="1:27" ht="24.75" customHeight="1">
      <c r="A26" s="816" t="s">
        <v>1015</v>
      </c>
      <c r="B26" s="816"/>
      <c r="C26" s="817"/>
      <c r="D26" s="818"/>
      <c r="E26" s="817"/>
      <c r="F26" s="819"/>
      <c r="G26" s="819"/>
      <c r="H26" s="819"/>
      <c r="I26" s="819"/>
      <c r="J26" s="818"/>
      <c r="K26" s="820"/>
      <c r="L26" s="1090"/>
      <c r="M26" s="1089"/>
      <c r="N26" s="1090"/>
      <c r="O26" s="1091"/>
      <c r="P26" s="821"/>
      <c r="Q26" s="819"/>
      <c r="R26" s="833"/>
      <c r="S26" s="834"/>
      <c r="T26" s="833"/>
      <c r="U26" s="834"/>
      <c r="V26" s="822"/>
      <c r="W26" s="823"/>
      <c r="X26" s="824"/>
      <c r="Y26" s="825"/>
      <c r="Z26" s="765"/>
      <c r="AA26" s="765"/>
    </row>
    <row r="27" spans="1:27" ht="15.75">
      <c r="Z27" s="765"/>
      <c r="AA27" s="765"/>
    </row>
    <row r="28" spans="1:27" ht="15.75">
      <c r="Z28" s="765"/>
      <c r="AA28" s="765"/>
    </row>
    <row r="29" spans="1:27" ht="15.75">
      <c r="Z29" s="765"/>
      <c r="AA29" s="765"/>
    </row>
  </sheetData>
  <mergeCells count="2">
    <mergeCell ref="Q9:Q10"/>
    <mergeCell ref="E9:O9"/>
  </mergeCells>
  <phoneticPr fontId="56" type="noConversion"/>
  <printOptions horizontalCentered="1" verticalCentered="1" gridLinesSet="0"/>
  <pageMargins left="0.98425196850393704" right="0.78740157480314965" top="0.27559055118110237" bottom="0.23622047244094491" header="0.39370078740157483" footer="0.39370078740157483"/>
  <pageSetup paperSize="5" scale="73" orientation="landscape" horizontalDpi="300" verticalDpi="300"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0"/>
  <sheetViews>
    <sheetView showGridLines="0" zoomScale="75" workbookViewId="0">
      <selection sqref="A1:N1"/>
    </sheetView>
  </sheetViews>
  <sheetFormatPr baseColWidth="10" defaultColWidth="12.5703125" defaultRowHeight="12.75"/>
  <cols>
    <col min="1" max="1" width="50.140625" style="826" customWidth="1"/>
    <col min="2" max="14" width="12.42578125" style="826" customWidth="1"/>
    <col min="15" max="17" width="8.140625" style="826" customWidth="1"/>
    <col min="18" max="19" width="9.5703125" style="826" customWidth="1"/>
    <col min="20" max="21" width="9.28515625" style="826" customWidth="1"/>
    <col min="22" max="22" width="8.28515625" style="826" customWidth="1"/>
    <col min="23" max="23" width="8.85546875" style="826" customWidth="1"/>
    <col min="24" max="25" width="8.5703125" style="826" customWidth="1"/>
    <col min="26" max="26" width="10.85546875" style="764" customWidth="1"/>
    <col min="27" max="27" width="9.28515625" style="764" customWidth="1"/>
    <col min="28" max="16384" width="12.5703125" style="764"/>
  </cols>
  <sheetData>
    <row r="1" spans="1:27">
      <c r="A1" s="1473" t="s">
        <v>1522</v>
      </c>
      <c r="B1" s="1473"/>
      <c r="C1" s="1473"/>
      <c r="D1" s="1473"/>
      <c r="E1" s="1473"/>
      <c r="F1" s="1473"/>
      <c r="G1" s="1473"/>
      <c r="H1" s="1473"/>
      <c r="I1" s="1473"/>
      <c r="J1" s="1473"/>
      <c r="K1" s="1473"/>
      <c r="L1" s="1473"/>
      <c r="M1" s="1473"/>
      <c r="N1" s="1473"/>
      <c r="O1" s="762"/>
      <c r="P1" s="762"/>
      <c r="Q1" s="762"/>
      <c r="R1" s="762"/>
      <c r="S1" s="762"/>
      <c r="T1" s="762"/>
      <c r="U1" s="762"/>
      <c r="V1" s="762"/>
      <c r="W1" s="762"/>
      <c r="X1" s="762"/>
      <c r="Y1" s="762"/>
    </row>
    <row r="2" spans="1:27">
      <c r="A2" s="761"/>
      <c r="B2" s="761"/>
      <c r="C2" s="762"/>
      <c r="D2" s="762"/>
      <c r="E2" s="762"/>
      <c r="F2" s="762"/>
      <c r="G2" s="762"/>
      <c r="H2" s="762"/>
      <c r="I2" s="762"/>
      <c r="J2" s="762"/>
      <c r="K2" s="762"/>
      <c r="L2" s="762"/>
      <c r="M2" s="762"/>
      <c r="N2" s="762"/>
      <c r="O2" s="762"/>
      <c r="P2" s="762"/>
      <c r="Q2" s="762"/>
      <c r="R2" s="762"/>
      <c r="S2" s="762"/>
      <c r="T2" s="762"/>
      <c r="U2" s="762"/>
      <c r="V2" s="762"/>
      <c r="W2" s="762"/>
      <c r="X2" s="762"/>
      <c r="Y2" s="762"/>
    </row>
    <row r="3" spans="1:27">
      <c r="A3" s="1473" t="str">
        <f>+'74'!A3</f>
        <v>SERVICIO DE SALUD   ACONCAGUA   2015</v>
      </c>
      <c r="B3" s="1473"/>
      <c r="C3" s="1473"/>
      <c r="D3" s="1473"/>
      <c r="E3" s="1473"/>
      <c r="F3" s="1473"/>
      <c r="G3" s="1473"/>
      <c r="H3" s="1473"/>
      <c r="I3" s="1473"/>
      <c r="J3" s="1473"/>
      <c r="K3" s="1473"/>
      <c r="L3" s="1473"/>
      <c r="M3" s="1473"/>
      <c r="N3" s="1473"/>
      <c r="O3" s="762"/>
      <c r="P3" s="762"/>
      <c r="Q3" s="762"/>
      <c r="R3" s="762"/>
      <c r="S3" s="762"/>
      <c r="T3" s="762"/>
      <c r="U3" s="762"/>
      <c r="V3" s="762"/>
      <c r="W3" s="762"/>
      <c r="X3" s="762"/>
      <c r="Y3" s="762"/>
    </row>
    <row r="4" spans="1:27">
      <c r="A4" s="762"/>
      <c r="B4" s="762"/>
      <c r="C4" s="762"/>
      <c r="D4" s="762"/>
      <c r="E4" s="762"/>
      <c r="F4" s="762"/>
      <c r="G4" s="762"/>
      <c r="H4" s="762"/>
      <c r="I4" s="762"/>
      <c r="J4" s="762"/>
      <c r="K4" s="762"/>
      <c r="L4" s="762"/>
      <c r="M4" s="762"/>
      <c r="N4" s="762"/>
      <c r="O4" s="762"/>
      <c r="P4" s="762"/>
      <c r="Q4" s="762"/>
      <c r="R4" s="762"/>
      <c r="S4" s="762"/>
      <c r="T4" s="762"/>
      <c r="U4" s="762"/>
      <c r="V4" s="762"/>
      <c r="W4" s="762"/>
      <c r="X4" s="762"/>
      <c r="Y4" s="762"/>
    </row>
    <row r="5" spans="1:27" ht="15.75">
      <c r="Z5" s="765"/>
      <c r="AA5" s="765"/>
    </row>
    <row r="6" spans="1:27" s="6" customFormat="1" ht="21" customHeight="1">
      <c r="A6" s="1197" t="s">
        <v>1404</v>
      </c>
      <c r="B6" s="1190" t="s">
        <v>509</v>
      </c>
      <c r="C6" s="1188" t="s">
        <v>1380</v>
      </c>
      <c r="D6" s="1188" t="s">
        <v>1381</v>
      </c>
      <c r="E6" s="1188" t="s">
        <v>1382</v>
      </c>
      <c r="F6" s="1188" t="s">
        <v>1383</v>
      </c>
      <c r="G6" s="1188" t="s">
        <v>1384</v>
      </c>
      <c r="H6" s="1188" t="s">
        <v>1385</v>
      </c>
      <c r="I6" s="1188" t="s">
        <v>1386</v>
      </c>
      <c r="J6" s="1188" t="s">
        <v>1387</v>
      </c>
      <c r="K6" s="1188" t="s">
        <v>1388</v>
      </c>
      <c r="L6" s="1188" t="s">
        <v>1389</v>
      </c>
      <c r="M6" s="1188" t="s">
        <v>1390</v>
      </c>
      <c r="N6" s="1189" t="s">
        <v>1391</v>
      </c>
      <c r="O6" s="11"/>
    </row>
    <row r="7" spans="1:27" s="8" customFormat="1" ht="18.75" customHeight="1">
      <c r="A7" s="1194" t="s">
        <v>1392</v>
      </c>
      <c r="B7" s="555">
        <f>SUM(C7:N7)</f>
        <v>28082</v>
      </c>
      <c r="C7" s="556">
        <v>92</v>
      </c>
      <c r="D7" s="556">
        <v>74</v>
      </c>
      <c r="E7" s="556">
        <v>1</v>
      </c>
      <c r="F7" s="556">
        <v>2494</v>
      </c>
      <c r="G7" s="556">
        <v>846</v>
      </c>
      <c r="H7" s="556">
        <v>51</v>
      </c>
      <c r="I7" s="556">
        <v>7558</v>
      </c>
      <c r="J7" s="556">
        <v>10281</v>
      </c>
      <c r="K7" s="556">
        <v>1893</v>
      </c>
      <c r="L7" s="556">
        <v>436</v>
      </c>
      <c r="M7" s="556">
        <v>3051</v>
      </c>
      <c r="N7" s="557">
        <v>1305</v>
      </c>
    </row>
    <row r="8" spans="1:27" s="8" customFormat="1" ht="18.75" customHeight="1">
      <c r="A8" s="1195" t="s">
        <v>1393</v>
      </c>
      <c r="B8" s="549">
        <f t="shared" ref="B8:B15" si="0">SUM(C8:N8)</f>
        <v>3030</v>
      </c>
      <c r="C8" s="548">
        <v>7</v>
      </c>
      <c r="D8" s="548">
        <v>0</v>
      </c>
      <c r="E8" s="548">
        <v>0</v>
      </c>
      <c r="F8" s="548">
        <v>823</v>
      </c>
      <c r="G8" s="548">
        <v>82</v>
      </c>
      <c r="H8" s="548">
        <v>4</v>
      </c>
      <c r="I8" s="548">
        <v>1148</v>
      </c>
      <c r="J8" s="548">
        <v>537</v>
      </c>
      <c r="K8" s="548">
        <v>21</v>
      </c>
      <c r="L8" s="548">
        <v>308</v>
      </c>
      <c r="M8" s="548">
        <v>94</v>
      </c>
      <c r="N8" s="533">
        <v>6</v>
      </c>
    </row>
    <row r="9" spans="1:27" s="8" customFormat="1" ht="18.75" customHeight="1">
      <c r="A9" s="1195" t="s">
        <v>1394</v>
      </c>
      <c r="B9" s="549">
        <f t="shared" si="0"/>
        <v>1291</v>
      </c>
      <c r="C9" s="548">
        <v>2</v>
      </c>
      <c r="D9" s="548">
        <v>0</v>
      </c>
      <c r="E9" s="548">
        <v>0</v>
      </c>
      <c r="F9" s="548">
        <v>14</v>
      </c>
      <c r="G9" s="548">
        <v>0</v>
      </c>
      <c r="H9" s="548">
        <v>6</v>
      </c>
      <c r="I9" s="548">
        <v>976</v>
      </c>
      <c r="J9" s="548">
        <v>0</v>
      </c>
      <c r="K9" s="548">
        <v>1</v>
      </c>
      <c r="L9" s="548">
        <v>292</v>
      </c>
      <c r="M9" s="548">
        <v>0</v>
      </c>
      <c r="N9" s="533">
        <v>0</v>
      </c>
    </row>
    <row r="10" spans="1:27" s="8" customFormat="1" ht="18.75" customHeight="1">
      <c r="A10" s="1195" t="s">
        <v>1395</v>
      </c>
      <c r="B10" s="549">
        <f t="shared" si="0"/>
        <v>7440</v>
      </c>
      <c r="C10" s="548">
        <v>2</v>
      </c>
      <c r="D10" s="548">
        <v>0</v>
      </c>
      <c r="E10" s="548">
        <v>0</v>
      </c>
      <c r="F10" s="548">
        <v>1264</v>
      </c>
      <c r="G10" s="548">
        <v>821</v>
      </c>
      <c r="H10" s="548">
        <v>3</v>
      </c>
      <c r="I10" s="548">
        <v>212</v>
      </c>
      <c r="J10" s="548">
        <v>2916</v>
      </c>
      <c r="K10" s="548">
        <v>30</v>
      </c>
      <c r="L10" s="548">
        <v>23</v>
      </c>
      <c r="M10" s="548">
        <v>2154</v>
      </c>
      <c r="N10" s="533">
        <v>15</v>
      </c>
    </row>
    <row r="11" spans="1:27" s="8" customFormat="1" ht="24">
      <c r="A11" s="1195" t="s">
        <v>1400</v>
      </c>
      <c r="B11" s="549">
        <f t="shared" si="0"/>
        <v>1305</v>
      </c>
      <c r="C11" s="548">
        <v>394</v>
      </c>
      <c r="D11" s="548">
        <v>0</v>
      </c>
      <c r="E11" s="548">
        <v>0</v>
      </c>
      <c r="F11" s="548">
        <v>750</v>
      </c>
      <c r="G11" s="548">
        <v>1</v>
      </c>
      <c r="H11" s="548">
        <v>0</v>
      </c>
      <c r="I11" s="548">
        <v>155</v>
      </c>
      <c r="J11" s="548">
        <v>0</v>
      </c>
      <c r="K11" s="548">
        <v>0</v>
      </c>
      <c r="L11" s="548">
        <v>5</v>
      </c>
      <c r="M11" s="548">
        <v>0</v>
      </c>
      <c r="N11" s="533">
        <v>0</v>
      </c>
    </row>
    <row r="12" spans="1:27" s="8" customFormat="1" ht="20.25" customHeight="1">
      <c r="A12" s="1195" t="s">
        <v>1396</v>
      </c>
      <c r="B12" s="549">
        <f t="shared" si="0"/>
        <v>1672</v>
      </c>
      <c r="C12" s="548">
        <v>1449</v>
      </c>
      <c r="D12" s="548">
        <v>0</v>
      </c>
      <c r="E12" s="548">
        <v>0</v>
      </c>
      <c r="F12" s="548">
        <v>215</v>
      </c>
      <c r="G12" s="548">
        <v>7</v>
      </c>
      <c r="H12" s="548">
        <v>0</v>
      </c>
      <c r="I12" s="548">
        <v>0</v>
      </c>
      <c r="J12" s="548">
        <v>1</v>
      </c>
      <c r="K12" s="548">
        <v>0</v>
      </c>
      <c r="L12" s="548">
        <v>0</v>
      </c>
      <c r="M12" s="548">
        <v>0</v>
      </c>
      <c r="N12" s="533">
        <v>0</v>
      </c>
    </row>
    <row r="13" spans="1:27" s="8" customFormat="1" ht="24">
      <c r="A13" s="1195" t="s">
        <v>1397</v>
      </c>
      <c r="B13" s="549">
        <f t="shared" si="0"/>
        <v>1690</v>
      </c>
      <c r="C13" s="548">
        <v>348</v>
      </c>
      <c r="D13" s="548">
        <v>2</v>
      </c>
      <c r="E13" s="548">
        <v>1</v>
      </c>
      <c r="F13" s="548">
        <v>1088</v>
      </c>
      <c r="G13" s="548">
        <v>168</v>
      </c>
      <c r="H13" s="548">
        <v>1</v>
      </c>
      <c r="I13" s="548">
        <v>35</v>
      </c>
      <c r="J13" s="548">
        <v>45</v>
      </c>
      <c r="K13" s="548">
        <v>2</v>
      </c>
      <c r="L13" s="548">
        <v>0</v>
      </c>
      <c r="M13" s="548">
        <v>0</v>
      </c>
      <c r="N13" s="533">
        <v>0</v>
      </c>
    </row>
    <row r="14" spans="1:27" s="8" customFormat="1" ht="30.75" customHeight="1">
      <c r="A14" s="1195" t="s">
        <v>1399</v>
      </c>
      <c r="B14" s="549">
        <f t="shared" si="0"/>
        <v>1155</v>
      </c>
      <c r="C14" s="548">
        <v>154</v>
      </c>
      <c r="D14" s="548">
        <v>0</v>
      </c>
      <c r="E14" s="548">
        <v>0</v>
      </c>
      <c r="F14" s="548">
        <v>937</v>
      </c>
      <c r="G14" s="548">
        <v>11</v>
      </c>
      <c r="H14" s="548">
        <v>1</v>
      </c>
      <c r="I14" s="548">
        <v>47</v>
      </c>
      <c r="J14" s="548">
        <v>4</v>
      </c>
      <c r="K14" s="548">
        <v>0</v>
      </c>
      <c r="L14" s="548">
        <v>0</v>
      </c>
      <c r="M14" s="548">
        <v>1</v>
      </c>
      <c r="N14" s="533">
        <v>0</v>
      </c>
    </row>
    <row r="15" spans="1:27" s="8" customFormat="1" ht="24">
      <c r="A15" s="1195" t="s">
        <v>1398</v>
      </c>
      <c r="B15" s="549">
        <f t="shared" si="0"/>
        <v>826</v>
      </c>
      <c r="C15" s="548">
        <v>1</v>
      </c>
      <c r="D15" s="548">
        <v>0</v>
      </c>
      <c r="E15" s="548">
        <v>0</v>
      </c>
      <c r="F15" s="548">
        <v>217</v>
      </c>
      <c r="G15" s="548">
        <v>1</v>
      </c>
      <c r="H15" s="548">
        <v>1</v>
      </c>
      <c r="I15" s="548">
        <v>548</v>
      </c>
      <c r="J15" s="548">
        <v>0</v>
      </c>
      <c r="K15" s="548">
        <v>3</v>
      </c>
      <c r="L15" s="548">
        <v>55</v>
      </c>
      <c r="M15" s="548">
        <v>0</v>
      </c>
      <c r="N15" s="533">
        <v>0</v>
      </c>
    </row>
    <row r="16" spans="1:27" s="8" customFormat="1" ht="24" customHeight="1">
      <c r="A16" s="1196" t="s">
        <v>509</v>
      </c>
      <c r="B16" s="553">
        <f>SUM(B7:B15)</f>
        <v>46491</v>
      </c>
      <c r="C16" s="551">
        <f>SUM(C7:C15)</f>
        <v>2449</v>
      </c>
      <c r="D16" s="551">
        <f t="shared" ref="D16:N16" si="1">SUM(D7:D15)</f>
        <v>76</v>
      </c>
      <c r="E16" s="551">
        <f t="shared" si="1"/>
        <v>2</v>
      </c>
      <c r="F16" s="551">
        <f t="shared" si="1"/>
        <v>7802</v>
      </c>
      <c r="G16" s="551">
        <f t="shared" si="1"/>
        <v>1937</v>
      </c>
      <c r="H16" s="551">
        <f t="shared" si="1"/>
        <v>67</v>
      </c>
      <c r="I16" s="551">
        <f t="shared" si="1"/>
        <v>10679</v>
      </c>
      <c r="J16" s="551">
        <f t="shared" si="1"/>
        <v>13784</v>
      </c>
      <c r="K16" s="551">
        <f t="shared" si="1"/>
        <v>1950</v>
      </c>
      <c r="L16" s="551">
        <f t="shared" si="1"/>
        <v>1119</v>
      </c>
      <c r="M16" s="551">
        <f t="shared" si="1"/>
        <v>5300</v>
      </c>
      <c r="N16" s="552">
        <f t="shared" si="1"/>
        <v>1326</v>
      </c>
    </row>
    <row r="19" spans="1:6" ht="19.5" customHeight="1">
      <c r="A19" s="64"/>
      <c r="B19" s="1474" t="s">
        <v>150</v>
      </c>
      <c r="C19" s="1474"/>
      <c r="D19" s="1474"/>
      <c r="E19" s="1475" t="s">
        <v>1409</v>
      </c>
      <c r="F19" s="1476"/>
    </row>
    <row r="20" spans="1:6" ht="21" customHeight="1">
      <c r="A20" s="1198" t="s">
        <v>1404</v>
      </c>
      <c r="B20" s="1199" t="s">
        <v>1408</v>
      </c>
      <c r="C20" s="1199" t="s">
        <v>1407</v>
      </c>
      <c r="D20" s="1199" t="s">
        <v>922</v>
      </c>
      <c r="E20" s="1200" t="s">
        <v>509</v>
      </c>
      <c r="F20" s="1200" t="s">
        <v>529</v>
      </c>
    </row>
    <row r="21" spans="1:6" ht="21" customHeight="1">
      <c r="A21" s="1194" t="s">
        <v>1392</v>
      </c>
      <c r="B21" s="1191">
        <f>+'76'!S14</f>
        <v>30899</v>
      </c>
      <c r="C21" s="1192">
        <f>+B7</f>
        <v>28082</v>
      </c>
      <c r="D21" s="1248">
        <f>+C21/B21*100</f>
        <v>90.883200103563226</v>
      </c>
      <c r="E21" s="1191">
        <f>SUM(M7:N7)</f>
        <v>4356</v>
      </c>
      <c r="F21" s="1248">
        <f>+E21/B7*100</f>
        <v>15.511715689765687</v>
      </c>
    </row>
    <row r="22" spans="1:6" ht="21" customHeight="1">
      <c r="A22" s="1195" t="s">
        <v>1393</v>
      </c>
      <c r="B22" s="1193">
        <f>+'76'!S18</f>
        <v>3332</v>
      </c>
      <c r="C22" s="332">
        <f>+B8</f>
        <v>3030</v>
      </c>
      <c r="D22" s="1249">
        <f t="shared" ref="D22" si="2">+C22/B22*100</f>
        <v>90.936374549819931</v>
      </c>
      <c r="E22" s="1193">
        <f>SUM(M8:N8)</f>
        <v>100</v>
      </c>
      <c r="F22" s="1249">
        <f>+E22/B8*100</f>
        <v>3.3003300330032999</v>
      </c>
    </row>
    <row r="23" spans="1:6" ht="21" customHeight="1">
      <c r="A23" s="1195" t="s">
        <v>1394</v>
      </c>
      <c r="B23" s="1193">
        <f>+'76'!S19</f>
        <v>1518</v>
      </c>
      <c r="C23" s="332">
        <f t="shared" ref="C23:C30" si="3">+B9</f>
        <v>1291</v>
      </c>
      <c r="D23" s="1249">
        <f t="shared" ref="D23:D30" si="4">+C23/B23*100</f>
        <v>85.046113306982875</v>
      </c>
      <c r="E23" s="1193">
        <f t="shared" ref="E23:E30" si="5">SUM(M9:N9)</f>
        <v>0</v>
      </c>
      <c r="F23" s="1249">
        <f t="shared" ref="F23:F30" si="6">+E23/B9*100</f>
        <v>0</v>
      </c>
    </row>
    <row r="24" spans="1:6" ht="21" customHeight="1">
      <c r="A24" s="1195" t="s">
        <v>1395</v>
      </c>
      <c r="B24" s="1193">
        <f>+'76'!S16</f>
        <v>8434</v>
      </c>
      <c r="C24" s="332">
        <f t="shared" si="3"/>
        <v>7440</v>
      </c>
      <c r="D24" s="1249">
        <f t="shared" si="4"/>
        <v>88.214370405501541</v>
      </c>
      <c r="E24" s="1193">
        <f t="shared" si="5"/>
        <v>2169</v>
      </c>
      <c r="F24" s="1249">
        <f t="shared" si="6"/>
        <v>29.153225806451609</v>
      </c>
    </row>
    <row r="25" spans="1:6" ht="24">
      <c r="A25" s="1195" t="s">
        <v>1400</v>
      </c>
      <c r="B25" s="1193">
        <f>+'76'!S21</f>
        <v>1478</v>
      </c>
      <c r="C25" s="332">
        <f t="shared" si="3"/>
        <v>1305</v>
      </c>
      <c r="D25" s="1249">
        <f t="shared" si="4"/>
        <v>88.294993234100133</v>
      </c>
      <c r="E25" s="1193">
        <f t="shared" si="5"/>
        <v>0</v>
      </c>
      <c r="F25" s="1249">
        <f t="shared" si="6"/>
        <v>0</v>
      </c>
    </row>
    <row r="26" spans="1:6">
      <c r="A26" s="1195" t="s">
        <v>1396</v>
      </c>
      <c r="B26" s="1193">
        <f>+'76'!S22</f>
        <v>1753</v>
      </c>
      <c r="C26" s="332">
        <f t="shared" si="3"/>
        <v>1672</v>
      </c>
      <c r="D26" s="1249">
        <f t="shared" si="4"/>
        <v>95.379349686252141</v>
      </c>
      <c r="E26" s="1193">
        <f t="shared" si="5"/>
        <v>0</v>
      </c>
      <c r="F26" s="1249">
        <f t="shared" si="6"/>
        <v>0</v>
      </c>
    </row>
    <row r="27" spans="1:6" ht="24">
      <c r="A27" s="1195" t="s">
        <v>1397</v>
      </c>
      <c r="B27" s="1193">
        <f>+'76'!S23</f>
        <v>1810</v>
      </c>
      <c r="C27" s="332">
        <f t="shared" si="3"/>
        <v>1690</v>
      </c>
      <c r="D27" s="1249">
        <f t="shared" si="4"/>
        <v>93.370165745856355</v>
      </c>
      <c r="E27" s="1193">
        <f t="shared" si="5"/>
        <v>0</v>
      </c>
      <c r="F27" s="1249">
        <f t="shared" si="6"/>
        <v>0</v>
      </c>
    </row>
    <row r="28" spans="1:6" ht="24">
      <c r="A28" s="1195" t="s">
        <v>1399</v>
      </c>
      <c r="B28" s="1193">
        <f>+'76'!S20</f>
        <v>1250</v>
      </c>
      <c r="C28" s="332">
        <f t="shared" si="3"/>
        <v>1155</v>
      </c>
      <c r="D28" s="1249">
        <f t="shared" si="4"/>
        <v>92.4</v>
      </c>
      <c r="E28" s="1193">
        <f t="shared" si="5"/>
        <v>1</v>
      </c>
      <c r="F28" s="1249">
        <f t="shared" si="6"/>
        <v>8.6580086580086577E-2</v>
      </c>
    </row>
    <row r="29" spans="1:6" ht="24">
      <c r="A29" s="1195" t="s">
        <v>1398</v>
      </c>
      <c r="B29" s="1193">
        <f>+'76'!S24</f>
        <v>1017</v>
      </c>
      <c r="C29" s="332">
        <f t="shared" si="3"/>
        <v>826</v>
      </c>
      <c r="D29" s="1249">
        <f t="shared" si="4"/>
        <v>81.219272369714844</v>
      </c>
      <c r="E29" s="1193">
        <f t="shared" si="5"/>
        <v>0</v>
      </c>
      <c r="F29" s="1249">
        <f t="shared" si="6"/>
        <v>0</v>
      </c>
    </row>
    <row r="30" spans="1:6" ht="24.75" customHeight="1">
      <c r="A30" s="1196" t="s">
        <v>509</v>
      </c>
      <c r="B30" s="671">
        <f>SUM(B21:B29)</f>
        <v>51491</v>
      </c>
      <c r="C30" s="334">
        <f t="shared" si="3"/>
        <v>46491</v>
      </c>
      <c r="D30" s="1250">
        <f t="shared" si="4"/>
        <v>90.289565166728167</v>
      </c>
      <c r="E30" s="671">
        <f t="shared" si="5"/>
        <v>6626</v>
      </c>
      <c r="F30" s="1251">
        <f t="shared" si="6"/>
        <v>14.25222085995139</v>
      </c>
    </row>
  </sheetData>
  <mergeCells count="4">
    <mergeCell ref="A1:N1"/>
    <mergeCell ref="A3:N3"/>
    <mergeCell ref="B19:D19"/>
    <mergeCell ref="E19:F19"/>
  </mergeCells>
  <printOptions horizontalCentered="1" verticalCentered="1" gridLinesSet="0"/>
  <pageMargins left="0.98425196850393704" right="0.78740157480314965" top="0.27559055118110237" bottom="0.23622047244094491" header="0.73" footer="0.39370078740157483"/>
  <pageSetup paperSize="5" scale="73" orientation="landscape" horizontalDpi="300" verticalDpi="300" r:id="rId1"/>
  <headerFooter alignWithMargins="0"/>
  <ignoredErrors>
    <ignoredError sqref="E21:F21 E22:E30" formulaRange="1"/>
    <ignoredError sqref="F22:F30" evalError="1" formulaRange="1"/>
  </ignoredError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2"/>
  <sheetViews>
    <sheetView showGridLines="0" zoomScale="75" zoomScaleNormal="75" workbookViewId="0">
      <selection activeCell="A13" sqref="A13:B13"/>
    </sheetView>
  </sheetViews>
  <sheetFormatPr baseColWidth="10" defaultColWidth="12.5703125" defaultRowHeight="12.75"/>
  <cols>
    <col min="1" max="1" width="29.85546875" style="826" customWidth="1"/>
    <col min="2" max="2" width="9.5703125" style="826" customWidth="1"/>
    <col min="3" max="3" width="8.140625" style="826" customWidth="1"/>
    <col min="4" max="4" width="8.28515625" style="826" customWidth="1"/>
    <col min="5" max="9" width="8.140625" style="826" customWidth="1"/>
    <col min="10" max="10" width="7" style="826" customWidth="1"/>
    <col min="11" max="12" width="8.140625" style="826" customWidth="1"/>
    <col min="13" max="13" width="9.28515625" style="826" customWidth="1"/>
    <col min="14" max="14" width="8.85546875" style="826" customWidth="1"/>
    <col min="15" max="17" width="8.140625" style="826" customWidth="1"/>
    <col min="18" max="18" width="9.28515625" style="826" customWidth="1"/>
    <col min="19" max="21" width="10" style="826" customWidth="1"/>
    <col min="22" max="25" width="8.28515625" style="826" customWidth="1"/>
    <col min="26" max="26" width="10.85546875" style="764" customWidth="1"/>
    <col min="27" max="27" width="9.28515625" style="764" customWidth="1"/>
    <col min="28" max="16384" width="12.5703125" style="764"/>
  </cols>
  <sheetData>
    <row r="1" spans="1:27">
      <c r="A1" s="761" t="s">
        <v>185</v>
      </c>
      <c r="B1" s="761"/>
      <c r="C1" s="762"/>
      <c r="D1" s="762"/>
      <c r="E1" s="762"/>
      <c r="F1" s="762"/>
      <c r="G1" s="762"/>
      <c r="H1" s="762"/>
      <c r="I1" s="762"/>
      <c r="J1" s="762"/>
      <c r="K1" s="763"/>
      <c r="L1" s="762"/>
      <c r="M1" s="762"/>
      <c r="N1" s="762"/>
      <c r="O1" s="762"/>
      <c r="P1" s="762"/>
      <c r="Q1" s="762"/>
      <c r="R1" s="762"/>
      <c r="S1" s="762"/>
      <c r="T1" s="762"/>
      <c r="U1" s="762"/>
      <c r="V1" s="762"/>
      <c r="W1" s="762"/>
      <c r="X1" s="762"/>
      <c r="Y1" s="762"/>
    </row>
    <row r="2" spans="1:27">
      <c r="A2" s="761"/>
      <c r="B2" s="761"/>
      <c r="C2" s="762"/>
      <c r="D2" s="762"/>
      <c r="E2" s="762"/>
      <c r="F2" s="762"/>
      <c r="G2" s="762"/>
      <c r="H2" s="762"/>
      <c r="I2" s="762"/>
      <c r="J2" s="762"/>
      <c r="K2" s="762"/>
      <c r="L2" s="762"/>
      <c r="M2" s="762"/>
      <c r="N2" s="762"/>
      <c r="O2" s="762"/>
      <c r="P2" s="762"/>
      <c r="Q2" s="762"/>
      <c r="R2" s="762"/>
      <c r="S2" s="762"/>
      <c r="T2" s="762"/>
      <c r="U2" s="762"/>
      <c r="V2" s="762"/>
      <c r="W2" s="762"/>
      <c r="X2" s="762"/>
      <c r="Y2" s="762"/>
    </row>
    <row r="3" spans="1:27">
      <c r="A3" s="761" t="str">
        <f>+'76'!A3</f>
        <v>SERVICIO DE SALUD   ACONCAGUA   2015</v>
      </c>
      <c r="B3" s="761"/>
      <c r="C3" s="762"/>
      <c r="D3" s="762"/>
      <c r="E3" s="762"/>
      <c r="F3" s="762"/>
      <c r="G3" s="762"/>
      <c r="H3" s="762"/>
      <c r="I3" s="762"/>
      <c r="J3" s="762"/>
      <c r="K3" s="762"/>
      <c r="L3" s="762"/>
      <c r="M3" s="762"/>
      <c r="N3" s="762"/>
      <c r="O3" s="762"/>
      <c r="P3" s="762"/>
      <c r="Q3" s="762"/>
      <c r="R3" s="762"/>
      <c r="S3" s="762"/>
      <c r="T3" s="762"/>
      <c r="U3" s="762"/>
      <c r="V3" s="762"/>
      <c r="W3" s="762"/>
      <c r="X3" s="762"/>
      <c r="Y3" s="762"/>
    </row>
    <row r="4" spans="1:27">
      <c r="A4" s="762"/>
      <c r="B4" s="762"/>
      <c r="C4" s="762"/>
      <c r="D4" s="762"/>
      <c r="E4" s="762"/>
      <c r="F4" s="762"/>
      <c r="G4" s="762"/>
      <c r="H4" s="762"/>
      <c r="I4" s="762"/>
      <c r="J4" s="762"/>
      <c r="K4" s="762"/>
      <c r="L4" s="762"/>
      <c r="M4" s="762"/>
      <c r="N4" s="762"/>
      <c r="O4" s="762"/>
      <c r="P4" s="762"/>
      <c r="Q4" s="762"/>
      <c r="R4" s="762"/>
      <c r="S4" s="762"/>
      <c r="T4" s="762"/>
      <c r="U4" s="762"/>
      <c r="V4" s="762"/>
      <c r="W4" s="762"/>
      <c r="X4" s="762"/>
      <c r="Y4" s="762"/>
    </row>
    <row r="5" spans="1:27">
      <c r="A5" s="762"/>
      <c r="B5" s="762"/>
      <c r="C5" s="762"/>
      <c r="D5" s="762"/>
      <c r="E5" s="762"/>
      <c r="F5" s="762"/>
      <c r="G5" s="762"/>
      <c r="H5" s="762"/>
      <c r="I5" s="762"/>
      <c r="J5" s="762"/>
      <c r="K5" s="762"/>
      <c r="L5" s="762"/>
      <c r="M5" s="762"/>
      <c r="N5" s="762"/>
      <c r="O5" s="762"/>
      <c r="P5" s="762"/>
      <c r="Q5" s="762"/>
      <c r="R5" s="762"/>
      <c r="S5" s="762"/>
      <c r="T5" s="762"/>
      <c r="U5" s="762"/>
      <c r="V5" s="762"/>
      <c r="W5" s="762"/>
      <c r="X5" s="762"/>
      <c r="Y5" s="762"/>
    </row>
    <row r="6" spans="1:27">
      <c r="A6" s="762"/>
      <c r="B6" s="762"/>
      <c r="C6" s="762"/>
      <c r="D6" s="762"/>
      <c r="E6" s="762"/>
      <c r="F6" s="762"/>
      <c r="G6" s="762"/>
      <c r="H6" s="762"/>
      <c r="I6" s="762"/>
      <c r="J6" s="762"/>
      <c r="K6" s="762"/>
      <c r="L6" s="762"/>
      <c r="M6" s="762"/>
      <c r="N6" s="762"/>
      <c r="O6" s="762"/>
      <c r="P6" s="762"/>
      <c r="Q6" s="762"/>
      <c r="R6" s="762"/>
      <c r="S6" s="762"/>
      <c r="T6" s="762"/>
      <c r="U6" s="762"/>
      <c r="V6" s="762"/>
      <c r="W6" s="762"/>
      <c r="X6" s="762"/>
      <c r="Y6" s="762"/>
    </row>
    <row r="7" spans="1:27">
      <c r="A7" s="762"/>
      <c r="B7" s="762"/>
      <c r="C7" s="762"/>
      <c r="D7" s="762"/>
      <c r="E7" s="762"/>
      <c r="F7" s="762"/>
      <c r="G7" s="762"/>
      <c r="H7" s="762"/>
      <c r="I7" s="762"/>
      <c r="J7" s="762"/>
      <c r="K7" s="762"/>
      <c r="L7" s="762"/>
      <c r="M7" s="762"/>
      <c r="N7" s="762"/>
      <c r="O7" s="762"/>
      <c r="P7" s="762"/>
      <c r="Q7" s="762"/>
      <c r="R7" s="762"/>
      <c r="S7" s="762"/>
      <c r="T7" s="762"/>
      <c r="U7" s="762"/>
      <c r="V7" s="762"/>
      <c r="W7" s="762"/>
      <c r="X7" s="762"/>
      <c r="Y7" s="762"/>
    </row>
    <row r="8" spans="1:27" ht="15.75">
      <c r="A8" s="766"/>
      <c r="B8" s="766"/>
      <c r="C8" s="766"/>
      <c r="D8" s="766"/>
      <c r="E8" s="766"/>
      <c r="F8" s="766"/>
      <c r="G8" s="766"/>
      <c r="H8" s="766"/>
      <c r="I8" s="766"/>
      <c r="J8" s="766"/>
      <c r="K8" s="766"/>
      <c r="L8" s="766"/>
      <c r="M8" s="766"/>
      <c r="N8" s="766"/>
      <c r="O8" s="766"/>
      <c r="P8" s="766"/>
      <c r="Q8" s="766"/>
      <c r="R8" s="766"/>
      <c r="S8" s="766"/>
      <c r="T8" s="766"/>
      <c r="U8" s="766"/>
      <c r="V8" s="766"/>
      <c r="W8" s="766"/>
      <c r="X8" s="766"/>
      <c r="Y8" s="766"/>
      <c r="Z8" s="765"/>
      <c r="AA8" s="765"/>
    </row>
    <row r="9" spans="1:27" s="777" customFormat="1" ht="21.75" customHeight="1">
      <c r="A9" s="767"/>
      <c r="B9" s="1154"/>
      <c r="C9" s="768"/>
      <c r="D9" s="769"/>
      <c r="E9" s="1472" t="s">
        <v>148</v>
      </c>
      <c r="F9" s="1472"/>
      <c r="G9" s="1472"/>
      <c r="H9" s="1472"/>
      <c r="I9" s="1472"/>
      <c r="J9" s="1472"/>
      <c r="K9" s="1472"/>
      <c r="L9" s="1472"/>
      <c r="M9" s="1472"/>
      <c r="N9" s="1472"/>
      <c r="O9" s="1472"/>
      <c r="P9" s="770"/>
      <c r="Q9" s="1470" t="s">
        <v>149</v>
      </c>
      <c r="R9" s="771" t="s">
        <v>150</v>
      </c>
      <c r="S9" s="772"/>
      <c r="T9" s="773" t="s">
        <v>151</v>
      </c>
      <c r="U9" s="774"/>
      <c r="V9" s="771" t="s">
        <v>152</v>
      </c>
      <c r="W9" s="775"/>
      <c r="X9" s="775"/>
      <c r="Y9" s="772"/>
      <c r="Z9" s="776"/>
      <c r="AA9" s="776"/>
    </row>
    <row r="10" spans="1:27" s="777" customFormat="1" ht="19.5" customHeight="1">
      <c r="A10" s="778" t="s">
        <v>153</v>
      </c>
      <c r="B10" s="1153" t="s">
        <v>1334</v>
      </c>
      <c r="C10" s="779"/>
      <c r="D10" s="780" t="s">
        <v>154</v>
      </c>
      <c r="E10" s="781" t="s">
        <v>155</v>
      </c>
      <c r="F10" s="782"/>
      <c r="G10" s="782"/>
      <c r="H10" s="782"/>
      <c r="I10" s="782"/>
      <c r="J10" s="782"/>
      <c r="K10" s="783"/>
      <c r="L10" s="784" t="s">
        <v>156</v>
      </c>
      <c r="M10" s="784"/>
      <c r="N10" s="784"/>
      <c r="O10" s="784"/>
      <c r="P10" s="780" t="s">
        <v>154</v>
      </c>
      <c r="Q10" s="1471"/>
      <c r="R10" s="785"/>
      <c r="S10" s="786"/>
      <c r="T10" s="787"/>
      <c r="U10" s="787"/>
      <c r="V10" s="788"/>
      <c r="W10" s="789"/>
      <c r="X10" s="789"/>
      <c r="Y10" s="790"/>
      <c r="Z10" s="776"/>
      <c r="AA10" s="776"/>
    </row>
    <row r="11" spans="1:27" s="777" customFormat="1" ht="36" customHeight="1">
      <c r="A11" s="778" t="s">
        <v>157</v>
      </c>
      <c r="B11" s="1153" t="s">
        <v>1335</v>
      </c>
      <c r="C11" s="791" t="s">
        <v>158</v>
      </c>
      <c r="D11" s="791" t="s">
        <v>159</v>
      </c>
      <c r="E11" s="792" t="s">
        <v>1097</v>
      </c>
      <c r="F11" s="793" t="s">
        <v>1095</v>
      </c>
      <c r="G11" s="793" t="s">
        <v>160</v>
      </c>
      <c r="H11" s="794" t="s">
        <v>161</v>
      </c>
      <c r="I11" s="794" t="s">
        <v>162</v>
      </c>
      <c r="J11" s="795" t="s">
        <v>237</v>
      </c>
      <c r="K11" s="793" t="s">
        <v>535</v>
      </c>
      <c r="L11" s="796" t="s">
        <v>163</v>
      </c>
      <c r="M11" s="794" t="s">
        <v>164</v>
      </c>
      <c r="N11" s="797" t="s">
        <v>165</v>
      </c>
      <c r="O11" s="793" t="s">
        <v>535</v>
      </c>
      <c r="P11" s="791" t="s">
        <v>166</v>
      </c>
      <c r="Q11" s="798" t="s">
        <v>167</v>
      </c>
      <c r="R11" s="799" t="s">
        <v>168</v>
      </c>
      <c r="S11" s="793" t="s">
        <v>169</v>
      </c>
      <c r="T11" s="793" t="s">
        <v>535</v>
      </c>
      <c r="U11" s="800" t="s">
        <v>170</v>
      </c>
      <c r="V11" s="794" t="s">
        <v>171</v>
      </c>
      <c r="W11" s="794" t="s">
        <v>172</v>
      </c>
      <c r="X11" s="801" t="s">
        <v>173</v>
      </c>
      <c r="Y11" s="802" t="s">
        <v>174</v>
      </c>
      <c r="Z11" s="776"/>
      <c r="AA11" s="776"/>
    </row>
    <row r="12" spans="1:27" ht="23.25" customHeight="1">
      <c r="A12" s="803" t="s">
        <v>644</v>
      </c>
      <c r="B12" s="1155"/>
      <c r="C12" s="1152">
        <f>SUM(C14:C26)</f>
        <v>168</v>
      </c>
      <c r="D12" s="804">
        <f t="shared" ref="D12:U12" si="0">SUM(D14:D26)</f>
        <v>60</v>
      </c>
      <c r="E12" s="804">
        <f t="shared" si="0"/>
        <v>5543</v>
      </c>
      <c r="F12" s="804">
        <f t="shared" si="0"/>
        <v>18</v>
      </c>
      <c r="G12" s="804">
        <f t="shared" si="0"/>
        <v>2421</v>
      </c>
      <c r="H12" s="804">
        <f t="shared" si="0"/>
        <v>33</v>
      </c>
      <c r="I12" s="804">
        <f t="shared" si="0"/>
        <v>1377</v>
      </c>
      <c r="J12" s="804">
        <f t="shared" si="0"/>
        <v>2580</v>
      </c>
      <c r="K12" s="804">
        <f>SUM(K14:K26)-J12</f>
        <v>9392</v>
      </c>
      <c r="L12" s="804">
        <f t="shared" si="0"/>
        <v>9167</v>
      </c>
      <c r="M12" s="804">
        <f t="shared" si="0"/>
        <v>2580</v>
      </c>
      <c r="N12" s="804">
        <f t="shared" si="0"/>
        <v>194</v>
      </c>
      <c r="O12" s="805">
        <f>L12+N12</f>
        <v>9361</v>
      </c>
      <c r="P12" s="804">
        <f t="shared" si="0"/>
        <v>91</v>
      </c>
      <c r="Q12" s="804">
        <f t="shared" si="0"/>
        <v>596</v>
      </c>
      <c r="R12" s="804">
        <f t="shared" si="0"/>
        <v>58494</v>
      </c>
      <c r="S12" s="804">
        <f t="shared" si="0"/>
        <v>47162</v>
      </c>
      <c r="T12" s="804">
        <f t="shared" si="0"/>
        <v>46935</v>
      </c>
      <c r="U12" s="804">
        <f t="shared" si="0"/>
        <v>42170</v>
      </c>
      <c r="V12" s="806">
        <f>S12/R12*100</f>
        <v>80.627072862173904</v>
      </c>
      <c r="W12" s="807">
        <f>+T12/O12</f>
        <v>5.0138874051917526</v>
      </c>
      <c r="X12" s="808">
        <f>+O12/(R12/30.4)</f>
        <v>4.8650186343898518</v>
      </c>
      <c r="Y12" s="809">
        <f>(+R12-S12)/O12</f>
        <v>1.2105544279457323</v>
      </c>
      <c r="Z12" s="765"/>
      <c r="AA12" s="765"/>
    </row>
    <row r="13" spans="1:27" ht="23.25" customHeight="1">
      <c r="A13" s="1148" t="s">
        <v>1507</v>
      </c>
      <c r="B13" s="778">
        <v>401</v>
      </c>
      <c r="C13" s="805"/>
      <c r="D13" s="814"/>
      <c r="E13" s="805"/>
      <c r="F13" s="814"/>
      <c r="G13" s="814"/>
      <c r="H13" s="814"/>
      <c r="I13" s="814"/>
      <c r="J13" s="814"/>
      <c r="K13" s="805"/>
      <c r="L13" s="814"/>
      <c r="M13" s="805"/>
      <c r="N13" s="814"/>
      <c r="O13" s="805"/>
      <c r="P13" s="814"/>
      <c r="Q13" s="814"/>
      <c r="R13" s="814"/>
      <c r="S13" s="805"/>
      <c r="T13" s="814"/>
      <c r="U13" s="805"/>
      <c r="V13" s="806"/>
      <c r="W13" s="807"/>
      <c r="X13" s="808"/>
      <c r="Y13" s="809"/>
      <c r="Z13" s="765"/>
      <c r="AA13" s="765"/>
    </row>
    <row r="14" spans="1:27" ht="23.25" customHeight="1">
      <c r="A14" s="1148" t="s">
        <v>1336</v>
      </c>
      <c r="B14" s="778">
        <v>403</v>
      </c>
      <c r="C14" s="830">
        <v>93</v>
      </c>
      <c r="D14" s="812">
        <v>42</v>
      </c>
      <c r="E14" s="832">
        <v>2496</v>
      </c>
      <c r="F14" s="813">
        <v>15</v>
      </c>
      <c r="G14" s="813">
        <v>1443</v>
      </c>
      <c r="H14" s="813">
        <v>12</v>
      </c>
      <c r="I14" s="813">
        <v>12</v>
      </c>
      <c r="J14" s="813">
        <v>1819</v>
      </c>
      <c r="K14" s="805">
        <f>SUM(E14:J14)</f>
        <v>5797</v>
      </c>
      <c r="L14" s="813">
        <v>4159</v>
      </c>
      <c r="M14" s="832">
        <v>1482</v>
      </c>
      <c r="N14" s="813">
        <v>145</v>
      </c>
      <c r="O14" s="830">
        <f>SUM(L14:N14)</f>
        <v>5786</v>
      </c>
      <c r="P14" s="814">
        <f>SUM(D14,K14)-O14</f>
        <v>53</v>
      </c>
      <c r="Q14" s="813">
        <v>142</v>
      </c>
      <c r="R14" s="815">
        <v>31171</v>
      </c>
      <c r="S14" s="832">
        <v>27018</v>
      </c>
      <c r="T14" s="813">
        <v>30173</v>
      </c>
      <c r="U14" s="832">
        <v>29411</v>
      </c>
      <c r="V14" s="806">
        <f>S14/R14*100</f>
        <v>86.676718744987326</v>
      </c>
      <c r="W14" s="807">
        <f>+T14/O14</f>
        <v>5.2148288973384034</v>
      </c>
      <c r="X14" s="808">
        <f>+O14/(R14/30.4)</f>
        <v>5.642886015848064</v>
      </c>
      <c r="Y14" s="809">
        <f>(+R14-S14)/O14</f>
        <v>0.71776702385067404</v>
      </c>
      <c r="Z14" s="765"/>
      <c r="AA14" s="765"/>
    </row>
    <row r="15" spans="1:27" ht="23.25" customHeight="1">
      <c r="A15" s="1148" t="s">
        <v>1337</v>
      </c>
      <c r="B15" s="778">
        <v>404</v>
      </c>
      <c r="C15" s="830">
        <v>12</v>
      </c>
      <c r="D15" s="812">
        <v>6</v>
      </c>
      <c r="E15" s="830">
        <v>481</v>
      </c>
      <c r="F15" s="831">
        <v>3</v>
      </c>
      <c r="G15" s="831">
        <v>298</v>
      </c>
      <c r="H15" s="831">
        <v>4</v>
      </c>
      <c r="I15" s="831">
        <v>2</v>
      </c>
      <c r="J15" s="831">
        <v>291</v>
      </c>
      <c r="K15" s="805">
        <f>SUM(E15:J15)</f>
        <v>1079</v>
      </c>
      <c r="L15" s="813">
        <v>679</v>
      </c>
      <c r="M15" s="832">
        <v>388</v>
      </c>
      <c r="N15" s="813">
        <v>8</v>
      </c>
      <c r="O15" s="830">
        <f>SUM(L15:N15)</f>
        <v>1075</v>
      </c>
      <c r="P15" s="814">
        <f>SUM(D15,K15)-O15</f>
        <v>10</v>
      </c>
      <c r="Q15" s="813">
        <v>47</v>
      </c>
      <c r="R15" s="815">
        <v>7154</v>
      </c>
      <c r="S15" s="832">
        <v>7031</v>
      </c>
      <c r="T15" s="813">
        <v>3680</v>
      </c>
      <c r="U15" s="832">
        <v>3452</v>
      </c>
      <c r="V15" s="806">
        <f>S15/R15*100</f>
        <v>98.280682135868048</v>
      </c>
      <c r="W15" s="807">
        <f>+T15/O15</f>
        <v>3.4232558139534883</v>
      </c>
      <c r="X15" s="808">
        <f>+O15/(R15/30.4)</f>
        <v>4.5680738048644116</v>
      </c>
      <c r="Y15" s="809">
        <f>(+R15-S15)/O15</f>
        <v>0.1144186046511628</v>
      </c>
      <c r="Z15" s="765"/>
      <c r="AA15" s="765"/>
    </row>
    <row r="16" spans="1:27" ht="23.25" customHeight="1">
      <c r="A16" s="810" t="s">
        <v>175</v>
      </c>
      <c r="B16" s="778">
        <v>416</v>
      </c>
      <c r="C16" s="832">
        <v>18</v>
      </c>
      <c r="D16" s="812">
        <v>1</v>
      </c>
      <c r="E16" s="832">
        <v>1308</v>
      </c>
      <c r="F16" s="815"/>
      <c r="G16" s="815">
        <v>360</v>
      </c>
      <c r="H16" s="815">
        <v>6</v>
      </c>
      <c r="I16" s="815">
        <v>55</v>
      </c>
      <c r="J16" s="813">
        <v>55</v>
      </c>
      <c r="K16" s="805">
        <f t="shared" ref="K16:K25" si="1">SUM(E16:J16)</f>
        <v>1784</v>
      </c>
      <c r="L16" s="813">
        <v>1575</v>
      </c>
      <c r="M16" s="832">
        <v>201</v>
      </c>
      <c r="N16" s="813"/>
      <c r="O16" s="805">
        <f t="shared" ref="O16:O25" si="2">SUM(L16:N16)</f>
        <v>1776</v>
      </c>
      <c r="P16" s="814">
        <f t="shared" ref="P16:P25" si="3">SUM(D16,K16)-O16</f>
        <v>9</v>
      </c>
      <c r="Q16" s="813">
        <v>97</v>
      </c>
      <c r="R16" s="813">
        <v>5605</v>
      </c>
      <c r="S16" s="832">
        <v>4534</v>
      </c>
      <c r="T16" s="813">
        <v>4519</v>
      </c>
      <c r="U16" s="832">
        <v>4280</v>
      </c>
      <c r="V16" s="806">
        <f t="shared" ref="V16:V25" si="4">S16/R16*100</f>
        <v>80.892060660124883</v>
      </c>
      <c r="W16" s="807">
        <f t="shared" ref="W16:W25" si="5">+T16/O16</f>
        <v>2.5444819819819822</v>
      </c>
      <c r="X16" s="808">
        <f t="shared" ref="X16:X25" si="6">+O16/(R16/30.4)</f>
        <v>9.6325423728813551</v>
      </c>
      <c r="Y16" s="809">
        <f t="shared" ref="Y16:Y25" si="7">(+R16-S16)/O16</f>
        <v>0.60304054054054057</v>
      </c>
      <c r="Z16" s="765"/>
      <c r="AA16" s="765"/>
    </row>
    <row r="17" spans="1:27" ht="23.25" customHeight="1">
      <c r="A17" s="1148" t="s">
        <v>1338</v>
      </c>
      <c r="B17" s="778">
        <v>407</v>
      </c>
      <c r="C17" s="832">
        <v>17</v>
      </c>
      <c r="D17" s="812">
        <v>3</v>
      </c>
      <c r="E17" s="832">
        <v>660</v>
      </c>
      <c r="F17" s="813"/>
      <c r="G17" s="813">
        <v>162</v>
      </c>
      <c r="H17" s="813">
        <v>1</v>
      </c>
      <c r="I17" s="813">
        <v>4</v>
      </c>
      <c r="J17" s="813">
        <v>18</v>
      </c>
      <c r="K17" s="805">
        <f t="shared" si="1"/>
        <v>845</v>
      </c>
      <c r="L17" s="813">
        <v>826</v>
      </c>
      <c r="M17" s="832">
        <v>19</v>
      </c>
      <c r="N17" s="813">
        <v>1</v>
      </c>
      <c r="O17" s="805">
        <f t="shared" si="2"/>
        <v>846</v>
      </c>
      <c r="P17" s="814">
        <f t="shared" si="3"/>
        <v>2</v>
      </c>
      <c r="Q17" s="813">
        <v>153</v>
      </c>
      <c r="R17" s="813">
        <v>5779</v>
      </c>
      <c r="S17" s="832">
        <v>2543</v>
      </c>
      <c r="T17" s="813">
        <v>2544</v>
      </c>
      <c r="U17" s="832">
        <v>2445</v>
      </c>
      <c r="V17" s="806">
        <f t="shared" si="4"/>
        <v>44.00415296764146</v>
      </c>
      <c r="W17" s="807">
        <f t="shared" si="5"/>
        <v>3.0070921985815602</v>
      </c>
      <c r="X17" s="808">
        <f t="shared" si="6"/>
        <v>4.4503201245890294</v>
      </c>
      <c r="Y17" s="809">
        <f t="shared" si="7"/>
        <v>3.8250591016548463</v>
      </c>
      <c r="Z17" s="765"/>
      <c r="AA17" s="765"/>
    </row>
    <row r="18" spans="1:27" ht="23.25" customHeight="1">
      <c r="A18" s="1148" t="s">
        <v>1339</v>
      </c>
      <c r="B18" s="778">
        <v>409</v>
      </c>
      <c r="C18" s="832"/>
      <c r="D18" s="812"/>
      <c r="E18" s="832"/>
      <c r="F18" s="813"/>
      <c r="G18" s="813"/>
      <c r="H18" s="813"/>
      <c r="I18" s="813"/>
      <c r="J18" s="813"/>
      <c r="K18" s="805"/>
      <c r="L18" s="813"/>
      <c r="M18" s="832"/>
      <c r="N18" s="813"/>
      <c r="O18" s="805"/>
      <c r="P18" s="814"/>
      <c r="Q18" s="813"/>
      <c r="R18" s="813"/>
      <c r="S18" s="832"/>
      <c r="T18" s="813"/>
      <c r="U18" s="832"/>
      <c r="V18" s="806"/>
      <c r="W18" s="807"/>
      <c r="X18" s="808"/>
      <c r="Y18" s="809"/>
      <c r="Z18" s="765"/>
      <c r="AA18" s="765"/>
    </row>
    <row r="19" spans="1:27" ht="23.25" customHeight="1">
      <c r="A19" s="810" t="s">
        <v>176</v>
      </c>
      <c r="B19" s="778">
        <v>413</v>
      </c>
      <c r="C19" s="832">
        <v>10</v>
      </c>
      <c r="D19" s="812">
        <v>1</v>
      </c>
      <c r="E19" s="832">
        <v>203</v>
      </c>
      <c r="F19" s="813"/>
      <c r="G19" s="813">
        <v>111</v>
      </c>
      <c r="H19" s="813">
        <v>1</v>
      </c>
      <c r="I19" s="813">
        <v>11</v>
      </c>
      <c r="J19" s="813">
        <v>41</v>
      </c>
      <c r="K19" s="805">
        <f t="shared" si="1"/>
        <v>367</v>
      </c>
      <c r="L19" s="813">
        <v>320</v>
      </c>
      <c r="M19" s="832">
        <v>43</v>
      </c>
      <c r="N19" s="813"/>
      <c r="O19" s="805">
        <f t="shared" si="2"/>
        <v>363</v>
      </c>
      <c r="P19" s="814">
        <f t="shared" si="3"/>
        <v>5</v>
      </c>
      <c r="Q19" s="813">
        <v>28</v>
      </c>
      <c r="R19" s="813">
        <v>2215</v>
      </c>
      <c r="S19" s="832">
        <v>915</v>
      </c>
      <c r="T19" s="813">
        <v>904</v>
      </c>
      <c r="U19" s="832">
        <v>733</v>
      </c>
      <c r="V19" s="806">
        <f t="shared" si="4"/>
        <v>41.309255079006775</v>
      </c>
      <c r="W19" s="807">
        <f t="shared" si="5"/>
        <v>2.4903581267217629</v>
      </c>
      <c r="X19" s="808">
        <f t="shared" si="6"/>
        <v>4.982031602708803</v>
      </c>
      <c r="Y19" s="809">
        <f t="shared" si="7"/>
        <v>3.5812672176308542</v>
      </c>
      <c r="Z19" s="765"/>
      <c r="AA19" s="765"/>
    </row>
    <row r="20" spans="1:27" ht="23.25" customHeight="1">
      <c r="A20" s="1148" t="s">
        <v>1331</v>
      </c>
      <c r="B20" s="1153">
        <v>412</v>
      </c>
      <c r="C20" s="832"/>
      <c r="D20" s="812"/>
      <c r="E20" s="832"/>
      <c r="F20" s="813"/>
      <c r="G20" s="813"/>
      <c r="H20" s="813"/>
      <c r="I20" s="813"/>
      <c r="J20" s="813"/>
      <c r="K20" s="805"/>
      <c r="L20" s="813"/>
      <c r="M20" s="832"/>
      <c r="N20" s="813"/>
      <c r="O20" s="805"/>
      <c r="P20" s="814"/>
      <c r="Q20" s="813"/>
      <c r="R20" s="813"/>
      <c r="S20" s="832"/>
      <c r="T20" s="813"/>
      <c r="U20" s="832"/>
      <c r="V20" s="806"/>
      <c r="W20" s="807"/>
      <c r="X20" s="808"/>
      <c r="Y20" s="809"/>
      <c r="Z20" s="765"/>
      <c r="AA20" s="765"/>
    </row>
    <row r="21" spans="1:27" ht="23.25" customHeight="1">
      <c r="A21" s="810" t="s">
        <v>177</v>
      </c>
      <c r="B21" s="778">
        <v>414</v>
      </c>
      <c r="C21" s="832"/>
      <c r="D21" s="812"/>
      <c r="E21" s="832"/>
      <c r="F21" s="813"/>
      <c r="G21" s="813"/>
      <c r="H21" s="813"/>
      <c r="I21" s="813"/>
      <c r="J21" s="813"/>
      <c r="K21" s="805"/>
      <c r="L21" s="813"/>
      <c r="M21" s="832"/>
      <c r="N21" s="813"/>
      <c r="O21" s="805"/>
      <c r="P21" s="814"/>
      <c r="Q21" s="813"/>
      <c r="R21" s="813"/>
      <c r="S21" s="832"/>
      <c r="T21" s="813"/>
      <c r="U21" s="832"/>
      <c r="V21" s="806"/>
      <c r="W21" s="807"/>
      <c r="X21" s="808"/>
      <c r="Y21" s="809"/>
      <c r="Z21" s="765"/>
      <c r="AA21" s="765"/>
    </row>
    <row r="22" spans="1:27" ht="23.25" customHeight="1">
      <c r="A22" s="810" t="s">
        <v>178</v>
      </c>
      <c r="B22" s="778">
        <v>405</v>
      </c>
      <c r="C22" s="832"/>
      <c r="D22" s="812"/>
      <c r="E22" s="832"/>
      <c r="F22" s="813"/>
      <c r="G22" s="813"/>
      <c r="H22" s="813"/>
      <c r="I22" s="813"/>
      <c r="J22" s="813"/>
      <c r="K22" s="805"/>
      <c r="L22" s="813"/>
      <c r="M22" s="832"/>
      <c r="N22" s="813"/>
      <c r="O22" s="805"/>
      <c r="P22" s="814"/>
      <c r="Q22" s="813"/>
      <c r="R22" s="813"/>
      <c r="S22" s="832"/>
      <c r="T22" s="813"/>
      <c r="U22" s="832"/>
      <c r="V22" s="806"/>
      <c r="W22" s="807"/>
      <c r="X22" s="808"/>
      <c r="Y22" s="809"/>
      <c r="Z22" s="765"/>
      <c r="AA22" s="765"/>
    </row>
    <row r="23" spans="1:27" ht="23.25" customHeight="1">
      <c r="A23" s="810" t="s">
        <v>179</v>
      </c>
      <c r="B23" s="778">
        <v>406</v>
      </c>
      <c r="C23" s="832">
        <v>6</v>
      </c>
      <c r="D23" s="812">
        <v>4</v>
      </c>
      <c r="E23" s="832">
        <v>246</v>
      </c>
      <c r="F23" s="813"/>
      <c r="G23" s="813">
        <v>5</v>
      </c>
      <c r="H23" s="813">
        <v>8</v>
      </c>
      <c r="I23" s="813">
        <v>1</v>
      </c>
      <c r="J23" s="813">
        <v>145</v>
      </c>
      <c r="K23" s="805">
        <f t="shared" si="1"/>
        <v>405</v>
      </c>
      <c r="L23" s="813">
        <v>77</v>
      </c>
      <c r="M23" s="832">
        <v>289</v>
      </c>
      <c r="N23" s="813">
        <v>38</v>
      </c>
      <c r="O23" s="805">
        <f t="shared" si="2"/>
        <v>404</v>
      </c>
      <c r="P23" s="814">
        <f t="shared" si="3"/>
        <v>5</v>
      </c>
      <c r="Q23" s="813">
        <v>8</v>
      </c>
      <c r="R23" s="813">
        <v>2190</v>
      </c>
      <c r="S23" s="832">
        <v>1939</v>
      </c>
      <c r="T23" s="813">
        <v>1942</v>
      </c>
      <c r="U23" s="832">
        <v>1849</v>
      </c>
      <c r="V23" s="806">
        <f t="shared" si="4"/>
        <v>88.538812785388131</v>
      </c>
      <c r="W23" s="807">
        <f t="shared" si="5"/>
        <v>4.8069306930693072</v>
      </c>
      <c r="X23" s="808">
        <f t="shared" si="6"/>
        <v>5.6080365296803647</v>
      </c>
      <c r="Y23" s="809">
        <f t="shared" si="7"/>
        <v>0.62128712871287128</v>
      </c>
      <c r="Z23" s="765"/>
      <c r="AA23" s="765"/>
    </row>
    <row r="24" spans="1:27" ht="23.25" customHeight="1">
      <c r="A24" s="810" t="s">
        <v>787</v>
      </c>
      <c r="B24" s="778">
        <v>415</v>
      </c>
      <c r="C24" s="832"/>
      <c r="D24" s="812"/>
      <c r="E24" s="832"/>
      <c r="F24" s="813"/>
      <c r="G24" s="813"/>
      <c r="H24" s="813"/>
      <c r="I24" s="813"/>
      <c r="J24" s="813"/>
      <c r="K24" s="805"/>
      <c r="L24" s="813"/>
      <c r="M24" s="832"/>
      <c r="N24" s="813"/>
      <c r="O24" s="805"/>
      <c r="P24" s="814"/>
      <c r="Q24" s="813"/>
      <c r="R24" s="813"/>
      <c r="S24" s="832"/>
      <c r="T24" s="813"/>
      <c r="U24" s="832"/>
      <c r="V24" s="806"/>
      <c r="W24" s="807"/>
      <c r="X24" s="808"/>
      <c r="Y24" s="809"/>
      <c r="Z24" s="765"/>
      <c r="AA24" s="765"/>
    </row>
    <row r="25" spans="1:27" ht="23.25" customHeight="1">
      <c r="A25" s="810" t="s">
        <v>180</v>
      </c>
      <c r="B25" s="778">
        <v>330</v>
      </c>
      <c r="C25" s="832">
        <v>12</v>
      </c>
      <c r="D25" s="812">
        <v>3</v>
      </c>
      <c r="E25" s="832">
        <v>149</v>
      </c>
      <c r="F25" s="813"/>
      <c r="G25" s="813">
        <v>42</v>
      </c>
      <c r="H25" s="813">
        <v>1</v>
      </c>
      <c r="I25" s="813">
        <v>1292</v>
      </c>
      <c r="J25" s="813">
        <v>211</v>
      </c>
      <c r="K25" s="805">
        <f t="shared" si="1"/>
        <v>1695</v>
      </c>
      <c r="L25" s="813">
        <v>1531</v>
      </c>
      <c r="M25" s="832">
        <v>158</v>
      </c>
      <c r="N25" s="813">
        <v>2</v>
      </c>
      <c r="O25" s="805">
        <f t="shared" si="2"/>
        <v>1691</v>
      </c>
      <c r="P25" s="814">
        <f t="shared" si="3"/>
        <v>7</v>
      </c>
      <c r="Q25" s="813">
        <v>121</v>
      </c>
      <c r="R25" s="813">
        <v>4380</v>
      </c>
      <c r="S25" s="832">
        <v>3182</v>
      </c>
      <c r="T25" s="813">
        <v>3173</v>
      </c>
      <c r="U25" s="832"/>
      <c r="V25" s="806">
        <f t="shared" si="4"/>
        <v>72.648401826484019</v>
      </c>
      <c r="W25" s="807">
        <f t="shared" si="5"/>
        <v>1.8764044943820224</v>
      </c>
      <c r="X25" s="808">
        <f t="shared" si="6"/>
        <v>11.736621004566208</v>
      </c>
      <c r="Y25" s="809">
        <f t="shared" si="7"/>
        <v>0.7084565345949142</v>
      </c>
      <c r="Z25" s="765"/>
      <c r="AA25" s="765"/>
    </row>
    <row r="26" spans="1:27" ht="23.25" customHeight="1">
      <c r="A26" s="816" t="s">
        <v>1015</v>
      </c>
      <c r="B26" s="1156"/>
      <c r="C26" s="817"/>
      <c r="D26" s="818"/>
      <c r="E26" s="817"/>
      <c r="F26" s="819"/>
      <c r="G26" s="819"/>
      <c r="H26" s="819"/>
      <c r="I26" s="819"/>
      <c r="J26" s="818"/>
      <c r="K26" s="820"/>
      <c r="L26" s="833"/>
      <c r="M26" s="817"/>
      <c r="N26" s="818"/>
      <c r="O26" s="820"/>
      <c r="P26" s="821"/>
      <c r="Q26" s="819"/>
      <c r="R26" s="833"/>
      <c r="S26" s="834"/>
      <c r="T26" s="833"/>
      <c r="U26" s="834"/>
      <c r="V26" s="822"/>
      <c r="W26" s="823"/>
      <c r="X26" s="824"/>
      <c r="Y26" s="825"/>
      <c r="Z26" s="765"/>
      <c r="AA26" s="765"/>
    </row>
    <row r="27" spans="1:27" ht="15.75">
      <c r="Z27" s="765"/>
      <c r="AA27" s="765"/>
    </row>
    <row r="28" spans="1:27" ht="15.75">
      <c r="Z28" s="765"/>
      <c r="AA28" s="765"/>
    </row>
    <row r="29" spans="1:27" ht="15.75">
      <c r="Z29" s="765"/>
      <c r="AA29" s="765"/>
    </row>
    <row r="30" spans="1:27">
      <c r="O30" s="827"/>
    </row>
    <row r="31" spans="1:27">
      <c r="D31" s="828"/>
    </row>
    <row r="32" spans="1:27">
      <c r="D32" s="829"/>
    </row>
  </sheetData>
  <mergeCells count="2">
    <mergeCell ref="Q9:Q10"/>
    <mergeCell ref="E9:O9"/>
  </mergeCells>
  <phoneticPr fontId="56" type="noConversion"/>
  <printOptions horizontalCentered="1" verticalCentered="1" gridLinesSet="0"/>
  <pageMargins left="0.98425196850393704" right="0.78740157480314965" top="0.27559055118110237" bottom="0.23622047244094491" header="0.39370078740157483" footer="0.39370078740157483"/>
  <pageSetup paperSize="5" scale="73" orientation="landscape" horizontalDpi="300" verticalDpi="3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5"/>
  <sheetViews>
    <sheetView zoomScale="75" zoomScaleNormal="75" workbookViewId="0">
      <selection activeCell="A2" sqref="A2"/>
    </sheetView>
  </sheetViews>
  <sheetFormatPr baseColWidth="10" defaultColWidth="11.42578125" defaultRowHeight="12.75"/>
  <cols>
    <col min="1" max="1" width="50.28515625" style="6" customWidth="1"/>
    <col min="2" max="2" width="10" style="6" customWidth="1"/>
    <col min="3" max="14" width="12.28515625" style="6" customWidth="1"/>
    <col min="15" max="16384" width="11.42578125" style="6"/>
  </cols>
  <sheetData>
    <row r="1" spans="1:27" s="777" customFormat="1">
      <c r="A1" s="1477" t="s">
        <v>1523</v>
      </c>
      <c r="B1" s="1477"/>
      <c r="C1" s="1477"/>
      <c r="D1" s="1477"/>
      <c r="E1" s="1477"/>
      <c r="F1" s="1477"/>
      <c r="G1" s="1477"/>
      <c r="H1" s="1477"/>
      <c r="I1" s="1477"/>
      <c r="J1" s="1477"/>
      <c r="K1" s="1477"/>
      <c r="L1" s="1477"/>
      <c r="M1" s="1477"/>
      <c r="N1" s="1477"/>
      <c r="O1" s="1201"/>
      <c r="P1" s="1201"/>
      <c r="Q1" s="1201"/>
      <c r="R1" s="1201"/>
      <c r="S1" s="1201"/>
      <c r="T1" s="1201"/>
      <c r="U1" s="1201"/>
      <c r="V1" s="1201"/>
      <c r="W1" s="1201"/>
      <c r="X1" s="1201"/>
      <c r="Y1" s="1201"/>
    </row>
    <row r="2" spans="1:27" s="777" customFormat="1">
      <c r="A2" s="1202"/>
      <c r="B2" s="1202"/>
      <c r="C2" s="1201"/>
      <c r="D2" s="1201"/>
      <c r="E2" s="1201"/>
      <c r="F2" s="1201"/>
      <c r="G2" s="1201"/>
      <c r="H2" s="1201"/>
      <c r="I2" s="1201"/>
      <c r="J2" s="1201"/>
      <c r="K2" s="1201"/>
      <c r="L2" s="1201"/>
      <c r="M2" s="1201"/>
      <c r="N2" s="1201"/>
      <c r="O2" s="1201"/>
      <c r="P2" s="1201"/>
      <c r="Q2" s="1201"/>
      <c r="R2" s="1201"/>
      <c r="S2" s="1201"/>
      <c r="T2" s="1201"/>
      <c r="U2" s="1201"/>
      <c r="V2" s="1201"/>
      <c r="W2" s="1201"/>
      <c r="X2" s="1201"/>
      <c r="Y2" s="1201"/>
    </row>
    <row r="3" spans="1:27" s="777" customFormat="1">
      <c r="A3" s="1477" t="str">
        <f>+'74'!A3</f>
        <v>SERVICIO DE SALUD   ACONCAGUA   2015</v>
      </c>
      <c r="B3" s="1477"/>
      <c r="C3" s="1477"/>
      <c r="D3" s="1477"/>
      <c r="E3" s="1477"/>
      <c r="F3" s="1477"/>
      <c r="G3" s="1477"/>
      <c r="H3" s="1477"/>
      <c r="I3" s="1477"/>
      <c r="J3" s="1477"/>
      <c r="K3" s="1477"/>
      <c r="L3" s="1477"/>
      <c r="M3" s="1477"/>
      <c r="N3" s="1477"/>
      <c r="O3" s="1201"/>
      <c r="P3" s="1201"/>
      <c r="Q3" s="1201"/>
      <c r="R3" s="1201"/>
      <c r="S3" s="1201"/>
      <c r="T3" s="1201"/>
      <c r="U3" s="1201"/>
      <c r="V3" s="1201"/>
      <c r="W3" s="1201"/>
      <c r="X3" s="1201"/>
      <c r="Y3" s="1201"/>
    </row>
    <row r="4" spans="1:27" s="777" customFormat="1">
      <c r="A4" s="1201"/>
      <c r="B4" s="1201"/>
      <c r="C4" s="1201"/>
      <c r="D4" s="1201"/>
      <c r="E4" s="1201"/>
      <c r="F4" s="1201"/>
      <c r="G4" s="1201"/>
      <c r="H4" s="1201"/>
      <c r="I4" s="1201"/>
      <c r="J4" s="1201"/>
      <c r="K4" s="1201"/>
      <c r="L4" s="1201"/>
      <c r="M4" s="1201"/>
      <c r="N4" s="1201"/>
      <c r="O4" s="1201"/>
      <c r="P4" s="1201"/>
      <c r="Q4" s="1201"/>
      <c r="R4" s="1201"/>
      <c r="S4" s="1201"/>
      <c r="T4" s="1201"/>
      <c r="U4" s="1201"/>
      <c r="V4" s="1201"/>
      <c r="W4" s="1201"/>
      <c r="X4" s="1201"/>
      <c r="Y4" s="1201"/>
    </row>
    <row r="5" spans="1:27" s="777" customFormat="1" ht="15.75">
      <c r="A5" s="1203"/>
      <c r="B5" s="1203"/>
      <c r="C5" s="1203"/>
      <c r="D5" s="1203"/>
      <c r="E5" s="1203"/>
      <c r="F5" s="1203"/>
      <c r="G5" s="1203"/>
      <c r="H5" s="1203"/>
      <c r="I5" s="1203"/>
      <c r="J5" s="1203"/>
      <c r="K5" s="1203"/>
      <c r="L5" s="1203"/>
      <c r="M5" s="1203"/>
      <c r="N5" s="1203"/>
      <c r="O5" s="1203"/>
      <c r="P5" s="1203"/>
      <c r="Q5" s="1203"/>
      <c r="R5" s="1203"/>
      <c r="S5" s="1203"/>
      <c r="T5" s="1203"/>
      <c r="U5" s="1203"/>
      <c r="V5" s="1203"/>
      <c r="W5" s="1203"/>
      <c r="X5" s="1203"/>
      <c r="Y5" s="1203"/>
      <c r="Z5" s="776"/>
      <c r="AA5" s="776"/>
    </row>
    <row r="6" spans="1:27" ht="21" customHeight="1">
      <c r="A6" s="1197" t="s">
        <v>1404</v>
      </c>
      <c r="B6" s="1190" t="s">
        <v>509</v>
      </c>
      <c r="C6" s="1188" t="s">
        <v>1380</v>
      </c>
      <c r="D6" s="1188" t="s">
        <v>1381</v>
      </c>
      <c r="E6" s="1188" t="s">
        <v>1382</v>
      </c>
      <c r="F6" s="1188" t="s">
        <v>1383</v>
      </c>
      <c r="G6" s="1188" t="s">
        <v>1384</v>
      </c>
      <c r="H6" s="1188" t="s">
        <v>1385</v>
      </c>
      <c r="I6" s="1188" t="s">
        <v>1386</v>
      </c>
      <c r="J6" s="1188" t="s">
        <v>1387</v>
      </c>
      <c r="K6" s="1188" t="s">
        <v>1388</v>
      </c>
      <c r="L6" s="1188" t="s">
        <v>1389</v>
      </c>
      <c r="M6" s="1188" t="s">
        <v>1390</v>
      </c>
      <c r="N6" s="1189" t="s">
        <v>1391</v>
      </c>
      <c r="O6" s="11"/>
    </row>
    <row r="7" spans="1:27" s="8" customFormat="1" ht="25.5" customHeight="1">
      <c r="A7" s="1194" t="s">
        <v>1392</v>
      </c>
      <c r="B7" s="555">
        <f>SUM(C7:N7)</f>
        <v>26390</v>
      </c>
      <c r="C7" s="556">
        <v>30</v>
      </c>
      <c r="D7" s="556">
        <v>0</v>
      </c>
      <c r="E7" s="556">
        <v>3</v>
      </c>
      <c r="F7" s="556">
        <v>1307</v>
      </c>
      <c r="G7" s="556">
        <v>595</v>
      </c>
      <c r="H7" s="556">
        <v>174</v>
      </c>
      <c r="I7" s="556">
        <v>5065</v>
      </c>
      <c r="J7" s="556">
        <v>8602</v>
      </c>
      <c r="K7" s="556">
        <v>6996</v>
      </c>
      <c r="L7" s="556">
        <v>216</v>
      </c>
      <c r="M7" s="556">
        <v>1162</v>
      </c>
      <c r="N7" s="557">
        <v>2240</v>
      </c>
    </row>
    <row r="8" spans="1:27" s="8" customFormat="1" ht="25.5" customHeight="1">
      <c r="A8" s="1195" t="s">
        <v>1401</v>
      </c>
      <c r="B8" s="549">
        <f t="shared" ref="B8:B12" si="0">SUM(C8:N8)</f>
        <v>3566</v>
      </c>
      <c r="C8" s="548">
        <v>3</v>
      </c>
      <c r="D8" s="548">
        <v>0</v>
      </c>
      <c r="E8" s="548">
        <v>0</v>
      </c>
      <c r="F8" s="548">
        <v>177</v>
      </c>
      <c r="G8" s="548">
        <v>81</v>
      </c>
      <c r="H8" s="548">
        <v>25</v>
      </c>
      <c r="I8" s="548">
        <v>679</v>
      </c>
      <c r="J8" s="548">
        <v>1062</v>
      </c>
      <c r="K8" s="548">
        <v>1022</v>
      </c>
      <c r="L8" s="548">
        <v>33</v>
      </c>
      <c r="M8" s="548">
        <v>174</v>
      </c>
      <c r="N8" s="533">
        <v>310</v>
      </c>
    </row>
    <row r="9" spans="1:27" s="8" customFormat="1" ht="25.5" customHeight="1">
      <c r="A9" s="1195" t="s">
        <v>1402</v>
      </c>
      <c r="B9" s="549">
        <f t="shared" si="0"/>
        <v>2374</v>
      </c>
      <c r="C9" s="548">
        <v>0</v>
      </c>
      <c r="D9" s="548">
        <v>0</v>
      </c>
      <c r="E9" s="548">
        <v>0</v>
      </c>
      <c r="F9" s="548">
        <v>126</v>
      </c>
      <c r="G9" s="548">
        <v>6</v>
      </c>
      <c r="H9" s="548">
        <v>0</v>
      </c>
      <c r="I9" s="548">
        <v>1613</v>
      </c>
      <c r="J9" s="548">
        <v>484</v>
      </c>
      <c r="K9" s="548">
        <v>9</v>
      </c>
      <c r="L9" s="548">
        <v>78</v>
      </c>
      <c r="M9" s="548">
        <v>46</v>
      </c>
      <c r="N9" s="533">
        <v>12</v>
      </c>
    </row>
    <row r="10" spans="1:27" s="8" customFormat="1" ht="25.5" customHeight="1">
      <c r="A10" s="1195" t="s">
        <v>1403</v>
      </c>
      <c r="B10" s="549">
        <f t="shared" si="0"/>
        <v>888</v>
      </c>
      <c r="C10" s="548">
        <v>2</v>
      </c>
      <c r="D10" s="548">
        <v>0</v>
      </c>
      <c r="E10" s="548">
        <v>0</v>
      </c>
      <c r="F10" s="548">
        <v>318</v>
      </c>
      <c r="G10" s="548">
        <v>5</v>
      </c>
      <c r="H10" s="548">
        <v>1</v>
      </c>
      <c r="I10" s="548">
        <v>555</v>
      </c>
      <c r="J10" s="548">
        <v>1</v>
      </c>
      <c r="K10" s="548">
        <v>0</v>
      </c>
      <c r="L10" s="548">
        <v>6</v>
      </c>
      <c r="M10" s="548">
        <v>0</v>
      </c>
      <c r="N10" s="533">
        <v>0</v>
      </c>
    </row>
    <row r="11" spans="1:27" s="8" customFormat="1" ht="25.5" customHeight="1">
      <c r="A11" s="1195" t="s">
        <v>1395</v>
      </c>
      <c r="B11" s="549">
        <f t="shared" si="0"/>
        <v>4443</v>
      </c>
      <c r="C11" s="548">
        <v>6</v>
      </c>
      <c r="D11" s="548">
        <v>0</v>
      </c>
      <c r="E11" s="548">
        <v>0</v>
      </c>
      <c r="F11" s="548">
        <v>993</v>
      </c>
      <c r="G11" s="548">
        <v>135</v>
      </c>
      <c r="H11" s="548">
        <v>3</v>
      </c>
      <c r="I11" s="548">
        <v>444</v>
      </c>
      <c r="J11" s="548">
        <v>1868</v>
      </c>
      <c r="K11" s="548">
        <v>35</v>
      </c>
      <c r="L11" s="548">
        <v>54</v>
      </c>
      <c r="M11" s="548">
        <v>881</v>
      </c>
      <c r="N11" s="533">
        <v>24</v>
      </c>
    </row>
    <row r="12" spans="1:27" s="8" customFormat="1" ht="25.5" customHeight="1">
      <c r="A12" s="1195" t="s">
        <v>1406</v>
      </c>
      <c r="B12" s="549">
        <f t="shared" si="0"/>
        <v>1491</v>
      </c>
      <c r="C12" s="548">
        <v>163</v>
      </c>
      <c r="D12" s="548">
        <v>0</v>
      </c>
      <c r="E12" s="548">
        <v>0</v>
      </c>
      <c r="F12" s="548">
        <v>1119</v>
      </c>
      <c r="G12" s="548">
        <v>189</v>
      </c>
      <c r="H12" s="548">
        <v>2</v>
      </c>
      <c r="I12" s="548">
        <v>4</v>
      </c>
      <c r="J12" s="548">
        <v>11</v>
      </c>
      <c r="K12" s="548">
        <v>2</v>
      </c>
      <c r="L12" s="548">
        <v>0</v>
      </c>
      <c r="M12" s="548">
        <v>0</v>
      </c>
      <c r="N12" s="533">
        <v>1</v>
      </c>
    </row>
    <row r="13" spans="1:27" s="8" customFormat="1" ht="26.25" customHeight="1">
      <c r="A13" s="1196" t="s">
        <v>509</v>
      </c>
      <c r="B13" s="553">
        <f t="shared" ref="B13:N13" si="1">SUM(B7:B12)</f>
        <v>39152</v>
      </c>
      <c r="C13" s="551">
        <f t="shared" si="1"/>
        <v>204</v>
      </c>
      <c r="D13" s="551">
        <f t="shared" si="1"/>
        <v>0</v>
      </c>
      <c r="E13" s="551">
        <f t="shared" si="1"/>
        <v>3</v>
      </c>
      <c r="F13" s="551">
        <f t="shared" si="1"/>
        <v>4040</v>
      </c>
      <c r="G13" s="551">
        <f t="shared" si="1"/>
        <v>1011</v>
      </c>
      <c r="H13" s="551">
        <f t="shared" si="1"/>
        <v>205</v>
      </c>
      <c r="I13" s="551">
        <f t="shared" si="1"/>
        <v>8360</v>
      </c>
      <c r="J13" s="551">
        <f t="shared" si="1"/>
        <v>12028</v>
      </c>
      <c r="K13" s="551">
        <f t="shared" si="1"/>
        <v>8064</v>
      </c>
      <c r="L13" s="551">
        <f t="shared" si="1"/>
        <v>387</v>
      </c>
      <c r="M13" s="551">
        <f t="shared" si="1"/>
        <v>2263</v>
      </c>
      <c r="N13" s="552">
        <f t="shared" si="1"/>
        <v>2587</v>
      </c>
    </row>
    <row r="17" spans="1:11" ht="21" customHeight="1">
      <c r="A17" s="64"/>
      <c r="B17" s="1474" t="s">
        <v>150</v>
      </c>
      <c r="C17" s="1474"/>
      <c r="D17" s="1474"/>
      <c r="E17" s="1475" t="s">
        <v>1409</v>
      </c>
      <c r="F17" s="1476"/>
    </row>
    <row r="18" spans="1:11" ht="24" customHeight="1">
      <c r="A18" s="1198" t="s">
        <v>1404</v>
      </c>
      <c r="B18" s="1199" t="s">
        <v>1408</v>
      </c>
      <c r="C18" s="1199" t="s">
        <v>1407</v>
      </c>
      <c r="D18" s="1199" t="s">
        <v>922</v>
      </c>
      <c r="E18" s="1200" t="s">
        <v>509</v>
      </c>
      <c r="F18" s="1200" t="s">
        <v>529</v>
      </c>
    </row>
    <row r="19" spans="1:11" ht="24.75" customHeight="1">
      <c r="A19" s="1195" t="s">
        <v>1392</v>
      </c>
      <c r="B19" s="1191">
        <f>+'78'!S14</f>
        <v>27018</v>
      </c>
      <c r="C19" s="1311">
        <f>+B7</f>
        <v>26390</v>
      </c>
      <c r="D19" s="1248">
        <f>+C19/B19*100</f>
        <v>97.675623658301873</v>
      </c>
      <c r="E19" s="1191">
        <f>SUM(M7:N7)</f>
        <v>3402</v>
      </c>
      <c r="F19" s="1248">
        <f>+E19/B7*100</f>
        <v>12.891246684350133</v>
      </c>
      <c r="H19" s="1069"/>
      <c r="K19" s="354"/>
    </row>
    <row r="20" spans="1:11" ht="24.75" customHeight="1">
      <c r="A20" s="1195" t="s">
        <v>1401</v>
      </c>
      <c r="B20" s="1193">
        <f>+'78'!S15</f>
        <v>7031</v>
      </c>
      <c r="C20" s="332">
        <f>+B8</f>
        <v>3566</v>
      </c>
      <c r="D20" s="1249">
        <f t="shared" ref="D20:D25" si="2">+C20/B20*100</f>
        <v>50.718247759920352</v>
      </c>
      <c r="E20" s="1193">
        <f t="shared" ref="E20:E25" si="3">SUM(M8:N8)</f>
        <v>484</v>
      </c>
      <c r="F20" s="1249">
        <f t="shared" ref="F20:F25" si="4">+E20/B8*100</f>
        <v>13.572630398205272</v>
      </c>
      <c r="K20" s="354"/>
    </row>
    <row r="21" spans="1:11" ht="24.75" customHeight="1">
      <c r="A21" s="1195" t="s">
        <v>1402</v>
      </c>
      <c r="B21" s="1193">
        <f>+'78'!S17</f>
        <v>2543</v>
      </c>
      <c r="C21" s="332">
        <f t="shared" ref="C21:C24" si="5">+B9</f>
        <v>2374</v>
      </c>
      <c r="D21" s="1249">
        <f t="shared" si="2"/>
        <v>93.354305937868659</v>
      </c>
      <c r="E21" s="1193">
        <f t="shared" si="3"/>
        <v>58</v>
      </c>
      <c r="F21" s="1249">
        <f t="shared" si="4"/>
        <v>2.4431339511373209</v>
      </c>
    </row>
    <row r="22" spans="1:11" ht="24.75" customHeight="1">
      <c r="A22" s="1195" t="s">
        <v>1403</v>
      </c>
      <c r="B22" s="1193">
        <f>+'78'!S19</f>
        <v>915</v>
      </c>
      <c r="C22" s="332">
        <f t="shared" si="5"/>
        <v>888</v>
      </c>
      <c r="D22" s="1249">
        <f t="shared" si="2"/>
        <v>97.049180327868854</v>
      </c>
      <c r="E22" s="1193">
        <f t="shared" si="3"/>
        <v>0</v>
      </c>
      <c r="F22" s="1249">
        <f t="shared" si="4"/>
        <v>0</v>
      </c>
    </row>
    <row r="23" spans="1:11" ht="24.75" customHeight="1">
      <c r="A23" s="1195" t="s">
        <v>1395</v>
      </c>
      <c r="B23" s="1193">
        <f>+'78'!S16</f>
        <v>4534</v>
      </c>
      <c r="C23" s="332">
        <f t="shared" si="5"/>
        <v>4443</v>
      </c>
      <c r="D23" s="1249">
        <f t="shared" si="2"/>
        <v>97.992942214380236</v>
      </c>
      <c r="E23" s="1193">
        <f t="shared" si="3"/>
        <v>905</v>
      </c>
      <c r="F23" s="1249">
        <f t="shared" si="4"/>
        <v>20.369119963988297</v>
      </c>
    </row>
    <row r="24" spans="1:11" ht="24.75" customHeight="1">
      <c r="A24" s="1195" t="s">
        <v>1406</v>
      </c>
      <c r="B24" s="1193">
        <f>+'78'!S23</f>
        <v>1939</v>
      </c>
      <c r="C24" s="332">
        <f t="shared" si="5"/>
        <v>1491</v>
      </c>
      <c r="D24" s="1249">
        <f t="shared" si="2"/>
        <v>76.895306859205775</v>
      </c>
      <c r="E24" s="1193">
        <f t="shared" si="3"/>
        <v>1</v>
      </c>
      <c r="F24" s="1249">
        <f t="shared" si="4"/>
        <v>6.70690811535882E-2</v>
      </c>
    </row>
    <row r="25" spans="1:11" ht="22.5" customHeight="1">
      <c r="A25" s="1196" t="s">
        <v>509</v>
      </c>
      <c r="B25" s="671">
        <f>SUM(B19:B24)</f>
        <v>43980</v>
      </c>
      <c r="C25" s="334">
        <f>SUM(C19:C24)</f>
        <v>39152</v>
      </c>
      <c r="D25" s="1250">
        <f t="shared" si="2"/>
        <v>89.022282855843557</v>
      </c>
      <c r="E25" s="671">
        <f t="shared" si="3"/>
        <v>4850</v>
      </c>
      <c r="F25" s="1251">
        <f t="shared" si="4"/>
        <v>12.387617490805066</v>
      </c>
    </row>
  </sheetData>
  <mergeCells count="4">
    <mergeCell ref="A1:N1"/>
    <mergeCell ref="A3:N3"/>
    <mergeCell ref="B17:D17"/>
    <mergeCell ref="E17:F17"/>
  </mergeCells>
  <pageMargins left="0.7" right="0.7" top="0.75" bottom="0.75" header="0.3" footer="0.3"/>
  <pageSetup orientation="portrait" r:id="rId1"/>
  <ignoredErrors>
    <ignoredError sqref="E19:E25"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topLeftCell="A23" workbookViewId="0">
      <selection activeCell="G11" sqref="G11"/>
    </sheetView>
  </sheetViews>
  <sheetFormatPr baseColWidth="10" defaultRowHeight="12.75"/>
  <cols>
    <col min="1" max="1" width="18.85546875" customWidth="1"/>
    <col min="2" max="2" width="10.85546875" customWidth="1"/>
    <col min="3" max="3" width="10.7109375" customWidth="1"/>
    <col min="4" max="4" width="11.140625" customWidth="1"/>
    <col min="5" max="5" width="11" customWidth="1"/>
    <col min="6" max="6" width="11.28515625" customWidth="1"/>
    <col min="7" max="7" width="10.42578125" customWidth="1"/>
    <col min="8" max="8" width="14.140625" customWidth="1"/>
    <col min="9" max="9" width="7.5703125" customWidth="1"/>
    <col min="10" max="10" width="7.7109375" customWidth="1"/>
    <col min="11" max="11" width="12.140625" customWidth="1"/>
  </cols>
  <sheetData>
    <row r="1" spans="1:10">
      <c r="A1" s="82" t="s">
        <v>527</v>
      </c>
      <c r="B1" s="82"/>
      <c r="C1" s="83"/>
      <c r="D1" s="1"/>
      <c r="E1" s="1"/>
      <c r="F1" s="1"/>
      <c r="G1" s="1"/>
      <c r="H1" s="1"/>
    </row>
    <row r="2" spans="1:10">
      <c r="A2" s="82"/>
      <c r="B2" s="82"/>
      <c r="C2" s="83"/>
      <c r="D2" s="1"/>
      <c r="E2" s="1"/>
      <c r="F2" s="1"/>
      <c r="G2" s="1"/>
      <c r="H2" s="1"/>
    </row>
    <row r="3" spans="1:10">
      <c r="A3" s="3" t="s">
        <v>1366</v>
      </c>
      <c r="B3" s="82"/>
      <c r="C3" s="83"/>
      <c r="D3" s="1"/>
      <c r="E3" s="1"/>
      <c r="F3" s="1"/>
      <c r="G3" s="1"/>
      <c r="H3" s="1"/>
    </row>
    <row r="4" spans="1:10">
      <c r="A4" s="1"/>
      <c r="B4" s="1"/>
      <c r="C4" s="1"/>
      <c r="D4" s="1"/>
      <c r="E4" s="1"/>
      <c r="F4" s="1"/>
    </row>
    <row r="5" spans="1:10">
      <c r="A5" s="1"/>
      <c r="B5" s="1"/>
      <c r="C5" s="1"/>
      <c r="D5" s="1"/>
      <c r="E5" s="1"/>
      <c r="F5" s="1"/>
    </row>
    <row r="6" spans="1:10">
      <c r="A6" s="1"/>
      <c r="B6" s="1"/>
      <c r="C6" s="1"/>
      <c r="D6" s="1"/>
      <c r="E6" s="1"/>
      <c r="F6" s="1"/>
    </row>
    <row r="7" spans="1:10">
      <c r="A7" s="1"/>
      <c r="B7" s="1"/>
      <c r="C7" s="1"/>
      <c r="D7" s="1"/>
      <c r="E7" s="1"/>
      <c r="F7" s="1"/>
    </row>
    <row r="8" spans="1:10">
      <c r="A8" s="1"/>
      <c r="B8" s="1"/>
      <c r="C8" s="1"/>
      <c r="D8" s="1"/>
      <c r="E8" s="1"/>
      <c r="F8" s="1"/>
    </row>
    <row r="9" spans="1:10">
      <c r="A9" s="1"/>
      <c r="B9" s="1"/>
      <c r="C9" s="1"/>
      <c r="D9" s="1"/>
      <c r="E9" s="1"/>
      <c r="F9" s="1"/>
    </row>
    <row r="10" spans="1:10" ht="18" customHeight="1">
      <c r="A10" s="84"/>
      <c r="B10" s="85" t="s">
        <v>528</v>
      </c>
      <c r="C10" s="86"/>
      <c r="D10" s="87"/>
      <c r="E10" s="88" t="s">
        <v>529</v>
      </c>
      <c r="F10" s="89" t="s">
        <v>530</v>
      </c>
      <c r="G10" s="1127" t="s">
        <v>531</v>
      </c>
      <c r="H10" s="437"/>
    </row>
    <row r="11" spans="1:10" ht="17.25" customHeight="1">
      <c r="A11" s="90" t="s">
        <v>532</v>
      </c>
      <c r="B11" s="91" t="s">
        <v>533</v>
      </c>
      <c r="C11" s="92" t="s">
        <v>534</v>
      </c>
      <c r="D11" s="92" t="s">
        <v>535</v>
      </c>
      <c r="E11" s="93" t="s">
        <v>536</v>
      </c>
      <c r="F11" s="93" t="s">
        <v>537</v>
      </c>
      <c r="G11" s="1128" t="s">
        <v>538</v>
      </c>
      <c r="H11" s="1126"/>
    </row>
    <row r="12" spans="1:10" ht="18" customHeight="1">
      <c r="A12" s="94" t="s">
        <v>539</v>
      </c>
      <c r="B12" s="95">
        <f>+'8'!B9-'6'!C12</f>
        <v>73982.773000000001</v>
      </c>
      <c r="C12" s="96">
        <f>+'8'!B9*0.071</f>
        <v>5654.2269999999999</v>
      </c>
      <c r="D12" s="95">
        <f>SUM(B12:C12)</f>
        <v>79637</v>
      </c>
      <c r="E12" s="97">
        <f>+C12/D12*100</f>
        <v>7.1</v>
      </c>
      <c r="F12" s="98">
        <v>1258.3</v>
      </c>
      <c r="G12" s="230">
        <f>+D12/F12</f>
        <v>63.28935865850751</v>
      </c>
      <c r="H12" s="109"/>
      <c r="I12" s="1170" t="s">
        <v>539</v>
      </c>
      <c r="J12" s="156">
        <f>+E12</f>
        <v>7.1</v>
      </c>
    </row>
    <row r="13" spans="1:10" ht="18" customHeight="1">
      <c r="A13" s="94" t="s">
        <v>540</v>
      </c>
      <c r="B13" s="95">
        <f>+'8'!B17-'6'!C13</f>
        <v>9622.2119999999995</v>
      </c>
      <c r="C13" s="96">
        <f>+'8'!B17*0.476</f>
        <v>8740.7880000000005</v>
      </c>
      <c r="D13" s="95">
        <f>SUM(B13:C13)</f>
        <v>18363</v>
      </c>
      <c r="E13" s="97">
        <f>+C13/D13*100</f>
        <v>47.6</v>
      </c>
      <c r="F13" s="98">
        <v>1359</v>
      </c>
      <c r="G13" s="230">
        <f>+D13/F13</f>
        <v>13.512141280353202</v>
      </c>
      <c r="H13" s="109"/>
      <c r="I13" s="1170" t="s">
        <v>674</v>
      </c>
      <c r="J13" s="156">
        <f>+E13</f>
        <v>47.6</v>
      </c>
    </row>
    <row r="14" spans="1:10" ht="18" customHeight="1">
      <c r="A14" s="94" t="s">
        <v>541</v>
      </c>
      <c r="B14" s="95">
        <f>+'8'!B25-'6'!C14</f>
        <v>5843.25</v>
      </c>
      <c r="C14" s="96">
        <f>+'8'!B25*0.475</f>
        <v>5286.75</v>
      </c>
      <c r="D14" s="95">
        <f>SUM(B14:C14)</f>
        <v>11130</v>
      </c>
      <c r="E14" s="97">
        <f>+C14/D14*100</f>
        <v>47.5</v>
      </c>
      <c r="F14" s="98">
        <v>332.3</v>
      </c>
      <c r="G14" s="230">
        <f>+D14/F14</f>
        <v>33.493830875714714</v>
      </c>
      <c r="H14" s="109"/>
      <c r="I14" s="1170" t="s">
        <v>675</v>
      </c>
      <c r="J14" s="156">
        <f>+E14</f>
        <v>47.5</v>
      </c>
    </row>
    <row r="15" spans="1:10" ht="18" customHeight="1">
      <c r="A15" s="94" t="s">
        <v>542</v>
      </c>
      <c r="B15" s="95">
        <f>+'8'!B29-'6'!C15</f>
        <v>7159.6228000000001</v>
      </c>
      <c r="C15" s="96">
        <f>+'8'!B29*0.1442</f>
        <v>1206.3771999999999</v>
      </c>
      <c r="D15" s="95">
        <f>SUM(B15:C15)</f>
        <v>8366</v>
      </c>
      <c r="E15" s="97">
        <f>+C15/D15*100</f>
        <v>14.42</v>
      </c>
      <c r="F15" s="98">
        <v>128</v>
      </c>
      <c r="G15" s="230">
        <f>+D15/F15</f>
        <v>65.359375</v>
      </c>
      <c r="H15" s="109"/>
      <c r="I15" s="1170" t="s">
        <v>676</v>
      </c>
      <c r="J15" s="156">
        <f>+E15</f>
        <v>14.42</v>
      </c>
    </row>
    <row r="16" spans="1:10" ht="14.25" customHeight="1">
      <c r="A16" s="94"/>
      <c r="B16" s="95"/>
      <c r="C16" s="96"/>
      <c r="D16" s="99"/>
      <c r="E16" s="96"/>
      <c r="F16" s="98"/>
      <c r="G16" s="538"/>
      <c r="H16" s="99"/>
      <c r="I16" s="1170" t="s">
        <v>544</v>
      </c>
      <c r="J16" s="156">
        <f t="shared" ref="J16:J21" si="0">+E19</f>
        <v>10</v>
      </c>
    </row>
    <row r="17" spans="1:10" ht="18" customHeight="1">
      <c r="A17" s="101" t="s">
        <v>543</v>
      </c>
      <c r="B17" s="102">
        <f>SUM(B12:B15)</f>
        <v>96607.857799999998</v>
      </c>
      <c r="C17" s="103">
        <f>SUM(C12:C15)</f>
        <v>20888.142199999998</v>
      </c>
      <c r="D17" s="102">
        <f>SUM(B17:C17)</f>
        <v>117496</v>
      </c>
      <c r="E17" s="104">
        <f>+C17/D17*100</f>
        <v>17.777747497787157</v>
      </c>
      <c r="F17" s="105">
        <f>SUM(F12:F15)</f>
        <v>3077.6000000000004</v>
      </c>
      <c r="G17" s="231">
        <f>+D17/F17</f>
        <v>38.17780088380556</v>
      </c>
      <c r="H17" s="155"/>
      <c r="I17" s="1170" t="s">
        <v>545</v>
      </c>
      <c r="J17" s="156">
        <f t="shared" si="0"/>
        <v>56.999999999999993</v>
      </c>
    </row>
    <row r="18" spans="1:10" ht="15" customHeight="1">
      <c r="A18" s="94"/>
      <c r="B18" s="95"/>
      <c r="C18" s="96"/>
      <c r="D18" s="94"/>
      <c r="E18" s="106"/>
      <c r="F18" s="107"/>
      <c r="G18" s="538"/>
      <c r="H18" s="561"/>
      <c r="I18" s="1170" t="s">
        <v>546</v>
      </c>
      <c r="J18" s="156">
        <f t="shared" si="0"/>
        <v>38</v>
      </c>
    </row>
    <row r="19" spans="1:10" ht="18" customHeight="1">
      <c r="A19" s="94" t="s">
        <v>544</v>
      </c>
      <c r="B19" s="95">
        <f>+'8'!B37-'6'!C19</f>
        <v>73350</v>
      </c>
      <c r="C19" s="96">
        <f>+'8'!B37*0.1</f>
        <v>8150</v>
      </c>
      <c r="D19" s="95">
        <f t="shared" ref="D19:D24" si="1">SUM(B19:C19)</f>
        <v>81500</v>
      </c>
      <c r="E19" s="97">
        <f t="shared" ref="E19:E24" si="2">+C19/D19*100</f>
        <v>10</v>
      </c>
      <c r="F19" s="98">
        <v>200.8</v>
      </c>
      <c r="G19" s="230">
        <f t="shared" ref="G19:G24" si="3">+D19/F19</f>
        <v>405.87649402390434</v>
      </c>
      <c r="H19" s="109"/>
      <c r="I19" s="1170" t="s">
        <v>677</v>
      </c>
      <c r="J19" s="156">
        <f t="shared" si="0"/>
        <v>55.000000000000007</v>
      </c>
    </row>
    <row r="20" spans="1:10" ht="18" customHeight="1">
      <c r="A20" s="94" t="s">
        <v>545</v>
      </c>
      <c r="B20" s="95">
        <f>+'8'!B43-'6'!C20</f>
        <v>7699.5800000000017</v>
      </c>
      <c r="C20" s="96">
        <f>+'8'!B43*0.57</f>
        <v>10206.419999999998</v>
      </c>
      <c r="D20" s="95">
        <f t="shared" si="1"/>
        <v>17906</v>
      </c>
      <c r="E20" s="97">
        <f t="shared" si="2"/>
        <v>56.999999999999993</v>
      </c>
      <c r="F20" s="98">
        <v>1397</v>
      </c>
      <c r="G20" s="230">
        <f t="shared" si="3"/>
        <v>12.817465998568361</v>
      </c>
      <c r="H20" s="109"/>
      <c r="I20" s="1170" t="s">
        <v>548</v>
      </c>
      <c r="J20" s="156">
        <f t="shared" si="0"/>
        <v>25</v>
      </c>
    </row>
    <row r="21" spans="1:10" ht="18" customHeight="1">
      <c r="A21" s="94" t="s">
        <v>546</v>
      </c>
      <c r="B21" s="95">
        <f>+'8'!B56-'6'!C21</f>
        <v>9282.64</v>
      </c>
      <c r="C21" s="96">
        <f>+'8'!B56*0.38</f>
        <v>5689.36</v>
      </c>
      <c r="D21" s="95">
        <f t="shared" si="1"/>
        <v>14972</v>
      </c>
      <c r="E21" s="97">
        <f t="shared" si="2"/>
        <v>38</v>
      </c>
      <c r="F21" s="98">
        <v>178.3</v>
      </c>
      <c r="G21" s="230">
        <f t="shared" si="3"/>
        <v>83.970835670218733</v>
      </c>
      <c r="H21" s="109"/>
      <c r="I21" s="1170" t="s">
        <v>549</v>
      </c>
      <c r="J21" s="156">
        <f t="shared" si="0"/>
        <v>45</v>
      </c>
    </row>
    <row r="22" spans="1:10" ht="18" customHeight="1">
      <c r="A22" s="94" t="s">
        <v>547</v>
      </c>
      <c r="B22" s="95">
        <f>+'8'!B61-'6'!C22</f>
        <v>3484.3499999999995</v>
      </c>
      <c r="C22" s="96">
        <f>+'8'!B61*0.55</f>
        <v>4258.6500000000005</v>
      </c>
      <c r="D22" s="95">
        <f t="shared" si="1"/>
        <v>7743</v>
      </c>
      <c r="E22" s="97">
        <f t="shared" si="2"/>
        <v>55.000000000000007</v>
      </c>
      <c r="F22" s="98">
        <v>123.5</v>
      </c>
      <c r="G22" s="230">
        <f t="shared" si="3"/>
        <v>62.696356275303643</v>
      </c>
      <c r="H22" s="109"/>
    </row>
    <row r="23" spans="1:10" ht="18" customHeight="1">
      <c r="A23" s="94" t="s">
        <v>548</v>
      </c>
      <c r="B23" s="95">
        <f>+'8'!B67-'6'!C23</f>
        <v>17919</v>
      </c>
      <c r="C23" s="96">
        <f>+'8'!B67*0.25</f>
        <v>5973</v>
      </c>
      <c r="D23" s="95">
        <f t="shared" si="1"/>
        <v>23892</v>
      </c>
      <c r="E23" s="97">
        <f t="shared" si="2"/>
        <v>25</v>
      </c>
      <c r="F23" s="98">
        <v>349</v>
      </c>
      <c r="G23" s="230">
        <f t="shared" si="3"/>
        <v>68.458452722063043</v>
      </c>
      <c r="H23" s="109"/>
    </row>
    <row r="24" spans="1:10" ht="18" customHeight="1">
      <c r="A24" s="94" t="s">
        <v>549</v>
      </c>
      <c r="B24" s="95">
        <f>+'8'!B73-'6'!C24</f>
        <v>7411.8</v>
      </c>
      <c r="C24" s="96">
        <f>+'8'!B73*0.45</f>
        <v>6064.2</v>
      </c>
      <c r="D24" s="95">
        <f t="shared" si="1"/>
        <v>13476</v>
      </c>
      <c r="E24" s="97">
        <f t="shared" si="2"/>
        <v>45</v>
      </c>
      <c r="F24" s="98">
        <v>350.2</v>
      </c>
      <c r="G24" s="230">
        <f t="shared" si="3"/>
        <v>38.480868075385494</v>
      </c>
      <c r="H24" s="109"/>
    </row>
    <row r="25" spans="1:10" ht="13.5" customHeight="1">
      <c r="A25" s="94"/>
      <c r="B25" s="95"/>
      <c r="C25" s="96"/>
      <c r="D25" s="109"/>
      <c r="E25" s="96"/>
      <c r="F25" s="98"/>
      <c r="G25" s="230"/>
      <c r="H25" s="109"/>
    </row>
    <row r="26" spans="1:10" ht="18" customHeight="1">
      <c r="A26" s="101" t="s">
        <v>551</v>
      </c>
      <c r="B26" s="102">
        <f>SUM(B19:B25)</f>
        <v>119147.37000000001</v>
      </c>
      <c r="C26" s="103">
        <f>SUM(C19:C25)</f>
        <v>40341.629999999997</v>
      </c>
      <c r="D26" s="102">
        <f>SUM(B26:C26)</f>
        <v>159489</v>
      </c>
      <c r="E26" s="104">
        <f>+C26/D26*100</f>
        <v>25.294302428380639</v>
      </c>
      <c r="F26" s="105">
        <f>SUM(F19:F24)</f>
        <v>2598.7999999999997</v>
      </c>
      <c r="G26" s="231">
        <f>+D26/F26</f>
        <v>61.370247806680013</v>
      </c>
      <c r="H26" s="155"/>
    </row>
    <row r="27" spans="1:10" ht="11.25" customHeight="1">
      <c r="A27" s="94"/>
      <c r="B27" s="95"/>
      <c r="C27" s="96"/>
      <c r="D27" s="99"/>
      <c r="E27" s="96"/>
      <c r="F27" s="98"/>
      <c r="G27" s="538"/>
      <c r="H27" s="99"/>
    </row>
    <row r="28" spans="1:10" ht="21.75" customHeight="1">
      <c r="A28" s="110" t="s">
        <v>552</v>
      </c>
      <c r="B28" s="111">
        <f>+B17+B26</f>
        <v>215755.22779999999</v>
      </c>
      <c r="C28" s="112">
        <f>+C17+C26</f>
        <v>61229.772199999992</v>
      </c>
      <c r="D28" s="111">
        <f>SUM(B28:C28)</f>
        <v>276985</v>
      </c>
      <c r="E28" s="113">
        <f>+C28/D28*100</f>
        <v>22.1058079679405</v>
      </c>
      <c r="F28" s="114">
        <f>+F17+F26</f>
        <v>5676.4</v>
      </c>
      <c r="G28" s="232">
        <f>+D28/F28</f>
        <v>48.795891762384613</v>
      </c>
      <c r="H28" s="155"/>
    </row>
    <row r="29" spans="1:10">
      <c r="A29" s="8" t="s">
        <v>1290</v>
      </c>
      <c r="B29" s="8"/>
      <c r="C29" s="8"/>
      <c r="D29" s="8"/>
      <c r="E29" s="8"/>
      <c r="F29" s="8"/>
    </row>
    <row r="30" spans="1:10">
      <c r="A30" s="8"/>
      <c r="B30" s="8"/>
      <c r="C30" s="8"/>
      <c r="D30" s="8"/>
      <c r="E30" s="8"/>
      <c r="F30" s="8"/>
    </row>
    <row r="31" spans="1:10">
      <c r="A31" s="8"/>
      <c r="B31" s="8"/>
      <c r="C31" s="8"/>
      <c r="D31" s="8"/>
      <c r="E31" s="8"/>
      <c r="F31" s="8"/>
    </row>
    <row r="32" spans="1:10">
      <c r="A32" s="8"/>
      <c r="B32" s="8"/>
      <c r="C32" s="8"/>
      <c r="D32" s="8"/>
      <c r="E32" s="8"/>
      <c r="F32" s="8"/>
    </row>
    <row r="33" spans="1:6">
      <c r="A33" s="8"/>
      <c r="B33" s="8"/>
      <c r="C33" s="8"/>
      <c r="D33" s="8"/>
      <c r="E33" s="8"/>
      <c r="F33" s="8"/>
    </row>
    <row r="34" spans="1:6">
      <c r="A34" s="8"/>
      <c r="B34" s="8"/>
      <c r="C34" s="8"/>
      <c r="D34" s="8"/>
      <c r="E34" s="8"/>
      <c r="F34" s="8"/>
    </row>
    <row r="35" spans="1:6">
      <c r="A35" s="8"/>
      <c r="B35" s="8"/>
      <c r="C35" s="8"/>
      <c r="D35" s="8"/>
      <c r="E35" s="8"/>
      <c r="F35" s="8"/>
    </row>
    <row r="36" spans="1:6">
      <c r="A36" s="8"/>
      <c r="B36" s="8"/>
      <c r="C36" s="8"/>
      <c r="D36" s="8"/>
      <c r="E36" s="8"/>
      <c r="F36" s="8"/>
    </row>
    <row r="37" spans="1:6">
      <c r="A37" s="8"/>
      <c r="B37" s="8"/>
      <c r="C37" s="8"/>
      <c r="D37" s="8"/>
      <c r="E37" s="8"/>
      <c r="F37" s="8"/>
    </row>
    <row r="38" spans="1:6">
      <c r="A38" s="8"/>
      <c r="B38" s="8"/>
      <c r="C38" s="8"/>
      <c r="D38" s="8"/>
      <c r="E38" s="8"/>
      <c r="F38" s="8"/>
    </row>
    <row r="39" spans="1:6">
      <c r="A39" s="8"/>
      <c r="B39" s="8"/>
      <c r="C39" s="8"/>
      <c r="D39" s="8"/>
      <c r="E39" s="8"/>
      <c r="F39" s="8"/>
    </row>
    <row r="40" spans="1:6">
      <c r="A40" s="8"/>
      <c r="B40" s="8"/>
      <c r="C40" s="8"/>
      <c r="D40" s="8"/>
      <c r="E40" s="8"/>
      <c r="F40" s="8"/>
    </row>
    <row r="41" spans="1:6">
      <c r="A41" s="8"/>
      <c r="B41" s="8"/>
      <c r="C41" s="8"/>
      <c r="D41" s="8"/>
      <c r="E41" s="8"/>
      <c r="F41" s="8"/>
    </row>
  </sheetData>
  <phoneticPr fontId="19" type="noConversion"/>
  <pageMargins left="0.98425196850393704" right="0.59055118110236227" top="1.3779527559055118" bottom="0.98425196850393704" header="0.51181102362204722" footer="0.51181102362204722"/>
  <pageSetup paperSize="5" orientation="portrait" horizontalDpi="300" verticalDpi="300"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2"/>
  <sheetViews>
    <sheetView showGridLines="0" zoomScale="75" workbookViewId="0">
      <selection activeCell="A13" sqref="A13:B13"/>
    </sheetView>
  </sheetViews>
  <sheetFormatPr baseColWidth="10" defaultColWidth="12.5703125" defaultRowHeight="12.75"/>
  <cols>
    <col min="1" max="1" width="31.5703125" style="826" customWidth="1"/>
    <col min="2" max="2" width="9.42578125" style="826" customWidth="1"/>
    <col min="3" max="3" width="8.140625" style="826" customWidth="1"/>
    <col min="4" max="4" width="8.42578125" style="826" customWidth="1"/>
    <col min="5" max="9" width="8.140625" style="826" customWidth="1"/>
    <col min="10" max="10" width="7" style="826" customWidth="1"/>
    <col min="11" max="12" width="8.140625" style="826" customWidth="1"/>
    <col min="13" max="13" width="9.28515625" style="826" customWidth="1"/>
    <col min="14" max="14" width="8.28515625" style="826" customWidth="1"/>
    <col min="15" max="17" width="8.140625" style="826" customWidth="1"/>
    <col min="18" max="21" width="9" style="826" customWidth="1"/>
    <col min="22" max="22" width="8.28515625" style="826" customWidth="1"/>
    <col min="23" max="23" width="8.85546875" style="826" customWidth="1"/>
    <col min="24" max="24" width="9.85546875" style="826" customWidth="1"/>
    <col min="25" max="25" width="9.7109375" style="826" customWidth="1"/>
    <col min="26" max="26" width="10.85546875" style="764" customWidth="1"/>
    <col min="27" max="27" width="9.28515625" style="764" customWidth="1"/>
    <col min="28" max="16384" width="12.5703125" style="764"/>
  </cols>
  <sheetData>
    <row r="1" spans="1:27">
      <c r="A1" s="761" t="s">
        <v>186</v>
      </c>
      <c r="B1" s="761"/>
      <c r="C1" s="762"/>
      <c r="D1" s="762"/>
      <c r="E1" s="762"/>
      <c r="F1" s="762"/>
      <c r="G1" s="762"/>
      <c r="H1" s="762"/>
      <c r="I1" s="762"/>
      <c r="J1" s="762"/>
      <c r="K1" s="763"/>
      <c r="L1" s="762"/>
      <c r="M1" s="762"/>
      <c r="N1" s="762"/>
      <c r="O1" s="762"/>
      <c r="P1" s="762"/>
      <c r="Q1" s="762"/>
      <c r="R1" s="762"/>
      <c r="S1" s="762"/>
      <c r="T1" s="762"/>
      <c r="U1" s="762"/>
      <c r="V1" s="762"/>
      <c r="W1" s="762"/>
      <c r="X1" s="762"/>
      <c r="Y1" s="762"/>
    </row>
    <row r="2" spans="1:27">
      <c r="A2" s="761"/>
      <c r="B2" s="761"/>
      <c r="C2" s="762"/>
      <c r="D2" s="762"/>
      <c r="E2" s="762"/>
      <c r="F2" s="762"/>
      <c r="G2" s="762"/>
      <c r="H2" s="762"/>
      <c r="I2" s="762"/>
      <c r="J2" s="762"/>
      <c r="K2" s="762"/>
      <c r="L2" s="762"/>
      <c r="M2" s="762"/>
      <c r="N2" s="762"/>
      <c r="O2" s="762"/>
      <c r="P2" s="762"/>
      <c r="Q2" s="762"/>
      <c r="R2" s="762"/>
      <c r="S2" s="762"/>
      <c r="T2" s="762"/>
      <c r="U2" s="762"/>
      <c r="V2" s="762"/>
      <c r="W2" s="762"/>
      <c r="X2" s="762"/>
      <c r="Y2" s="762"/>
    </row>
    <row r="3" spans="1:27">
      <c r="A3" s="761" t="str">
        <f>+'76'!A3</f>
        <v>SERVICIO DE SALUD   ACONCAGUA   2015</v>
      </c>
      <c r="B3" s="761"/>
      <c r="C3" s="762"/>
      <c r="D3" s="762"/>
      <c r="E3" s="762"/>
      <c r="F3" s="762"/>
      <c r="G3" s="762"/>
      <c r="H3" s="762"/>
      <c r="I3" s="762"/>
      <c r="J3" s="762"/>
      <c r="K3" s="762"/>
      <c r="L3" s="762"/>
      <c r="M3" s="762"/>
      <c r="N3" s="762"/>
      <c r="O3" s="762"/>
      <c r="P3" s="762"/>
      <c r="Q3" s="762"/>
      <c r="R3" s="762"/>
      <c r="S3" s="762"/>
      <c r="T3" s="762"/>
      <c r="U3" s="762"/>
      <c r="V3" s="762"/>
      <c r="W3" s="762"/>
      <c r="X3" s="762"/>
      <c r="Y3" s="762"/>
    </row>
    <row r="4" spans="1:27">
      <c r="A4" s="762"/>
      <c r="B4" s="762"/>
      <c r="C4" s="762"/>
      <c r="D4" s="762"/>
      <c r="E4" s="762"/>
      <c r="F4" s="762"/>
      <c r="G4" s="762"/>
      <c r="H4" s="762"/>
      <c r="I4" s="762"/>
      <c r="J4" s="762"/>
      <c r="K4" s="762"/>
      <c r="L4" s="762"/>
      <c r="M4" s="762"/>
      <c r="N4" s="762"/>
      <c r="O4" s="762"/>
      <c r="P4" s="762"/>
      <c r="Q4" s="762"/>
      <c r="R4" s="762"/>
      <c r="S4" s="762"/>
      <c r="T4" s="762"/>
      <c r="U4" s="762"/>
      <c r="V4" s="762"/>
      <c r="W4" s="762"/>
      <c r="X4" s="762"/>
      <c r="Y4" s="762"/>
    </row>
    <row r="5" spans="1:27">
      <c r="A5" s="762"/>
      <c r="B5" s="762"/>
      <c r="C5" s="762"/>
      <c r="D5" s="762"/>
      <c r="E5" s="762"/>
      <c r="F5" s="762"/>
      <c r="G5" s="762"/>
      <c r="H5" s="762"/>
      <c r="I5" s="762"/>
      <c r="J5" s="762"/>
      <c r="K5" s="762"/>
      <c r="L5" s="762"/>
      <c r="M5" s="762"/>
      <c r="N5" s="762"/>
      <c r="O5" s="762"/>
      <c r="P5" s="762"/>
      <c r="Q5" s="762"/>
      <c r="R5" s="762"/>
      <c r="S5" s="762"/>
      <c r="T5" s="762"/>
      <c r="U5" s="762"/>
      <c r="V5" s="762"/>
      <c r="W5" s="762"/>
      <c r="X5" s="762"/>
      <c r="Y5" s="762"/>
    </row>
    <row r="6" spans="1:27">
      <c r="A6" s="762"/>
      <c r="B6" s="762"/>
      <c r="C6" s="762"/>
      <c r="D6" s="762"/>
      <c r="E6" s="762"/>
      <c r="F6" s="762"/>
      <c r="G6" s="762"/>
      <c r="H6" s="762"/>
      <c r="I6" s="762"/>
      <c r="J6" s="762"/>
      <c r="K6" s="762"/>
      <c r="L6" s="762"/>
      <c r="M6" s="762"/>
      <c r="N6" s="762"/>
      <c r="O6" s="762"/>
      <c r="P6" s="762"/>
      <c r="Q6" s="762"/>
      <c r="R6" s="762"/>
      <c r="S6" s="762"/>
      <c r="T6" s="762"/>
      <c r="U6" s="762"/>
      <c r="V6" s="762"/>
      <c r="W6" s="762"/>
      <c r="X6" s="762"/>
      <c r="Y6" s="762"/>
    </row>
    <row r="7" spans="1:27">
      <c r="A7" s="762"/>
      <c r="B7" s="762"/>
      <c r="C7" s="762"/>
      <c r="D7" s="762"/>
      <c r="E7" s="762"/>
      <c r="F7" s="762"/>
      <c r="G7" s="762"/>
      <c r="H7" s="762"/>
      <c r="I7" s="762"/>
      <c r="J7" s="762"/>
      <c r="K7" s="762"/>
      <c r="L7" s="762"/>
      <c r="M7" s="762"/>
      <c r="N7" s="762"/>
      <c r="O7" s="762"/>
      <c r="P7" s="762"/>
      <c r="Q7" s="762"/>
      <c r="R7" s="762"/>
      <c r="S7" s="762"/>
      <c r="T7" s="762"/>
      <c r="U7" s="762"/>
      <c r="V7" s="762"/>
      <c r="W7" s="762"/>
      <c r="X7" s="762"/>
      <c r="Y7" s="762"/>
    </row>
    <row r="8" spans="1:27" ht="15.75">
      <c r="A8" s="766"/>
      <c r="B8" s="766"/>
      <c r="C8" s="766"/>
      <c r="D8" s="766"/>
      <c r="E8" s="766"/>
      <c r="F8" s="766"/>
      <c r="G8" s="766"/>
      <c r="H8" s="766"/>
      <c r="I8" s="766"/>
      <c r="J8" s="766"/>
      <c r="K8" s="766"/>
      <c r="L8" s="766"/>
      <c r="M8" s="766"/>
      <c r="N8" s="766"/>
      <c r="O8" s="766"/>
      <c r="P8" s="766"/>
      <c r="Q8" s="766"/>
      <c r="R8" s="766"/>
      <c r="S8" s="766"/>
      <c r="T8" s="766"/>
      <c r="U8" s="766"/>
      <c r="V8" s="766"/>
      <c r="W8" s="766"/>
      <c r="X8" s="766"/>
      <c r="Y8" s="766"/>
      <c r="Z8" s="765"/>
      <c r="AA8" s="765"/>
    </row>
    <row r="9" spans="1:27" s="777" customFormat="1" ht="21.75" customHeight="1">
      <c r="A9" s="767"/>
      <c r="B9" s="767"/>
      <c r="C9" s="768"/>
      <c r="D9" s="769"/>
      <c r="E9" s="1472" t="s">
        <v>148</v>
      </c>
      <c r="F9" s="1472"/>
      <c r="G9" s="1472"/>
      <c r="H9" s="1472"/>
      <c r="I9" s="1472"/>
      <c r="J9" s="1472"/>
      <c r="K9" s="1472"/>
      <c r="L9" s="1472"/>
      <c r="M9" s="1472"/>
      <c r="N9" s="1472"/>
      <c r="O9" s="1472"/>
      <c r="P9" s="770"/>
      <c r="Q9" s="1470" t="s">
        <v>149</v>
      </c>
      <c r="R9" s="771" t="s">
        <v>150</v>
      </c>
      <c r="S9" s="772"/>
      <c r="T9" s="1478" t="s">
        <v>151</v>
      </c>
      <c r="U9" s="1479"/>
      <c r="V9" s="771" t="s">
        <v>152</v>
      </c>
      <c r="W9" s="775"/>
      <c r="X9" s="775"/>
      <c r="Y9" s="772"/>
      <c r="Z9" s="776"/>
      <c r="AA9" s="776"/>
    </row>
    <row r="10" spans="1:27" s="777" customFormat="1" ht="19.5" customHeight="1">
      <c r="A10" s="778" t="s">
        <v>153</v>
      </c>
      <c r="B10" s="1153" t="s">
        <v>1334</v>
      </c>
      <c r="C10" s="779"/>
      <c r="D10" s="780" t="s">
        <v>154</v>
      </c>
      <c r="E10" s="781" t="s">
        <v>155</v>
      </c>
      <c r="F10" s="782"/>
      <c r="G10" s="782"/>
      <c r="H10" s="782"/>
      <c r="I10" s="782"/>
      <c r="J10" s="782"/>
      <c r="K10" s="783"/>
      <c r="L10" s="784" t="s">
        <v>156</v>
      </c>
      <c r="M10" s="784"/>
      <c r="N10" s="784"/>
      <c r="O10" s="784"/>
      <c r="P10" s="780" t="s">
        <v>154</v>
      </c>
      <c r="Q10" s="1471"/>
      <c r="R10" s="785"/>
      <c r="S10" s="786"/>
      <c r="T10" s="787"/>
      <c r="U10" s="787"/>
      <c r="V10" s="788"/>
      <c r="W10" s="789"/>
      <c r="X10" s="789"/>
      <c r="Y10" s="790"/>
      <c r="Z10" s="776"/>
      <c r="AA10" s="776"/>
    </row>
    <row r="11" spans="1:27" s="777" customFormat="1" ht="36" customHeight="1">
      <c r="A11" s="778" t="s">
        <v>157</v>
      </c>
      <c r="B11" s="1153" t="s">
        <v>1335</v>
      </c>
      <c r="C11" s="791" t="s">
        <v>158</v>
      </c>
      <c r="D11" s="791" t="s">
        <v>159</v>
      </c>
      <c r="E11" s="792" t="s">
        <v>1097</v>
      </c>
      <c r="F11" s="793" t="s">
        <v>1095</v>
      </c>
      <c r="G11" s="793" t="s">
        <v>160</v>
      </c>
      <c r="H11" s="794" t="s">
        <v>161</v>
      </c>
      <c r="I11" s="794" t="s">
        <v>162</v>
      </c>
      <c r="J11" s="795" t="s">
        <v>237</v>
      </c>
      <c r="K11" s="793" t="s">
        <v>535</v>
      </c>
      <c r="L11" s="796" t="s">
        <v>163</v>
      </c>
      <c r="M11" s="794" t="s">
        <v>164</v>
      </c>
      <c r="N11" s="797" t="s">
        <v>165</v>
      </c>
      <c r="O11" s="793" t="s">
        <v>535</v>
      </c>
      <c r="P11" s="791" t="s">
        <v>166</v>
      </c>
      <c r="Q11" s="798" t="s">
        <v>167</v>
      </c>
      <c r="R11" s="799" t="s">
        <v>168</v>
      </c>
      <c r="S11" s="793" t="s">
        <v>169</v>
      </c>
      <c r="T11" s="793" t="s">
        <v>535</v>
      </c>
      <c r="U11" s="800" t="s">
        <v>170</v>
      </c>
      <c r="V11" s="794" t="s">
        <v>171</v>
      </c>
      <c r="W11" s="794" t="s">
        <v>172</v>
      </c>
      <c r="X11" s="801" t="s">
        <v>173</v>
      </c>
      <c r="Y11" s="802" t="s">
        <v>174</v>
      </c>
      <c r="Z11" s="776"/>
      <c r="AA11" s="776"/>
    </row>
    <row r="12" spans="1:27" ht="23.25" customHeight="1">
      <c r="A12" s="803" t="s">
        <v>644</v>
      </c>
      <c r="B12" s="1155"/>
      <c r="C12" s="804">
        <f t="shared" ref="C12:U12" si="0">SUM(C13:C26)</f>
        <v>45</v>
      </c>
      <c r="D12" s="804">
        <f t="shared" si="0"/>
        <v>11</v>
      </c>
      <c r="E12" s="804">
        <f t="shared" si="0"/>
        <v>1450</v>
      </c>
      <c r="F12" s="804">
        <f t="shared" si="0"/>
        <v>0</v>
      </c>
      <c r="G12" s="804">
        <f t="shared" si="0"/>
        <v>0</v>
      </c>
      <c r="H12" s="804">
        <f t="shared" si="0"/>
        <v>0</v>
      </c>
      <c r="I12" s="804">
        <f t="shared" si="0"/>
        <v>0</v>
      </c>
      <c r="J12" s="804">
        <f t="shared" si="0"/>
        <v>0</v>
      </c>
      <c r="K12" s="804">
        <f t="shared" si="0"/>
        <v>1450</v>
      </c>
      <c r="L12" s="804">
        <f t="shared" si="0"/>
        <v>1386</v>
      </c>
      <c r="M12" s="804">
        <f t="shared" si="0"/>
        <v>0</v>
      </c>
      <c r="N12" s="804">
        <f t="shared" si="0"/>
        <v>56</v>
      </c>
      <c r="O12" s="804">
        <f t="shared" si="0"/>
        <v>1442</v>
      </c>
      <c r="P12" s="804">
        <f t="shared" si="0"/>
        <v>19</v>
      </c>
      <c r="Q12" s="804">
        <f t="shared" si="0"/>
        <v>53</v>
      </c>
      <c r="R12" s="804">
        <f t="shared" si="0"/>
        <v>16050</v>
      </c>
      <c r="S12" s="804">
        <f t="shared" si="0"/>
        <v>8464</v>
      </c>
      <c r="T12" s="804">
        <f t="shared" si="0"/>
        <v>8682</v>
      </c>
      <c r="U12" s="804">
        <f t="shared" si="0"/>
        <v>8682</v>
      </c>
      <c r="V12" s="806">
        <f>S12/R12*100</f>
        <v>52.73520249221184</v>
      </c>
      <c r="W12" s="807">
        <f>+T12/O12</f>
        <v>6.0208044382801669</v>
      </c>
      <c r="X12" s="808">
        <f>+O12/(R12/30.4)</f>
        <v>2.7312647975077882</v>
      </c>
      <c r="Y12" s="809">
        <f>(+R12-S12)/O12</f>
        <v>5.2607489597780859</v>
      </c>
      <c r="Z12" s="765"/>
      <c r="AA12" s="765"/>
    </row>
    <row r="13" spans="1:27" ht="23.25" customHeight="1">
      <c r="A13" s="1148" t="s">
        <v>1507</v>
      </c>
      <c r="B13" s="778">
        <v>401</v>
      </c>
      <c r="C13" s="832">
        <v>33</v>
      </c>
      <c r="D13" s="812">
        <v>11</v>
      </c>
      <c r="E13" s="832">
        <v>1224</v>
      </c>
      <c r="F13" s="813"/>
      <c r="G13" s="813"/>
      <c r="H13" s="813"/>
      <c r="I13" s="813"/>
      <c r="J13" s="813"/>
      <c r="K13" s="805">
        <f>SUM(E13:J13)</f>
        <v>1224</v>
      </c>
      <c r="L13" s="813">
        <v>1160</v>
      </c>
      <c r="M13" s="832"/>
      <c r="N13" s="813">
        <v>56</v>
      </c>
      <c r="O13" s="805">
        <f>SUM(L13:N13)</f>
        <v>1216</v>
      </c>
      <c r="P13" s="814">
        <f>SUM(D13,K13)-O13</f>
        <v>19</v>
      </c>
      <c r="Q13" s="813">
        <v>43</v>
      </c>
      <c r="R13" s="813">
        <v>12045</v>
      </c>
      <c r="S13" s="832">
        <v>7719</v>
      </c>
      <c r="T13" s="813">
        <v>7935</v>
      </c>
      <c r="U13" s="832">
        <v>7935</v>
      </c>
      <c r="V13" s="806">
        <f>S13/R13*100</f>
        <v>64.084682440846834</v>
      </c>
      <c r="W13" s="807">
        <f>+T13/O13</f>
        <v>6.5254934210526319</v>
      </c>
      <c r="X13" s="808">
        <f>+O13/(R13/30.4)</f>
        <v>3.0690244914902447</v>
      </c>
      <c r="Y13" s="809">
        <f>(+R13-S13)/O13</f>
        <v>3.5575657894736841</v>
      </c>
      <c r="Z13" s="765"/>
      <c r="AA13" s="765"/>
    </row>
    <row r="14" spans="1:27" ht="23.25" customHeight="1">
      <c r="A14" s="1148" t="s">
        <v>1336</v>
      </c>
      <c r="B14" s="778">
        <v>403</v>
      </c>
      <c r="C14" s="832"/>
      <c r="D14" s="812"/>
      <c r="E14" s="832"/>
      <c r="F14" s="813"/>
      <c r="G14" s="813"/>
      <c r="H14" s="813"/>
      <c r="I14" s="813"/>
      <c r="J14" s="813"/>
      <c r="K14" s="805"/>
      <c r="L14" s="813"/>
      <c r="M14" s="832"/>
      <c r="N14" s="813"/>
      <c r="O14" s="805"/>
      <c r="P14" s="814"/>
      <c r="Q14" s="813"/>
      <c r="R14" s="813"/>
      <c r="S14" s="832"/>
      <c r="T14" s="813"/>
      <c r="U14" s="832"/>
      <c r="V14" s="806"/>
      <c r="W14" s="807"/>
      <c r="X14" s="808"/>
      <c r="Y14" s="809"/>
      <c r="Z14" s="765"/>
      <c r="AA14" s="765"/>
    </row>
    <row r="15" spans="1:27" ht="23.25" customHeight="1">
      <c r="A15" s="1148" t="s">
        <v>1337</v>
      </c>
      <c r="B15" s="778">
        <v>404</v>
      </c>
      <c r="C15" s="805"/>
      <c r="D15" s="814"/>
      <c r="E15" s="805"/>
      <c r="F15" s="814"/>
      <c r="G15" s="814"/>
      <c r="H15" s="814"/>
      <c r="I15" s="814"/>
      <c r="J15" s="814"/>
      <c r="K15" s="805"/>
      <c r="L15" s="814"/>
      <c r="M15" s="805"/>
      <c r="N15" s="814"/>
      <c r="O15" s="805"/>
      <c r="P15" s="814"/>
      <c r="Q15" s="814"/>
      <c r="R15" s="814"/>
      <c r="S15" s="805"/>
      <c r="T15" s="814"/>
      <c r="U15" s="805"/>
      <c r="V15" s="806"/>
      <c r="W15" s="807"/>
      <c r="X15" s="808"/>
      <c r="Y15" s="809"/>
      <c r="Z15" s="765"/>
      <c r="AA15" s="765"/>
    </row>
    <row r="16" spans="1:27" ht="23.25" customHeight="1">
      <c r="A16" s="810" t="s">
        <v>175</v>
      </c>
      <c r="B16" s="778">
        <v>416</v>
      </c>
      <c r="C16" s="832">
        <v>4</v>
      </c>
      <c r="D16" s="812"/>
      <c r="E16" s="832">
        <v>2</v>
      </c>
      <c r="F16" s="815"/>
      <c r="G16" s="815"/>
      <c r="H16" s="815"/>
      <c r="I16" s="815"/>
      <c r="J16" s="813"/>
      <c r="K16" s="805">
        <f>SUM(E16:J16)</f>
        <v>2</v>
      </c>
      <c r="L16" s="813">
        <v>2</v>
      </c>
      <c r="M16" s="832"/>
      <c r="N16" s="813"/>
      <c r="O16" s="805">
        <f>SUM(L16:N16)</f>
        <v>2</v>
      </c>
      <c r="P16" s="814">
        <f>SUM(D16,K16)-O16</f>
        <v>0</v>
      </c>
      <c r="Q16" s="813"/>
      <c r="R16" s="813">
        <v>1456</v>
      </c>
      <c r="S16" s="832">
        <v>4</v>
      </c>
      <c r="T16" s="813">
        <v>4</v>
      </c>
      <c r="U16" s="832">
        <v>4</v>
      </c>
      <c r="V16" s="806">
        <f>S16/R16*100</f>
        <v>0.27472527472527475</v>
      </c>
      <c r="W16" s="807">
        <f>+T16/O16</f>
        <v>2</v>
      </c>
      <c r="X16" s="808">
        <f>+O16/(R16/30.4)</f>
        <v>4.1758241758241756E-2</v>
      </c>
      <c r="Y16" s="809">
        <f>(+R16-S16)/O16</f>
        <v>726</v>
      </c>
      <c r="Z16" s="765"/>
      <c r="AA16" s="765"/>
    </row>
    <row r="17" spans="1:27" ht="23.25" customHeight="1">
      <c r="A17" s="1148" t="s">
        <v>1338</v>
      </c>
      <c r="B17" s="778">
        <v>407</v>
      </c>
      <c r="C17" s="832">
        <v>7</v>
      </c>
      <c r="D17" s="812"/>
      <c r="E17" s="832">
        <v>224</v>
      </c>
      <c r="F17" s="813"/>
      <c r="G17" s="813"/>
      <c r="H17" s="813"/>
      <c r="I17" s="813"/>
      <c r="J17" s="813"/>
      <c r="K17" s="805">
        <f>SUM(E17:J17)</f>
        <v>224</v>
      </c>
      <c r="L17" s="813">
        <v>224</v>
      </c>
      <c r="M17" s="832"/>
      <c r="N17" s="813"/>
      <c r="O17" s="805">
        <f>SUM(L17:N17)</f>
        <v>224</v>
      </c>
      <c r="P17" s="814">
        <f>SUM(D17,K17)-O17</f>
        <v>0</v>
      </c>
      <c r="Q17" s="813">
        <v>10</v>
      </c>
      <c r="R17" s="813">
        <v>2549</v>
      </c>
      <c r="S17" s="832">
        <v>741</v>
      </c>
      <c r="T17" s="813">
        <v>743</v>
      </c>
      <c r="U17" s="832">
        <v>743</v>
      </c>
      <c r="V17" s="806">
        <f>S17/R17*100</f>
        <v>29.070223617104745</v>
      </c>
      <c r="W17" s="807">
        <f>+T17/O17</f>
        <v>3.3169642857142856</v>
      </c>
      <c r="X17" s="808">
        <f>+O17/(R17/30.4)</f>
        <v>2.6714790113770106</v>
      </c>
      <c r="Y17" s="809">
        <f>(+R17-S17)/O17</f>
        <v>8.0714285714285712</v>
      </c>
      <c r="Z17" s="765"/>
      <c r="AA17" s="765"/>
    </row>
    <row r="18" spans="1:27" ht="23.25" customHeight="1">
      <c r="A18" s="1148" t="s">
        <v>1339</v>
      </c>
      <c r="B18" s="778">
        <v>409</v>
      </c>
      <c r="C18" s="832"/>
      <c r="D18" s="812"/>
      <c r="E18" s="832"/>
      <c r="F18" s="813"/>
      <c r="G18" s="813"/>
      <c r="H18" s="813"/>
      <c r="I18" s="813"/>
      <c r="J18" s="813"/>
      <c r="K18" s="805"/>
      <c r="L18" s="813"/>
      <c r="M18" s="832"/>
      <c r="N18" s="813"/>
      <c r="O18" s="805"/>
      <c r="P18" s="814"/>
      <c r="Q18" s="813"/>
      <c r="R18" s="813"/>
      <c r="S18" s="832"/>
      <c r="T18" s="813"/>
      <c r="U18" s="832"/>
      <c r="V18" s="806"/>
      <c r="W18" s="807"/>
      <c r="X18" s="808"/>
      <c r="Y18" s="809"/>
      <c r="Z18" s="765"/>
      <c r="AA18" s="765"/>
    </row>
    <row r="19" spans="1:27" ht="23.25" customHeight="1">
      <c r="A19" s="810" t="s">
        <v>176</v>
      </c>
      <c r="B19" s="778">
        <v>413</v>
      </c>
      <c r="C19" s="832"/>
      <c r="D19" s="812"/>
      <c r="E19" s="832"/>
      <c r="F19" s="813"/>
      <c r="G19" s="813"/>
      <c r="H19" s="813"/>
      <c r="I19" s="813"/>
      <c r="J19" s="813"/>
      <c r="K19" s="805"/>
      <c r="L19" s="813"/>
      <c r="M19" s="832"/>
      <c r="N19" s="813"/>
      <c r="O19" s="805"/>
      <c r="P19" s="814"/>
      <c r="Q19" s="813"/>
      <c r="R19" s="813"/>
      <c r="S19" s="832"/>
      <c r="T19" s="813"/>
      <c r="U19" s="832"/>
      <c r="V19" s="806"/>
      <c r="W19" s="807"/>
      <c r="X19" s="808"/>
      <c r="Y19" s="809"/>
      <c r="Z19" s="765"/>
      <c r="AA19" s="765"/>
    </row>
    <row r="20" spans="1:27" ht="23.25" customHeight="1">
      <c r="A20" s="1148" t="s">
        <v>1331</v>
      </c>
      <c r="B20" s="1153">
        <v>412</v>
      </c>
      <c r="C20" s="832"/>
      <c r="D20" s="813"/>
      <c r="E20" s="832"/>
      <c r="F20" s="813"/>
      <c r="G20" s="813"/>
      <c r="H20" s="813"/>
      <c r="I20" s="813"/>
      <c r="J20" s="813"/>
      <c r="K20" s="805"/>
      <c r="L20" s="813"/>
      <c r="M20" s="832"/>
      <c r="N20" s="813"/>
      <c r="O20" s="805"/>
      <c r="P20" s="814"/>
      <c r="Q20" s="813"/>
      <c r="R20" s="813"/>
      <c r="S20" s="832"/>
      <c r="T20" s="813"/>
      <c r="U20" s="832"/>
      <c r="V20" s="835"/>
      <c r="W20" s="807"/>
      <c r="X20" s="808"/>
      <c r="Y20" s="809"/>
      <c r="Z20" s="765"/>
      <c r="AA20" s="765"/>
    </row>
    <row r="21" spans="1:27" ht="23.25" customHeight="1">
      <c r="A21" s="810" t="s">
        <v>177</v>
      </c>
      <c r="B21" s="778">
        <v>414</v>
      </c>
      <c r="C21" s="832"/>
      <c r="D21" s="812"/>
      <c r="E21" s="832"/>
      <c r="F21" s="813"/>
      <c r="G21" s="813"/>
      <c r="H21" s="813"/>
      <c r="I21" s="813"/>
      <c r="J21" s="813"/>
      <c r="K21" s="805"/>
      <c r="L21" s="813"/>
      <c r="M21" s="832"/>
      <c r="N21" s="813"/>
      <c r="O21" s="805"/>
      <c r="P21" s="814"/>
      <c r="Q21" s="813"/>
      <c r="R21" s="813"/>
      <c r="S21" s="832"/>
      <c r="T21" s="813"/>
      <c r="U21" s="832"/>
      <c r="V21" s="806"/>
      <c r="W21" s="807"/>
      <c r="X21" s="808"/>
      <c r="Y21" s="809"/>
      <c r="Z21" s="765"/>
      <c r="AA21" s="765"/>
    </row>
    <row r="22" spans="1:27" ht="23.25" customHeight="1">
      <c r="A22" s="810" t="s">
        <v>178</v>
      </c>
      <c r="B22" s="778">
        <v>405</v>
      </c>
      <c r="C22" s="832"/>
      <c r="D22" s="812"/>
      <c r="E22" s="832"/>
      <c r="F22" s="813"/>
      <c r="G22" s="813"/>
      <c r="H22" s="813"/>
      <c r="I22" s="813"/>
      <c r="J22" s="813"/>
      <c r="K22" s="805"/>
      <c r="L22" s="813"/>
      <c r="M22" s="832"/>
      <c r="N22" s="813"/>
      <c r="O22" s="805"/>
      <c r="P22" s="814"/>
      <c r="Q22" s="813"/>
      <c r="R22" s="813"/>
      <c r="S22" s="832"/>
      <c r="T22" s="813"/>
      <c r="U22" s="832"/>
      <c r="V22" s="806"/>
      <c r="W22" s="807"/>
      <c r="X22" s="808"/>
      <c r="Y22" s="809"/>
      <c r="Z22" s="765"/>
      <c r="AA22" s="765"/>
    </row>
    <row r="23" spans="1:27" ht="23.25" customHeight="1">
      <c r="A23" s="810" t="s">
        <v>179</v>
      </c>
      <c r="B23" s="778">
        <v>406</v>
      </c>
      <c r="C23" s="832"/>
      <c r="D23" s="812"/>
      <c r="E23" s="832"/>
      <c r="F23" s="813"/>
      <c r="G23" s="813"/>
      <c r="H23" s="813"/>
      <c r="I23" s="813"/>
      <c r="J23" s="813"/>
      <c r="K23" s="805"/>
      <c r="L23" s="813"/>
      <c r="M23" s="832"/>
      <c r="N23" s="813"/>
      <c r="O23" s="805"/>
      <c r="P23" s="814"/>
      <c r="Q23" s="813"/>
      <c r="R23" s="813"/>
      <c r="S23" s="832"/>
      <c r="T23" s="813"/>
      <c r="U23" s="832"/>
      <c r="V23" s="806"/>
      <c r="W23" s="807"/>
      <c r="X23" s="808"/>
      <c r="Y23" s="809"/>
      <c r="Z23" s="765"/>
      <c r="AA23" s="765"/>
    </row>
    <row r="24" spans="1:27" ht="23.25" customHeight="1">
      <c r="A24" s="810" t="s">
        <v>787</v>
      </c>
      <c r="B24" s="778">
        <v>415</v>
      </c>
      <c r="C24" s="832"/>
      <c r="D24" s="812"/>
      <c r="E24" s="832"/>
      <c r="F24" s="813"/>
      <c r="G24" s="813"/>
      <c r="H24" s="813"/>
      <c r="I24" s="813"/>
      <c r="J24" s="813"/>
      <c r="K24" s="805"/>
      <c r="L24" s="813"/>
      <c r="M24" s="832"/>
      <c r="N24" s="813"/>
      <c r="O24" s="805"/>
      <c r="P24" s="814"/>
      <c r="Q24" s="813"/>
      <c r="R24" s="813"/>
      <c r="S24" s="832"/>
      <c r="T24" s="813"/>
      <c r="U24" s="832"/>
      <c r="V24" s="806"/>
      <c r="W24" s="807"/>
      <c r="X24" s="808"/>
      <c r="Y24" s="809"/>
      <c r="Z24" s="765"/>
      <c r="AA24" s="765"/>
    </row>
    <row r="25" spans="1:27" ht="23.25" customHeight="1">
      <c r="A25" s="810" t="s">
        <v>180</v>
      </c>
      <c r="B25" s="778">
        <v>330</v>
      </c>
      <c r="C25" s="832">
        <v>1</v>
      </c>
      <c r="D25" s="813"/>
      <c r="E25" s="832"/>
      <c r="F25" s="813"/>
      <c r="G25" s="813"/>
      <c r="H25" s="813"/>
      <c r="I25" s="813"/>
      <c r="J25" s="813"/>
      <c r="K25" s="805">
        <f>SUM(E25:J25)</f>
        <v>0</v>
      </c>
      <c r="L25" s="813"/>
      <c r="M25" s="832"/>
      <c r="N25" s="813"/>
      <c r="O25" s="805">
        <f>SUM(L25:N25)</f>
        <v>0</v>
      </c>
      <c r="P25" s="814">
        <f>SUM(D25,K25)-O25</f>
        <v>0</v>
      </c>
      <c r="Q25" s="813"/>
      <c r="R25" s="813"/>
      <c r="S25" s="832"/>
      <c r="T25" s="813"/>
      <c r="U25" s="832"/>
      <c r="V25" s="835"/>
      <c r="W25" s="807"/>
      <c r="X25" s="1054"/>
      <c r="Y25" s="809"/>
      <c r="Z25" s="765"/>
      <c r="AA25" s="765"/>
    </row>
    <row r="26" spans="1:27" ht="23.25" customHeight="1">
      <c r="A26" s="816" t="s">
        <v>1015</v>
      </c>
      <c r="B26" s="1156"/>
      <c r="C26" s="817"/>
      <c r="D26" s="818"/>
      <c r="E26" s="817"/>
      <c r="F26" s="819"/>
      <c r="G26" s="819"/>
      <c r="H26" s="819"/>
      <c r="I26" s="819"/>
      <c r="J26" s="818"/>
      <c r="K26" s="820"/>
      <c r="L26" s="818"/>
      <c r="M26" s="817"/>
      <c r="N26" s="818"/>
      <c r="O26" s="820"/>
      <c r="P26" s="821"/>
      <c r="Q26" s="819"/>
      <c r="R26" s="833"/>
      <c r="S26" s="834"/>
      <c r="T26" s="833"/>
      <c r="U26" s="834"/>
      <c r="V26" s="822"/>
      <c r="W26" s="823"/>
      <c r="X26" s="824"/>
      <c r="Y26" s="825"/>
      <c r="Z26" s="765"/>
      <c r="AA26" s="765"/>
    </row>
    <row r="27" spans="1:27" ht="15.75">
      <c r="Z27" s="765"/>
      <c r="AA27" s="765"/>
    </row>
    <row r="28" spans="1:27" ht="15.75">
      <c r="Z28" s="765"/>
      <c r="AA28" s="765"/>
    </row>
    <row r="29" spans="1:27" ht="15.75">
      <c r="Z29" s="765"/>
      <c r="AA29" s="765"/>
    </row>
    <row r="30" spans="1:27">
      <c r="O30" s="827"/>
    </row>
    <row r="31" spans="1:27">
      <c r="D31" s="828"/>
    </row>
    <row r="32" spans="1:27">
      <c r="D32" s="829"/>
    </row>
  </sheetData>
  <mergeCells count="3">
    <mergeCell ref="Q9:Q10"/>
    <mergeCell ref="T9:U9"/>
    <mergeCell ref="E9:O9"/>
  </mergeCells>
  <phoneticPr fontId="56" type="noConversion"/>
  <printOptions horizontalCentered="1" verticalCentered="1" gridLinesSet="0"/>
  <pageMargins left="0.19685039370078741" right="0.78740157480314965" top="0.27559055118110237" bottom="0.23622047244094491" header="0.39370078740157483" footer="0.39370078740157483"/>
  <pageSetup paperSize="5" scale="73" orientation="landscape" horizontalDpi="300" verticalDpi="300"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2"/>
  <sheetViews>
    <sheetView showGridLines="0" topLeftCell="A13" zoomScale="75" workbookViewId="0">
      <selection activeCell="A13" sqref="A13:B13"/>
    </sheetView>
  </sheetViews>
  <sheetFormatPr baseColWidth="10" defaultColWidth="12.5703125" defaultRowHeight="12.75"/>
  <cols>
    <col min="1" max="1" width="30.28515625" style="826" customWidth="1"/>
    <col min="2" max="2" width="9.42578125" style="826" customWidth="1"/>
    <col min="3" max="3" width="8.140625" style="826" customWidth="1"/>
    <col min="4" max="4" width="8.28515625" style="826" customWidth="1"/>
    <col min="5" max="9" width="8.140625" style="826" customWidth="1"/>
    <col min="10" max="10" width="7" style="826" customWidth="1"/>
    <col min="11" max="12" width="8.140625" style="826" customWidth="1"/>
    <col min="13" max="13" width="9.28515625" style="826" customWidth="1"/>
    <col min="14" max="14" width="8.28515625" style="826" customWidth="1"/>
    <col min="15" max="17" width="8.140625" style="826" customWidth="1"/>
    <col min="18" max="21" width="9.42578125" style="826" customWidth="1"/>
    <col min="22" max="22" width="8.28515625" style="826" customWidth="1"/>
    <col min="23" max="23" width="8.85546875" style="826" customWidth="1"/>
    <col min="24" max="24" width="8.5703125" style="826" customWidth="1"/>
    <col min="25" max="25" width="9.5703125" style="826" customWidth="1"/>
    <col min="26" max="26" width="10.85546875" style="764" customWidth="1"/>
    <col min="27" max="27" width="9.28515625" style="764" customWidth="1"/>
    <col min="28" max="16384" width="12.5703125" style="764"/>
  </cols>
  <sheetData>
    <row r="1" spans="1:27">
      <c r="A1" s="761" t="s">
        <v>187</v>
      </c>
      <c r="B1" s="761"/>
      <c r="C1" s="762"/>
      <c r="D1" s="762"/>
      <c r="E1" s="762"/>
      <c r="F1" s="762"/>
      <c r="G1" s="762"/>
      <c r="H1" s="762"/>
      <c r="I1" s="762"/>
      <c r="J1" s="762"/>
      <c r="K1" s="763"/>
      <c r="L1" s="762"/>
      <c r="M1" s="762"/>
      <c r="N1" s="762"/>
      <c r="O1" s="762"/>
      <c r="P1" s="762"/>
      <c r="Q1" s="762"/>
      <c r="R1" s="762"/>
      <c r="S1" s="762"/>
      <c r="T1" s="762"/>
      <c r="U1" s="762"/>
      <c r="V1" s="762"/>
      <c r="W1" s="762"/>
      <c r="X1" s="762"/>
      <c r="Y1" s="762"/>
    </row>
    <row r="2" spans="1:27">
      <c r="A2" s="761"/>
      <c r="B2" s="761"/>
      <c r="C2" s="762"/>
      <c r="D2" s="762"/>
      <c r="E2" s="762"/>
      <c r="F2" s="762"/>
      <c r="G2" s="762"/>
      <c r="H2" s="762"/>
      <c r="I2" s="762"/>
      <c r="J2" s="762"/>
      <c r="K2" s="762"/>
      <c r="L2" s="762"/>
      <c r="M2" s="762"/>
      <c r="N2" s="762"/>
      <c r="O2" s="762"/>
      <c r="P2" s="762"/>
      <c r="Q2" s="762"/>
      <c r="R2" s="762"/>
      <c r="S2" s="762"/>
      <c r="T2" s="762"/>
      <c r="U2" s="762"/>
      <c r="V2" s="762"/>
      <c r="W2" s="762"/>
      <c r="X2" s="762"/>
      <c r="Y2" s="762"/>
    </row>
    <row r="3" spans="1:27">
      <c r="A3" s="761" t="str">
        <f>+'76'!A3</f>
        <v>SERVICIO DE SALUD   ACONCAGUA   2015</v>
      </c>
      <c r="B3" s="761"/>
      <c r="C3" s="762"/>
      <c r="D3" s="762"/>
      <c r="E3" s="762"/>
      <c r="F3" s="762"/>
      <c r="G3" s="762"/>
      <c r="H3" s="762"/>
      <c r="I3" s="762"/>
      <c r="J3" s="762"/>
      <c r="K3" s="762"/>
      <c r="L3" s="762"/>
      <c r="M3" s="762"/>
      <c r="N3" s="762"/>
      <c r="O3" s="762"/>
      <c r="P3" s="762"/>
      <c r="Q3" s="762"/>
      <c r="R3" s="762"/>
      <c r="S3" s="762"/>
      <c r="T3" s="762"/>
      <c r="U3" s="762"/>
      <c r="V3" s="762"/>
      <c r="W3" s="762"/>
      <c r="X3" s="762"/>
      <c r="Y3" s="762"/>
    </row>
    <row r="4" spans="1:27">
      <c r="A4" s="762"/>
      <c r="B4" s="762"/>
      <c r="C4" s="762"/>
      <c r="D4" s="762"/>
      <c r="E4" s="762"/>
      <c r="F4" s="762"/>
      <c r="G4" s="762"/>
      <c r="H4" s="762"/>
      <c r="I4" s="762"/>
      <c r="J4" s="762"/>
      <c r="K4" s="762"/>
      <c r="L4" s="762"/>
      <c r="M4" s="762"/>
      <c r="N4" s="762"/>
      <c r="O4" s="762"/>
      <c r="P4" s="762"/>
      <c r="Q4" s="762"/>
      <c r="R4" s="762"/>
      <c r="S4" s="762"/>
      <c r="T4" s="762"/>
      <c r="U4" s="762"/>
      <c r="V4" s="762"/>
      <c r="W4" s="762"/>
      <c r="X4" s="762"/>
      <c r="Y4" s="762"/>
    </row>
    <row r="5" spans="1:27">
      <c r="A5" s="761"/>
      <c r="B5" s="761"/>
      <c r="C5" s="762"/>
      <c r="D5" s="762"/>
      <c r="E5" s="762"/>
      <c r="F5" s="762"/>
      <c r="G5" s="762"/>
      <c r="H5" s="762"/>
      <c r="I5" s="762"/>
      <c r="J5" s="762"/>
      <c r="K5" s="762"/>
      <c r="L5" s="762"/>
      <c r="M5" s="762"/>
      <c r="N5" s="762"/>
      <c r="O5" s="762"/>
      <c r="P5" s="762"/>
      <c r="Q5" s="762"/>
      <c r="R5" s="762"/>
      <c r="S5" s="762"/>
      <c r="T5" s="762"/>
      <c r="U5" s="762"/>
      <c r="V5" s="762"/>
      <c r="W5" s="762"/>
      <c r="X5" s="762"/>
      <c r="Y5" s="762"/>
    </row>
    <row r="6" spans="1:27">
      <c r="A6" s="762"/>
      <c r="B6" s="762"/>
      <c r="C6" s="762"/>
      <c r="D6" s="762"/>
      <c r="E6" s="762"/>
      <c r="F6" s="762"/>
      <c r="G6" s="762"/>
      <c r="H6" s="762"/>
      <c r="I6" s="762"/>
      <c r="J6" s="762"/>
      <c r="K6" s="762"/>
      <c r="L6" s="762"/>
      <c r="M6" s="762"/>
      <c r="N6" s="762"/>
      <c r="O6" s="762"/>
      <c r="P6" s="762"/>
      <c r="Q6" s="762"/>
      <c r="R6" s="762"/>
      <c r="S6" s="762"/>
      <c r="T6" s="762"/>
      <c r="U6" s="762"/>
      <c r="V6" s="762"/>
      <c r="W6" s="762"/>
      <c r="X6" s="762"/>
      <c r="Y6" s="762"/>
    </row>
    <row r="7" spans="1:27">
      <c r="A7" s="762"/>
      <c r="B7" s="762"/>
      <c r="C7" s="762"/>
      <c r="D7" s="762"/>
      <c r="E7" s="762"/>
      <c r="F7" s="762"/>
      <c r="G7" s="762"/>
      <c r="H7" s="762"/>
      <c r="I7" s="762"/>
      <c r="J7" s="762"/>
      <c r="K7" s="762"/>
      <c r="L7" s="762"/>
      <c r="M7" s="762"/>
      <c r="N7" s="762"/>
      <c r="O7" s="762"/>
      <c r="P7" s="762"/>
      <c r="Q7" s="1064"/>
      <c r="R7" s="762"/>
      <c r="S7" s="762"/>
      <c r="T7" s="762"/>
      <c r="U7" s="762"/>
      <c r="V7" s="762"/>
      <c r="W7" s="762"/>
      <c r="X7" s="762"/>
      <c r="Y7" s="762"/>
    </row>
    <row r="8" spans="1:27" ht="15.75">
      <c r="A8" s="766"/>
      <c r="B8" s="766"/>
      <c r="C8" s="766"/>
      <c r="D8" s="766"/>
      <c r="E8" s="766"/>
      <c r="F8" s="766"/>
      <c r="G8" s="766"/>
      <c r="H8" s="766"/>
      <c r="I8" s="766"/>
      <c r="J8" s="766"/>
      <c r="K8" s="766"/>
      <c r="L8" s="766"/>
      <c r="M8" s="766"/>
      <c r="N8" s="766"/>
      <c r="O8" s="766"/>
      <c r="P8" s="766"/>
      <c r="Q8" s="766"/>
      <c r="R8" s="766"/>
      <c r="S8" s="766"/>
      <c r="T8" s="766"/>
      <c r="U8" s="766"/>
      <c r="V8" s="766"/>
      <c r="W8" s="766"/>
      <c r="X8" s="766"/>
      <c r="Y8" s="766"/>
      <c r="Z8" s="765"/>
      <c r="AA8" s="765"/>
    </row>
    <row r="9" spans="1:27" s="777" customFormat="1" ht="21.75" customHeight="1">
      <c r="A9" s="767"/>
      <c r="B9" s="767"/>
      <c r="C9" s="768"/>
      <c r="D9" s="769"/>
      <c r="E9" s="1472" t="s">
        <v>148</v>
      </c>
      <c r="F9" s="1472"/>
      <c r="G9" s="1472"/>
      <c r="H9" s="1472"/>
      <c r="I9" s="1472"/>
      <c r="J9" s="1472"/>
      <c r="K9" s="1472"/>
      <c r="L9" s="1472"/>
      <c r="M9" s="1472"/>
      <c r="N9" s="1472"/>
      <c r="O9" s="1472"/>
      <c r="P9" s="770"/>
      <c r="Q9" s="1470" t="s">
        <v>149</v>
      </c>
      <c r="R9" s="771" t="s">
        <v>150</v>
      </c>
      <c r="S9" s="772"/>
      <c r="T9" s="773" t="s">
        <v>151</v>
      </c>
      <c r="U9" s="774"/>
      <c r="V9" s="771" t="s">
        <v>152</v>
      </c>
      <c r="W9" s="775"/>
      <c r="X9" s="775"/>
      <c r="Y9" s="772"/>
      <c r="Z9" s="776"/>
      <c r="AA9" s="776"/>
    </row>
    <row r="10" spans="1:27" s="777" customFormat="1" ht="19.5" customHeight="1">
      <c r="A10" s="778" t="s">
        <v>153</v>
      </c>
      <c r="B10" s="1153" t="s">
        <v>1334</v>
      </c>
      <c r="C10" s="779"/>
      <c r="D10" s="780" t="s">
        <v>154</v>
      </c>
      <c r="E10" s="781" t="s">
        <v>155</v>
      </c>
      <c r="F10" s="782"/>
      <c r="G10" s="782"/>
      <c r="H10" s="782"/>
      <c r="I10" s="782"/>
      <c r="J10" s="782"/>
      <c r="K10" s="783"/>
      <c r="L10" s="784" t="s">
        <v>156</v>
      </c>
      <c r="M10" s="784"/>
      <c r="N10" s="784"/>
      <c r="O10" s="784"/>
      <c r="P10" s="780" t="s">
        <v>154</v>
      </c>
      <c r="Q10" s="1471"/>
      <c r="R10" s="785"/>
      <c r="S10" s="786"/>
      <c r="T10" s="787"/>
      <c r="U10" s="787"/>
      <c r="V10" s="788"/>
      <c r="W10" s="789"/>
      <c r="X10" s="789"/>
      <c r="Y10" s="790"/>
      <c r="Z10" s="776"/>
      <c r="AA10" s="776"/>
    </row>
    <row r="11" spans="1:27" s="777" customFormat="1" ht="36" customHeight="1">
      <c r="A11" s="778" t="s">
        <v>157</v>
      </c>
      <c r="B11" s="1153" t="s">
        <v>1335</v>
      </c>
      <c r="C11" s="791" t="s">
        <v>158</v>
      </c>
      <c r="D11" s="791" t="s">
        <v>159</v>
      </c>
      <c r="E11" s="792" t="s">
        <v>1097</v>
      </c>
      <c r="F11" s="793" t="s">
        <v>1095</v>
      </c>
      <c r="G11" s="793" t="s">
        <v>160</v>
      </c>
      <c r="H11" s="794" t="s">
        <v>161</v>
      </c>
      <c r="I11" s="794" t="s">
        <v>162</v>
      </c>
      <c r="J11" s="795" t="s">
        <v>237</v>
      </c>
      <c r="K11" s="793" t="s">
        <v>535</v>
      </c>
      <c r="L11" s="796" t="s">
        <v>163</v>
      </c>
      <c r="M11" s="794" t="s">
        <v>164</v>
      </c>
      <c r="N11" s="797" t="s">
        <v>165</v>
      </c>
      <c r="O11" s="793" t="s">
        <v>535</v>
      </c>
      <c r="P11" s="791" t="s">
        <v>166</v>
      </c>
      <c r="Q11" s="798" t="s">
        <v>167</v>
      </c>
      <c r="R11" s="799" t="s">
        <v>168</v>
      </c>
      <c r="S11" s="793" t="s">
        <v>169</v>
      </c>
      <c r="T11" s="793" t="s">
        <v>535</v>
      </c>
      <c r="U11" s="800" t="s">
        <v>170</v>
      </c>
      <c r="V11" s="794" t="s">
        <v>171</v>
      </c>
      <c r="W11" s="794" t="s">
        <v>172</v>
      </c>
      <c r="X11" s="801" t="s">
        <v>173</v>
      </c>
      <c r="Y11" s="802" t="s">
        <v>174</v>
      </c>
      <c r="Z11" s="776"/>
      <c r="AA11" s="776"/>
    </row>
    <row r="12" spans="1:27" ht="23.25" customHeight="1">
      <c r="A12" s="803" t="s">
        <v>644</v>
      </c>
      <c r="B12" s="1155"/>
      <c r="C12" s="804">
        <f>SUM(C14:C26)</f>
        <v>28</v>
      </c>
      <c r="D12" s="804">
        <f t="shared" ref="D12:U12" si="0">SUM(D14:D26)</f>
        <v>13</v>
      </c>
      <c r="E12" s="804">
        <f t="shared" si="0"/>
        <v>570</v>
      </c>
      <c r="F12" s="804">
        <f t="shared" si="0"/>
        <v>0</v>
      </c>
      <c r="G12" s="804">
        <f t="shared" si="0"/>
        <v>0</v>
      </c>
      <c r="H12" s="804">
        <f t="shared" si="0"/>
        <v>0</v>
      </c>
      <c r="I12" s="804">
        <f t="shared" si="0"/>
        <v>0</v>
      </c>
      <c r="J12" s="804">
        <f t="shared" si="0"/>
        <v>0</v>
      </c>
      <c r="K12" s="804">
        <f t="shared" si="0"/>
        <v>570</v>
      </c>
      <c r="L12" s="804">
        <f t="shared" si="0"/>
        <v>518</v>
      </c>
      <c r="M12" s="804">
        <f t="shared" si="0"/>
        <v>0</v>
      </c>
      <c r="N12" s="804">
        <f t="shared" si="0"/>
        <v>50</v>
      </c>
      <c r="O12" s="804">
        <f t="shared" si="0"/>
        <v>568</v>
      </c>
      <c r="P12" s="804">
        <f t="shared" si="0"/>
        <v>15</v>
      </c>
      <c r="Q12" s="804">
        <f t="shared" si="0"/>
        <v>22</v>
      </c>
      <c r="R12" s="804">
        <f t="shared" si="0"/>
        <v>10220</v>
      </c>
      <c r="S12" s="804">
        <f t="shared" si="0"/>
        <v>5743</v>
      </c>
      <c r="T12" s="804">
        <f t="shared" si="0"/>
        <v>7047</v>
      </c>
      <c r="U12" s="804">
        <f t="shared" si="0"/>
        <v>7021</v>
      </c>
      <c r="V12" s="806">
        <f>S12/R12*100</f>
        <v>56.193737769080229</v>
      </c>
      <c r="W12" s="807">
        <f>+T12/O12</f>
        <v>12.40669014084507</v>
      </c>
      <c r="X12" s="1161">
        <f>+O12/(R12/30.4)</f>
        <v>1.6895499021526419</v>
      </c>
      <c r="Y12" s="809">
        <f>(+R12-S12)/O12</f>
        <v>7.882042253521127</v>
      </c>
      <c r="Z12" s="765"/>
      <c r="AA12" s="765"/>
    </row>
    <row r="13" spans="1:27" ht="23.25" customHeight="1">
      <c r="A13" s="1148" t="s">
        <v>1507</v>
      </c>
      <c r="B13" s="778">
        <v>401</v>
      </c>
      <c r="C13" s="805"/>
      <c r="D13" s="814"/>
      <c r="E13" s="805"/>
      <c r="F13" s="814"/>
      <c r="G13" s="814"/>
      <c r="H13" s="814"/>
      <c r="I13" s="814"/>
      <c r="J13" s="814"/>
      <c r="K13" s="805"/>
      <c r="L13" s="814"/>
      <c r="M13" s="805"/>
      <c r="N13" s="814"/>
      <c r="O13" s="805"/>
      <c r="P13" s="814"/>
      <c r="Q13" s="814"/>
      <c r="R13" s="814"/>
      <c r="S13" s="805"/>
      <c r="T13" s="814"/>
      <c r="U13" s="805"/>
      <c r="V13" s="806"/>
      <c r="W13" s="807"/>
      <c r="X13" s="1161"/>
      <c r="Y13" s="809"/>
      <c r="Z13" s="765"/>
      <c r="AA13" s="765"/>
    </row>
    <row r="14" spans="1:27" ht="23.25" customHeight="1">
      <c r="A14" s="1148" t="s">
        <v>1336</v>
      </c>
      <c r="B14" s="778">
        <v>403</v>
      </c>
      <c r="C14" s="832">
        <v>28</v>
      </c>
      <c r="D14" s="812">
        <v>13</v>
      </c>
      <c r="E14" s="832">
        <v>570</v>
      </c>
      <c r="F14" s="813"/>
      <c r="G14" s="813"/>
      <c r="H14" s="813"/>
      <c r="I14" s="813"/>
      <c r="J14" s="813"/>
      <c r="K14" s="805">
        <f>SUM(E14:J14)</f>
        <v>570</v>
      </c>
      <c r="L14" s="813">
        <v>518</v>
      </c>
      <c r="M14" s="832"/>
      <c r="N14" s="813">
        <v>50</v>
      </c>
      <c r="O14" s="805">
        <f>SUM(L14:N14)</f>
        <v>568</v>
      </c>
      <c r="P14" s="814">
        <f>SUM(D14,K14)-O14</f>
        <v>15</v>
      </c>
      <c r="Q14" s="813">
        <v>22</v>
      </c>
      <c r="R14" s="813">
        <v>10220</v>
      </c>
      <c r="S14" s="832">
        <v>5743</v>
      </c>
      <c r="T14" s="813">
        <v>7047</v>
      </c>
      <c r="U14" s="832">
        <v>7021</v>
      </c>
      <c r="V14" s="806">
        <f>S14/R14*100</f>
        <v>56.193737769080229</v>
      </c>
      <c r="W14" s="807">
        <f>+T14/O14</f>
        <v>12.40669014084507</v>
      </c>
      <c r="X14" s="808">
        <f>+O14/(R14/30.4)</f>
        <v>1.6895499021526419</v>
      </c>
      <c r="Y14" s="809">
        <f>(+R14-S14)/O14</f>
        <v>7.882042253521127</v>
      </c>
      <c r="Z14" s="765"/>
      <c r="AA14" s="765"/>
    </row>
    <row r="15" spans="1:27" ht="23.25" customHeight="1">
      <c r="A15" s="1148" t="s">
        <v>1337</v>
      </c>
      <c r="B15" s="778">
        <v>404</v>
      </c>
      <c r="C15" s="805"/>
      <c r="D15" s="814"/>
      <c r="E15" s="805"/>
      <c r="F15" s="814"/>
      <c r="G15" s="814"/>
      <c r="H15" s="814"/>
      <c r="I15" s="814"/>
      <c r="J15" s="814"/>
      <c r="K15" s="805"/>
      <c r="L15" s="814"/>
      <c r="M15" s="805"/>
      <c r="N15" s="814"/>
      <c r="O15" s="805"/>
      <c r="P15" s="814"/>
      <c r="Q15" s="814"/>
      <c r="R15" s="814"/>
      <c r="S15" s="805"/>
      <c r="T15" s="814"/>
      <c r="U15" s="805"/>
      <c r="V15" s="806"/>
      <c r="W15" s="807"/>
      <c r="X15" s="808"/>
      <c r="Y15" s="809"/>
      <c r="Z15" s="765"/>
      <c r="AA15" s="765"/>
    </row>
    <row r="16" spans="1:27" ht="23.25" customHeight="1">
      <c r="A16" s="810" t="s">
        <v>175</v>
      </c>
      <c r="B16" s="778">
        <v>416</v>
      </c>
      <c r="C16" s="811"/>
      <c r="D16" s="812"/>
      <c r="E16" s="832"/>
      <c r="F16" s="815"/>
      <c r="G16" s="815"/>
      <c r="H16" s="815"/>
      <c r="I16" s="815"/>
      <c r="J16" s="813"/>
      <c r="K16" s="805"/>
      <c r="L16" s="813"/>
      <c r="M16" s="832"/>
      <c r="N16" s="813"/>
      <c r="O16" s="805"/>
      <c r="P16" s="814"/>
      <c r="Q16" s="813"/>
      <c r="R16" s="813"/>
      <c r="S16" s="832"/>
      <c r="T16" s="813"/>
      <c r="U16" s="832"/>
      <c r="V16" s="806"/>
      <c r="W16" s="807"/>
      <c r="X16" s="808"/>
      <c r="Y16" s="809"/>
      <c r="Z16" s="765"/>
      <c r="AA16" s="765"/>
    </row>
    <row r="17" spans="1:27" ht="23.25" customHeight="1">
      <c r="A17" s="1148" t="s">
        <v>1338</v>
      </c>
      <c r="B17" s="778">
        <v>407</v>
      </c>
      <c r="C17" s="811"/>
      <c r="D17" s="813"/>
      <c r="E17" s="832"/>
      <c r="F17" s="813"/>
      <c r="G17" s="813"/>
      <c r="H17" s="813"/>
      <c r="I17" s="813"/>
      <c r="J17" s="813"/>
      <c r="K17" s="805"/>
      <c r="L17" s="813"/>
      <c r="M17" s="832"/>
      <c r="N17" s="813"/>
      <c r="O17" s="805"/>
      <c r="P17" s="814"/>
      <c r="Q17" s="813"/>
      <c r="R17" s="813"/>
      <c r="S17" s="832"/>
      <c r="T17" s="813"/>
      <c r="U17" s="832"/>
      <c r="V17" s="806"/>
      <c r="W17" s="807"/>
      <c r="X17" s="808"/>
      <c r="Y17" s="809"/>
      <c r="Z17" s="765"/>
      <c r="AA17" s="765"/>
    </row>
    <row r="18" spans="1:27" ht="23.25" customHeight="1">
      <c r="A18" s="1148" t="s">
        <v>1339</v>
      </c>
      <c r="B18" s="778">
        <v>409</v>
      </c>
      <c r="C18" s="811"/>
      <c r="D18" s="813"/>
      <c r="E18" s="832"/>
      <c r="F18" s="813"/>
      <c r="G18" s="813"/>
      <c r="H18" s="813"/>
      <c r="I18" s="813"/>
      <c r="J18" s="813"/>
      <c r="K18" s="805"/>
      <c r="L18" s="813"/>
      <c r="M18" s="832"/>
      <c r="N18" s="813"/>
      <c r="O18" s="805"/>
      <c r="P18" s="814"/>
      <c r="Q18" s="813"/>
      <c r="R18" s="813"/>
      <c r="S18" s="832"/>
      <c r="T18" s="813"/>
      <c r="U18" s="832"/>
      <c r="V18" s="806"/>
      <c r="W18" s="807"/>
      <c r="X18" s="808"/>
      <c r="Y18" s="809"/>
      <c r="Z18" s="765"/>
      <c r="AA18" s="765"/>
    </row>
    <row r="19" spans="1:27" ht="23.25" customHeight="1">
      <c r="A19" s="810" t="s">
        <v>176</v>
      </c>
      <c r="B19" s="778">
        <v>413</v>
      </c>
      <c r="C19" s="811"/>
      <c r="D19" s="812"/>
      <c r="E19" s="832"/>
      <c r="F19" s="813"/>
      <c r="G19" s="813"/>
      <c r="H19" s="813"/>
      <c r="I19" s="813"/>
      <c r="J19" s="813"/>
      <c r="K19" s="805"/>
      <c r="L19" s="812"/>
      <c r="M19" s="811"/>
      <c r="N19" s="812"/>
      <c r="O19" s="805"/>
      <c r="P19" s="814"/>
      <c r="Q19" s="813"/>
      <c r="R19" s="812"/>
      <c r="S19" s="811"/>
      <c r="T19" s="812"/>
      <c r="U19" s="811"/>
      <c r="V19" s="806"/>
      <c r="W19" s="807"/>
      <c r="X19" s="808"/>
      <c r="Y19" s="809"/>
      <c r="Z19" s="765"/>
      <c r="AA19" s="765"/>
    </row>
    <row r="20" spans="1:27" ht="23.25" customHeight="1">
      <c r="A20" s="1148" t="s">
        <v>1331</v>
      </c>
      <c r="B20" s="1153">
        <v>412</v>
      </c>
      <c r="C20" s="811"/>
      <c r="D20" s="812"/>
      <c r="E20" s="811"/>
      <c r="F20" s="813"/>
      <c r="G20" s="813"/>
      <c r="H20" s="813"/>
      <c r="I20" s="813"/>
      <c r="J20" s="812"/>
      <c r="K20" s="805"/>
      <c r="L20" s="836"/>
      <c r="M20" s="811"/>
      <c r="N20" s="812"/>
      <c r="O20" s="805"/>
      <c r="P20" s="814"/>
      <c r="Q20" s="813"/>
      <c r="R20" s="836"/>
      <c r="S20" s="837"/>
      <c r="T20" s="836"/>
      <c r="U20" s="837"/>
      <c r="V20" s="806"/>
      <c r="W20" s="807"/>
      <c r="X20" s="808"/>
      <c r="Y20" s="809"/>
      <c r="Z20" s="765"/>
      <c r="AA20" s="765"/>
    </row>
    <row r="21" spans="1:27" ht="23.25" customHeight="1">
      <c r="A21" s="810" t="s">
        <v>177</v>
      </c>
      <c r="B21" s="778">
        <v>414</v>
      </c>
      <c r="C21" s="811"/>
      <c r="D21" s="812"/>
      <c r="E21" s="811"/>
      <c r="F21" s="813"/>
      <c r="G21" s="813"/>
      <c r="H21" s="813"/>
      <c r="I21" s="813"/>
      <c r="J21" s="812"/>
      <c r="K21" s="805"/>
      <c r="L21" s="836"/>
      <c r="M21" s="811"/>
      <c r="N21" s="812"/>
      <c r="O21" s="805"/>
      <c r="P21" s="814"/>
      <c r="Q21" s="813"/>
      <c r="R21" s="836"/>
      <c r="S21" s="837"/>
      <c r="T21" s="836"/>
      <c r="U21" s="837"/>
      <c r="V21" s="806"/>
      <c r="W21" s="807"/>
      <c r="X21" s="808"/>
      <c r="Y21" s="809"/>
      <c r="Z21" s="765"/>
      <c r="AA21" s="765"/>
    </row>
    <row r="22" spans="1:27" ht="23.25" customHeight="1">
      <c r="A22" s="810" t="s">
        <v>178</v>
      </c>
      <c r="B22" s="778">
        <v>405</v>
      </c>
      <c r="C22" s="811"/>
      <c r="D22" s="812"/>
      <c r="E22" s="811"/>
      <c r="F22" s="813"/>
      <c r="G22" s="813"/>
      <c r="H22" s="813"/>
      <c r="I22" s="813"/>
      <c r="J22" s="812"/>
      <c r="K22" s="805"/>
      <c r="L22" s="836"/>
      <c r="M22" s="811"/>
      <c r="N22" s="812"/>
      <c r="O22" s="805"/>
      <c r="P22" s="814"/>
      <c r="Q22" s="813"/>
      <c r="R22" s="836"/>
      <c r="S22" s="837"/>
      <c r="T22" s="836"/>
      <c r="U22" s="837"/>
      <c r="V22" s="806"/>
      <c r="W22" s="807"/>
      <c r="X22" s="808"/>
      <c r="Y22" s="809"/>
      <c r="Z22" s="765"/>
      <c r="AA22" s="765"/>
    </row>
    <row r="23" spans="1:27" ht="23.25" customHeight="1">
      <c r="A23" s="810" t="s">
        <v>179</v>
      </c>
      <c r="B23" s="778">
        <v>406</v>
      </c>
      <c r="C23" s="811"/>
      <c r="D23" s="812"/>
      <c r="E23" s="811"/>
      <c r="F23" s="813"/>
      <c r="G23" s="813"/>
      <c r="H23" s="813"/>
      <c r="I23" s="813"/>
      <c r="J23" s="812"/>
      <c r="K23" s="805"/>
      <c r="L23" s="836"/>
      <c r="M23" s="811"/>
      <c r="N23" s="812"/>
      <c r="O23" s="805"/>
      <c r="P23" s="814"/>
      <c r="Q23" s="813"/>
      <c r="R23" s="836"/>
      <c r="S23" s="837"/>
      <c r="T23" s="836"/>
      <c r="U23" s="837"/>
      <c r="V23" s="806"/>
      <c r="W23" s="807"/>
      <c r="X23" s="808"/>
      <c r="Y23" s="809"/>
      <c r="Z23" s="765"/>
      <c r="AA23" s="765"/>
    </row>
    <row r="24" spans="1:27" ht="23.25" customHeight="1">
      <c r="A24" s="810" t="s">
        <v>787</v>
      </c>
      <c r="B24" s="778">
        <v>415</v>
      </c>
      <c r="C24" s="811"/>
      <c r="D24" s="812"/>
      <c r="E24" s="811"/>
      <c r="F24" s="813"/>
      <c r="G24" s="813"/>
      <c r="H24" s="813"/>
      <c r="I24" s="813"/>
      <c r="J24" s="812"/>
      <c r="K24" s="805"/>
      <c r="L24" s="836"/>
      <c r="M24" s="811"/>
      <c r="N24" s="812"/>
      <c r="O24" s="805"/>
      <c r="P24" s="814"/>
      <c r="Q24" s="813"/>
      <c r="R24" s="836"/>
      <c r="S24" s="837"/>
      <c r="T24" s="836"/>
      <c r="U24" s="837"/>
      <c r="V24" s="806"/>
      <c r="W24" s="807"/>
      <c r="X24" s="808"/>
      <c r="Y24" s="809"/>
      <c r="Z24" s="765"/>
      <c r="AA24" s="765"/>
    </row>
    <row r="25" spans="1:27" ht="23.25" customHeight="1">
      <c r="A25" s="810" t="s">
        <v>180</v>
      </c>
      <c r="B25" s="778">
        <v>330</v>
      </c>
      <c r="C25" s="811"/>
      <c r="D25" s="812"/>
      <c r="E25" s="811"/>
      <c r="F25" s="813"/>
      <c r="G25" s="813"/>
      <c r="H25" s="813"/>
      <c r="I25" s="813"/>
      <c r="J25" s="812"/>
      <c r="K25" s="805"/>
      <c r="L25" s="836"/>
      <c r="M25" s="811"/>
      <c r="N25" s="812"/>
      <c r="O25" s="805"/>
      <c r="P25" s="814"/>
      <c r="Q25" s="813"/>
      <c r="R25" s="836"/>
      <c r="S25" s="837"/>
      <c r="T25" s="836"/>
      <c r="U25" s="837"/>
      <c r="V25" s="806"/>
      <c r="W25" s="807"/>
      <c r="X25" s="808"/>
      <c r="Y25" s="809"/>
      <c r="Z25" s="765"/>
      <c r="AA25" s="765"/>
    </row>
    <row r="26" spans="1:27" ht="23.25" customHeight="1">
      <c r="A26" s="816" t="s">
        <v>1015</v>
      </c>
      <c r="B26" s="1156"/>
      <c r="C26" s="817"/>
      <c r="D26" s="818"/>
      <c r="E26" s="817"/>
      <c r="F26" s="819"/>
      <c r="G26" s="819"/>
      <c r="H26" s="819"/>
      <c r="I26" s="819"/>
      <c r="J26" s="818"/>
      <c r="K26" s="820"/>
      <c r="L26" s="833"/>
      <c r="M26" s="817"/>
      <c r="N26" s="818"/>
      <c r="O26" s="820"/>
      <c r="P26" s="821"/>
      <c r="Q26" s="819"/>
      <c r="R26" s="833"/>
      <c r="S26" s="834"/>
      <c r="T26" s="833"/>
      <c r="U26" s="834"/>
      <c r="V26" s="822"/>
      <c r="W26" s="823"/>
      <c r="X26" s="824"/>
      <c r="Y26" s="825"/>
      <c r="Z26" s="765"/>
      <c r="AA26" s="765"/>
    </row>
    <row r="27" spans="1:27" ht="15.75">
      <c r="Z27" s="765"/>
      <c r="AA27" s="765"/>
    </row>
    <row r="28" spans="1:27" ht="15.75">
      <c r="Z28" s="765"/>
      <c r="AA28" s="765"/>
    </row>
    <row r="29" spans="1:27" ht="15.75">
      <c r="Z29" s="765"/>
      <c r="AA29" s="765"/>
    </row>
    <row r="30" spans="1:27">
      <c r="O30" s="827"/>
    </row>
    <row r="31" spans="1:27">
      <c r="D31" s="828"/>
    </row>
    <row r="32" spans="1:27">
      <c r="D32" s="829"/>
    </row>
  </sheetData>
  <mergeCells count="2">
    <mergeCell ref="Q9:Q10"/>
    <mergeCell ref="E9:O9"/>
  </mergeCells>
  <phoneticPr fontId="56" type="noConversion"/>
  <printOptions horizontalCentered="1" verticalCentered="1" gridLinesSet="0"/>
  <pageMargins left="0.19685039370078741" right="0.59055118110236227" top="0.27559055118110237" bottom="0.23622047244094491" header="0.39370078740157483" footer="0.39370078740157483"/>
  <pageSetup paperSize="5" scale="73" orientation="landscape" horizontalDpi="300" verticalDpi="300"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7"/>
  <sheetViews>
    <sheetView showGridLines="0" topLeftCell="A10" zoomScale="75" workbookViewId="0">
      <selection activeCell="M22" sqref="M22"/>
    </sheetView>
  </sheetViews>
  <sheetFormatPr baseColWidth="10" defaultColWidth="12.5703125" defaultRowHeight="12.75"/>
  <cols>
    <col min="1" max="1" width="30.140625" style="826" customWidth="1"/>
    <col min="2" max="2" width="11.140625" style="826" customWidth="1"/>
    <col min="3" max="3" width="8.140625" style="826" customWidth="1"/>
    <col min="4" max="4" width="8.5703125" style="826" customWidth="1"/>
    <col min="5" max="9" width="8.140625" style="826" customWidth="1"/>
    <col min="10" max="10" width="7" style="826" customWidth="1"/>
    <col min="11" max="12" width="8.140625" style="826" customWidth="1"/>
    <col min="13" max="14" width="9.28515625" style="826" customWidth="1"/>
    <col min="15" max="17" width="8.140625" style="826" customWidth="1"/>
    <col min="18" max="19" width="8.42578125" style="826" customWidth="1"/>
    <col min="20" max="21" width="8.7109375" style="826" customWidth="1"/>
    <col min="22" max="25" width="8.140625" style="826" customWidth="1"/>
    <col min="26" max="26" width="10.85546875" style="764" customWidth="1"/>
    <col min="27" max="27" width="9.28515625" style="764" customWidth="1"/>
    <col min="28" max="16384" width="12.5703125" style="764"/>
  </cols>
  <sheetData>
    <row r="1" spans="1:27">
      <c r="A1" s="761" t="s">
        <v>188</v>
      </c>
      <c r="B1" s="761"/>
      <c r="C1" s="762"/>
      <c r="D1" s="762"/>
      <c r="E1" s="762"/>
      <c r="F1" s="762"/>
      <c r="G1" s="762"/>
      <c r="H1" s="762"/>
      <c r="I1" s="762"/>
      <c r="J1" s="762"/>
      <c r="K1" s="763"/>
      <c r="L1" s="762"/>
      <c r="M1" s="762"/>
      <c r="N1" s="762"/>
      <c r="O1" s="762"/>
      <c r="P1" s="762"/>
      <c r="Q1" s="762"/>
      <c r="R1" s="762"/>
      <c r="S1" s="762"/>
      <c r="T1" s="762"/>
      <c r="U1" s="762"/>
      <c r="V1" s="762"/>
      <c r="W1" s="762"/>
      <c r="X1" s="762"/>
      <c r="Y1" s="762"/>
    </row>
    <row r="2" spans="1:27">
      <c r="A2" s="761"/>
      <c r="B2" s="761"/>
      <c r="C2" s="762"/>
      <c r="D2" s="762"/>
      <c r="E2" s="762"/>
      <c r="F2" s="762"/>
      <c r="G2" s="762"/>
      <c r="H2" s="762"/>
      <c r="I2" s="762"/>
      <c r="J2" s="762"/>
      <c r="K2" s="762"/>
      <c r="L2" s="762"/>
      <c r="M2" s="762"/>
      <c r="N2" s="762"/>
      <c r="O2" s="762"/>
      <c r="P2" s="762"/>
      <c r="Q2" s="762"/>
      <c r="R2" s="762"/>
      <c r="S2" s="762"/>
      <c r="T2" s="762"/>
      <c r="U2" s="762"/>
      <c r="V2" s="762"/>
      <c r="W2" s="762"/>
      <c r="X2" s="762"/>
      <c r="Y2" s="762"/>
    </row>
    <row r="3" spans="1:27">
      <c r="A3" s="761" t="str">
        <f>+'76'!A3</f>
        <v>SERVICIO DE SALUD   ACONCAGUA   2015</v>
      </c>
      <c r="B3" s="761"/>
      <c r="C3" s="762"/>
      <c r="D3" s="762"/>
      <c r="E3" s="762"/>
      <c r="F3" s="762"/>
      <c r="G3" s="762"/>
      <c r="H3" s="762"/>
      <c r="I3" s="762"/>
      <c r="J3" s="762"/>
      <c r="K3" s="762"/>
      <c r="L3" s="762"/>
      <c r="M3" s="762"/>
      <c r="N3" s="762"/>
      <c r="O3" s="762"/>
      <c r="P3" s="762"/>
      <c r="Q3" s="762"/>
      <c r="R3" s="762"/>
      <c r="S3" s="762"/>
      <c r="T3" s="762"/>
      <c r="U3" s="762"/>
      <c r="V3" s="762"/>
      <c r="W3" s="762"/>
      <c r="X3" s="762"/>
      <c r="Y3" s="762"/>
    </row>
    <row r="4" spans="1:27">
      <c r="A4" s="762"/>
      <c r="B4" s="762"/>
      <c r="C4" s="762"/>
      <c r="D4" s="762"/>
      <c r="E4" s="762"/>
      <c r="F4" s="762"/>
      <c r="G4" s="762"/>
      <c r="H4" s="762"/>
      <c r="I4" s="762"/>
      <c r="J4" s="762"/>
      <c r="K4" s="762"/>
      <c r="L4" s="762"/>
      <c r="M4" s="762"/>
      <c r="N4" s="762"/>
      <c r="O4" s="762"/>
      <c r="P4" s="762"/>
      <c r="Q4" s="762"/>
      <c r="R4" s="762"/>
      <c r="S4" s="762"/>
      <c r="T4" s="762"/>
      <c r="U4" s="762"/>
      <c r="V4" s="762"/>
      <c r="W4" s="762"/>
      <c r="X4" s="762"/>
      <c r="Y4" s="762"/>
    </row>
    <row r="5" spans="1:27">
      <c r="A5" s="762"/>
      <c r="B5" s="762"/>
      <c r="C5" s="762"/>
      <c r="D5" s="762"/>
      <c r="E5" s="762"/>
      <c r="F5" s="762"/>
      <c r="G5" s="762"/>
      <c r="H5" s="762"/>
      <c r="I5" s="762"/>
      <c r="J5" s="762"/>
      <c r="K5" s="762"/>
      <c r="L5" s="762"/>
      <c r="M5" s="762"/>
      <c r="N5" s="762"/>
      <c r="O5" s="762"/>
      <c r="P5" s="762"/>
      <c r="Q5" s="762"/>
      <c r="R5" s="762"/>
      <c r="S5" s="762"/>
      <c r="T5" s="762"/>
      <c r="U5" s="762"/>
      <c r="V5" s="762"/>
      <c r="W5" s="762"/>
      <c r="X5" s="762"/>
      <c r="Y5" s="762"/>
    </row>
    <row r="6" spans="1:27">
      <c r="A6" s="762"/>
      <c r="B6" s="762"/>
      <c r="C6" s="762"/>
      <c r="D6" s="762"/>
      <c r="E6" s="762"/>
      <c r="F6" s="762"/>
      <c r="G6" s="762"/>
      <c r="H6" s="762"/>
      <c r="I6" s="762"/>
      <c r="J6" s="762"/>
      <c r="K6" s="762"/>
      <c r="L6" s="762"/>
      <c r="M6" s="762"/>
      <c r="N6" s="762"/>
      <c r="O6" s="762"/>
      <c r="P6" s="762"/>
      <c r="Q6" s="762"/>
      <c r="R6" s="762"/>
      <c r="S6" s="762"/>
      <c r="T6" s="762"/>
      <c r="U6" s="762"/>
      <c r="V6" s="762"/>
      <c r="W6" s="762"/>
      <c r="X6" s="762"/>
      <c r="Y6" s="762"/>
    </row>
    <row r="7" spans="1:27">
      <c r="A7" s="762"/>
      <c r="B7" s="762"/>
      <c r="C7" s="762"/>
      <c r="D7" s="762"/>
      <c r="E7" s="762"/>
      <c r="F7" s="762"/>
      <c r="G7" s="762"/>
      <c r="H7" s="762"/>
      <c r="I7" s="762"/>
      <c r="J7" s="762"/>
      <c r="K7" s="762"/>
      <c r="L7" s="762"/>
      <c r="M7" s="762"/>
      <c r="N7" s="762"/>
      <c r="O7" s="762"/>
      <c r="P7" s="762"/>
      <c r="Q7" s="762"/>
      <c r="R7" s="762"/>
      <c r="S7" s="762"/>
      <c r="T7" s="762"/>
      <c r="U7" s="762"/>
      <c r="V7" s="762"/>
      <c r="W7" s="762"/>
      <c r="X7" s="762"/>
      <c r="Y7" s="762"/>
    </row>
    <row r="8" spans="1:27" ht="15.75">
      <c r="A8" s="766"/>
      <c r="B8" s="766"/>
      <c r="C8" s="766"/>
      <c r="D8" s="766"/>
      <c r="E8" s="766"/>
      <c r="F8" s="766"/>
      <c r="G8" s="766"/>
      <c r="H8" s="766"/>
      <c r="I8" s="766"/>
      <c r="J8" s="766"/>
      <c r="K8" s="766"/>
      <c r="L8" s="766"/>
      <c r="M8" s="766"/>
      <c r="N8" s="766"/>
      <c r="O8" s="766"/>
      <c r="P8" s="766"/>
      <c r="Q8" s="766"/>
      <c r="R8" s="766"/>
      <c r="S8" s="766"/>
      <c r="T8" s="766"/>
      <c r="U8" s="766"/>
      <c r="V8" s="766"/>
      <c r="W8" s="766"/>
      <c r="X8" s="766"/>
      <c r="Y8" s="766"/>
      <c r="Z8" s="765"/>
      <c r="AA8" s="765"/>
    </row>
    <row r="9" spans="1:27" s="777" customFormat="1" ht="21.75" customHeight="1">
      <c r="A9" s="767"/>
      <c r="B9" s="767"/>
      <c r="C9" s="768"/>
      <c r="D9" s="769"/>
      <c r="E9" s="1472" t="s">
        <v>148</v>
      </c>
      <c r="F9" s="1472"/>
      <c r="G9" s="1472"/>
      <c r="H9" s="1472"/>
      <c r="I9" s="1472"/>
      <c r="J9" s="1472"/>
      <c r="K9" s="1472"/>
      <c r="L9" s="1472"/>
      <c r="M9" s="1472"/>
      <c r="N9" s="1472"/>
      <c r="O9" s="1472"/>
      <c r="P9" s="770"/>
      <c r="Q9" s="1470" t="s">
        <v>149</v>
      </c>
      <c r="R9" s="771" t="s">
        <v>150</v>
      </c>
      <c r="S9" s="772"/>
      <c r="T9" s="773" t="s">
        <v>151</v>
      </c>
      <c r="U9" s="774"/>
      <c r="V9" s="771" t="s">
        <v>152</v>
      </c>
      <c r="W9" s="775"/>
      <c r="X9" s="775"/>
      <c r="Y9" s="772"/>
      <c r="Z9" s="776"/>
      <c r="AA9" s="776"/>
    </row>
    <row r="10" spans="1:27" s="777" customFormat="1" ht="19.5" customHeight="1">
      <c r="A10" s="778" t="s">
        <v>153</v>
      </c>
      <c r="B10" s="1153" t="s">
        <v>1334</v>
      </c>
      <c r="C10" s="779"/>
      <c r="D10" s="780" t="s">
        <v>154</v>
      </c>
      <c r="E10" s="781" t="s">
        <v>155</v>
      </c>
      <c r="F10" s="782"/>
      <c r="G10" s="782"/>
      <c r="H10" s="782"/>
      <c r="I10" s="782"/>
      <c r="J10" s="782"/>
      <c r="K10" s="783"/>
      <c r="L10" s="784" t="s">
        <v>156</v>
      </c>
      <c r="M10" s="784"/>
      <c r="N10" s="784"/>
      <c r="O10" s="784"/>
      <c r="P10" s="780" t="s">
        <v>154</v>
      </c>
      <c r="Q10" s="1471"/>
      <c r="R10" s="785"/>
      <c r="S10" s="786">
        <v>111640</v>
      </c>
      <c r="T10" s="787"/>
      <c r="U10" s="787"/>
      <c r="V10" s="788"/>
      <c r="W10" s="789"/>
      <c r="X10" s="789"/>
      <c r="Y10" s="790"/>
      <c r="Z10" s="776"/>
      <c r="AA10" s="776"/>
    </row>
    <row r="11" spans="1:27" s="777" customFormat="1" ht="36" customHeight="1">
      <c r="A11" s="778" t="s">
        <v>157</v>
      </c>
      <c r="B11" s="1153" t="s">
        <v>1335</v>
      </c>
      <c r="C11" s="791" t="s">
        <v>158</v>
      </c>
      <c r="D11" s="791" t="s">
        <v>159</v>
      </c>
      <c r="E11" s="792" t="s">
        <v>1097</v>
      </c>
      <c r="F11" s="793" t="s">
        <v>1095</v>
      </c>
      <c r="G11" s="793" t="s">
        <v>160</v>
      </c>
      <c r="H11" s="794" t="s">
        <v>161</v>
      </c>
      <c r="I11" s="794" t="s">
        <v>162</v>
      </c>
      <c r="J11" s="795" t="s">
        <v>237</v>
      </c>
      <c r="K11" s="793" t="s">
        <v>535</v>
      </c>
      <c r="L11" s="796" t="s">
        <v>163</v>
      </c>
      <c r="M11" s="794" t="s">
        <v>164</v>
      </c>
      <c r="N11" s="797" t="s">
        <v>165</v>
      </c>
      <c r="O11" s="793" t="s">
        <v>535</v>
      </c>
      <c r="P11" s="791" t="s">
        <v>166</v>
      </c>
      <c r="Q11" s="798" t="s">
        <v>167</v>
      </c>
      <c r="R11" s="799" t="s">
        <v>168</v>
      </c>
      <c r="S11" s="793" t="s">
        <v>169</v>
      </c>
      <c r="T11" s="793" t="s">
        <v>535</v>
      </c>
      <c r="U11" s="800" t="s">
        <v>170</v>
      </c>
      <c r="V11" s="794" t="s">
        <v>171</v>
      </c>
      <c r="W11" s="794" t="s">
        <v>172</v>
      </c>
      <c r="X11" s="801" t="s">
        <v>173</v>
      </c>
      <c r="Y11" s="802" t="s">
        <v>174</v>
      </c>
      <c r="Z11" s="776"/>
      <c r="AA11" s="776"/>
    </row>
    <row r="12" spans="1:27" ht="22.5" customHeight="1">
      <c r="A12" s="803" t="s">
        <v>644</v>
      </c>
      <c r="B12" s="1155"/>
      <c r="C12" s="805">
        <f t="shared" ref="C12:J12" si="0">SUM(C16:C26)</f>
        <v>354</v>
      </c>
      <c r="D12" s="804">
        <f t="shared" si="0"/>
        <v>273</v>
      </c>
      <c r="E12" s="804">
        <f t="shared" si="0"/>
        <v>0</v>
      </c>
      <c r="F12" s="804">
        <f t="shared" si="0"/>
        <v>0</v>
      </c>
      <c r="G12" s="804">
        <f t="shared" si="0"/>
        <v>0</v>
      </c>
      <c r="H12" s="804">
        <f t="shared" si="0"/>
        <v>0</v>
      </c>
      <c r="I12" s="804">
        <f t="shared" si="0"/>
        <v>850</v>
      </c>
      <c r="J12" s="804">
        <f t="shared" si="0"/>
        <v>168</v>
      </c>
      <c r="K12" s="804">
        <f>SUM(K14:K26)</f>
        <v>850</v>
      </c>
      <c r="L12" s="804">
        <f>SUM(L16:L26)</f>
        <v>866</v>
      </c>
      <c r="M12" s="805">
        <f>SUM(M16:M26)</f>
        <v>168</v>
      </c>
      <c r="N12" s="804">
        <f>SUM(N16:N26)</f>
        <v>7</v>
      </c>
      <c r="O12" s="805">
        <f>L12+N12</f>
        <v>873</v>
      </c>
      <c r="P12" s="804">
        <f t="shared" ref="P12:U12" si="1">SUM(P16:P26)</f>
        <v>250</v>
      </c>
      <c r="Q12" s="804">
        <f t="shared" si="1"/>
        <v>4</v>
      </c>
      <c r="R12" s="805">
        <f t="shared" si="1"/>
        <v>117003</v>
      </c>
      <c r="S12" s="804">
        <f t="shared" si="1"/>
        <v>110805</v>
      </c>
      <c r="T12" s="805">
        <f t="shared" si="1"/>
        <v>108933</v>
      </c>
      <c r="U12" s="804">
        <f t="shared" si="1"/>
        <v>108395</v>
      </c>
      <c r="V12" s="838">
        <f>S12/R12*100</f>
        <v>94.702699930771004</v>
      </c>
      <c r="W12" s="839">
        <f>+T12/O12</f>
        <v>124.78006872852234</v>
      </c>
      <c r="X12" s="840">
        <f>+O12/(R12/30.4)</f>
        <v>0.22682495320632803</v>
      </c>
      <c r="Y12" s="841">
        <f>(+R12-S12)/O12</f>
        <v>7.0996563573883158</v>
      </c>
      <c r="Z12" s="765"/>
      <c r="AA12" s="765"/>
    </row>
    <row r="13" spans="1:27" ht="22.5" customHeight="1">
      <c r="A13" s="1148" t="s">
        <v>1507</v>
      </c>
      <c r="B13" s="778">
        <v>401</v>
      </c>
      <c r="C13" s="805"/>
      <c r="D13" s="814"/>
      <c r="E13" s="805"/>
      <c r="F13" s="814"/>
      <c r="G13" s="814"/>
      <c r="H13" s="814"/>
      <c r="I13" s="814"/>
      <c r="J13" s="814"/>
      <c r="K13" s="805"/>
      <c r="L13" s="814"/>
      <c r="M13" s="805"/>
      <c r="N13" s="814"/>
      <c r="O13" s="805"/>
      <c r="P13" s="814"/>
      <c r="Q13" s="814"/>
      <c r="R13" s="836"/>
      <c r="S13" s="837"/>
      <c r="T13" s="836"/>
      <c r="U13" s="805"/>
      <c r="V13" s="806"/>
      <c r="W13" s="807"/>
      <c r="X13" s="808"/>
      <c r="Y13" s="809"/>
      <c r="Z13" s="765"/>
      <c r="AA13" s="765"/>
    </row>
    <row r="14" spans="1:27" ht="22.5" customHeight="1">
      <c r="A14" s="1148" t="s">
        <v>1336</v>
      </c>
      <c r="B14" s="778">
        <v>403</v>
      </c>
      <c r="C14" s="805"/>
      <c r="D14" s="814"/>
      <c r="E14" s="805"/>
      <c r="F14" s="814"/>
      <c r="G14" s="814"/>
      <c r="H14" s="814"/>
      <c r="I14" s="814"/>
      <c r="J14" s="814"/>
      <c r="K14" s="805"/>
      <c r="L14" s="814"/>
      <c r="M14" s="805"/>
      <c r="N14" s="814"/>
      <c r="O14" s="805"/>
      <c r="P14" s="814"/>
      <c r="Q14" s="814"/>
      <c r="R14" s="836"/>
      <c r="S14" s="837"/>
      <c r="T14" s="836"/>
      <c r="U14" s="805"/>
      <c r="V14" s="806"/>
      <c r="W14" s="807"/>
      <c r="X14" s="808"/>
      <c r="Y14" s="809"/>
      <c r="Z14" s="765"/>
      <c r="AA14" s="765"/>
    </row>
    <row r="15" spans="1:27" ht="22.5" customHeight="1">
      <c r="A15" s="1148" t="s">
        <v>1337</v>
      </c>
      <c r="B15" s="778">
        <v>404</v>
      </c>
      <c r="C15" s="805"/>
      <c r="D15" s="814"/>
      <c r="E15" s="805"/>
      <c r="F15" s="814"/>
      <c r="G15" s="814"/>
      <c r="H15" s="814"/>
      <c r="I15" s="814"/>
      <c r="J15" s="814"/>
      <c r="K15" s="805"/>
      <c r="L15" s="814"/>
      <c r="M15" s="805"/>
      <c r="N15" s="814"/>
      <c r="O15" s="805"/>
      <c r="P15" s="814"/>
      <c r="Q15" s="814"/>
      <c r="R15" s="836"/>
      <c r="S15" s="837"/>
      <c r="T15" s="836"/>
      <c r="U15" s="805"/>
      <c r="V15" s="806"/>
      <c r="W15" s="807"/>
      <c r="X15" s="808"/>
      <c r="Y15" s="809"/>
      <c r="Z15" s="765"/>
      <c r="AA15" s="765"/>
    </row>
    <row r="16" spans="1:27" ht="16.5" customHeight="1">
      <c r="A16" s="810" t="s">
        <v>175</v>
      </c>
      <c r="B16" s="778">
        <v>416</v>
      </c>
      <c r="C16" s="811"/>
      <c r="D16" s="812"/>
      <c r="E16" s="811"/>
      <c r="F16" s="815"/>
      <c r="G16" s="815"/>
      <c r="H16" s="815"/>
      <c r="I16" s="815"/>
      <c r="J16" s="812"/>
      <c r="K16" s="805"/>
      <c r="L16" s="836"/>
      <c r="M16" s="811"/>
      <c r="N16" s="812"/>
      <c r="O16" s="805"/>
      <c r="P16" s="814"/>
      <c r="Q16" s="813"/>
      <c r="R16" s="836"/>
      <c r="S16" s="837"/>
      <c r="T16" s="836"/>
      <c r="U16" s="837"/>
      <c r="V16" s="806"/>
      <c r="W16" s="807"/>
      <c r="X16" s="808"/>
      <c r="Y16" s="809"/>
      <c r="Z16" s="765"/>
      <c r="AA16" s="765"/>
    </row>
    <row r="17" spans="1:27" ht="18" customHeight="1">
      <c r="A17" s="1148" t="s">
        <v>1338</v>
      </c>
      <c r="B17" s="778">
        <v>407</v>
      </c>
      <c r="C17" s="811"/>
      <c r="D17" s="812"/>
      <c r="E17" s="811"/>
      <c r="F17" s="813"/>
      <c r="G17" s="813"/>
      <c r="H17" s="813"/>
      <c r="I17" s="813"/>
      <c r="J17" s="812"/>
      <c r="K17" s="805"/>
      <c r="L17" s="836"/>
      <c r="M17" s="811"/>
      <c r="N17" s="812"/>
      <c r="O17" s="805"/>
      <c r="P17" s="814"/>
      <c r="Q17" s="813"/>
      <c r="R17" s="836"/>
      <c r="S17" s="837"/>
      <c r="T17" s="836"/>
      <c r="U17" s="837"/>
      <c r="V17" s="806"/>
      <c r="W17" s="807"/>
      <c r="X17" s="808"/>
      <c r="Y17" s="809"/>
      <c r="Z17" s="765"/>
      <c r="AA17" s="765"/>
    </row>
    <row r="18" spans="1:27" ht="18" customHeight="1">
      <c r="A18" s="1148" t="s">
        <v>1339</v>
      </c>
      <c r="B18" s="778">
        <v>409</v>
      </c>
      <c r="C18" s="811"/>
      <c r="D18" s="812"/>
      <c r="E18" s="811"/>
      <c r="F18" s="813"/>
      <c r="G18" s="813"/>
      <c r="H18" s="813"/>
      <c r="I18" s="813"/>
      <c r="J18" s="812"/>
      <c r="K18" s="805"/>
      <c r="L18" s="836"/>
      <c r="M18" s="811"/>
      <c r="N18" s="812"/>
      <c r="O18" s="805"/>
      <c r="P18" s="814"/>
      <c r="Q18" s="813"/>
      <c r="R18" s="836"/>
      <c r="S18" s="837"/>
      <c r="T18" s="836"/>
      <c r="U18" s="837"/>
      <c r="V18" s="806"/>
      <c r="W18" s="807"/>
      <c r="X18" s="808"/>
      <c r="Y18" s="809"/>
      <c r="Z18" s="765"/>
      <c r="AA18" s="765"/>
    </row>
    <row r="19" spans="1:27" ht="17.25" customHeight="1">
      <c r="A19" s="810" t="s">
        <v>176</v>
      </c>
      <c r="B19" s="778">
        <v>413</v>
      </c>
      <c r="C19" s="811"/>
      <c r="D19" s="812"/>
      <c r="E19" s="811"/>
      <c r="F19" s="813"/>
      <c r="G19" s="813"/>
      <c r="H19" s="813"/>
      <c r="I19" s="813"/>
      <c r="J19" s="812"/>
      <c r="K19" s="805"/>
      <c r="L19" s="836"/>
      <c r="M19" s="811"/>
      <c r="N19" s="812"/>
      <c r="O19" s="805"/>
      <c r="P19" s="814"/>
      <c r="Q19" s="813"/>
      <c r="R19" s="836"/>
      <c r="S19" s="837"/>
      <c r="T19" s="836"/>
      <c r="U19" s="837"/>
      <c r="V19" s="806"/>
      <c r="W19" s="807"/>
      <c r="X19" s="808"/>
      <c r="Y19" s="809"/>
      <c r="Z19" s="765"/>
      <c r="AA19" s="765"/>
    </row>
    <row r="20" spans="1:27" ht="17.25" customHeight="1">
      <c r="A20" s="1148" t="s">
        <v>1331</v>
      </c>
      <c r="B20" s="1153">
        <v>412</v>
      </c>
      <c r="C20" s="811"/>
      <c r="D20" s="812"/>
      <c r="E20" s="811"/>
      <c r="F20" s="813"/>
      <c r="G20" s="813"/>
      <c r="H20" s="813"/>
      <c r="I20" s="813"/>
      <c r="J20" s="812"/>
      <c r="K20" s="805"/>
      <c r="L20" s="836"/>
      <c r="M20" s="811"/>
      <c r="N20" s="812"/>
      <c r="O20" s="805"/>
      <c r="P20" s="814"/>
      <c r="Q20" s="813"/>
      <c r="R20" s="836"/>
      <c r="S20" s="837"/>
      <c r="T20" s="836"/>
      <c r="U20" s="837"/>
      <c r="V20" s="806"/>
      <c r="W20" s="807"/>
      <c r="X20" s="808"/>
      <c r="Y20" s="809"/>
      <c r="Z20" s="765"/>
      <c r="AA20" s="765"/>
    </row>
    <row r="21" spans="1:27" ht="18.75" customHeight="1">
      <c r="A21" s="810" t="s">
        <v>177</v>
      </c>
      <c r="B21" s="778">
        <v>414</v>
      </c>
      <c r="C21" s="811"/>
      <c r="D21" s="812"/>
      <c r="E21" s="811"/>
      <c r="F21" s="813"/>
      <c r="G21" s="813"/>
      <c r="H21" s="813"/>
      <c r="I21" s="813"/>
      <c r="J21" s="812"/>
      <c r="K21" s="805"/>
      <c r="L21" s="836"/>
      <c r="M21" s="811"/>
      <c r="N21" s="812"/>
      <c r="O21" s="805"/>
      <c r="P21" s="814"/>
      <c r="Q21" s="813"/>
      <c r="R21" s="836"/>
      <c r="S21" s="837"/>
      <c r="T21" s="836"/>
      <c r="U21" s="837"/>
      <c r="V21" s="806"/>
      <c r="W21" s="807"/>
      <c r="X21" s="808"/>
      <c r="Y21" s="809"/>
      <c r="Z21" s="765"/>
      <c r="AA21" s="765"/>
    </row>
    <row r="22" spans="1:27" ht="19.5" customHeight="1">
      <c r="A22" s="810" t="s">
        <v>178</v>
      </c>
      <c r="B22" s="778">
        <v>405</v>
      </c>
      <c r="C22" s="811"/>
      <c r="D22" s="812"/>
      <c r="E22" s="811"/>
      <c r="F22" s="813"/>
      <c r="G22" s="813"/>
      <c r="H22" s="813"/>
      <c r="I22" s="813"/>
      <c r="J22" s="812"/>
      <c r="K22" s="805"/>
      <c r="L22" s="836"/>
      <c r="M22" s="811"/>
      <c r="N22" s="812"/>
      <c r="O22" s="805"/>
      <c r="P22" s="814"/>
      <c r="Q22" s="813"/>
      <c r="R22" s="836"/>
      <c r="S22" s="837"/>
      <c r="T22" s="836"/>
      <c r="U22" s="837"/>
      <c r="V22" s="806"/>
      <c r="W22" s="807"/>
      <c r="X22" s="808"/>
      <c r="Y22" s="809"/>
      <c r="Z22" s="765"/>
      <c r="AA22" s="765"/>
    </row>
    <row r="23" spans="1:27" ht="19.5" customHeight="1">
      <c r="A23" s="810" t="s">
        <v>179</v>
      </c>
      <c r="B23" s="778">
        <v>406</v>
      </c>
      <c r="C23" s="811"/>
      <c r="D23" s="812"/>
      <c r="E23" s="811"/>
      <c r="F23" s="813"/>
      <c r="G23" s="813"/>
      <c r="H23" s="813"/>
      <c r="I23" s="813"/>
      <c r="J23" s="812"/>
      <c r="K23" s="805"/>
      <c r="L23" s="836"/>
      <c r="M23" s="811"/>
      <c r="N23" s="812"/>
      <c r="O23" s="805"/>
      <c r="P23" s="814"/>
      <c r="Q23" s="813"/>
      <c r="R23" s="836"/>
      <c r="S23" s="837"/>
      <c r="T23" s="836"/>
      <c r="U23" s="837"/>
      <c r="V23" s="806"/>
      <c r="W23" s="807"/>
      <c r="X23" s="808"/>
      <c r="Y23" s="809"/>
      <c r="Z23" s="765"/>
      <c r="AA23" s="765"/>
    </row>
    <row r="24" spans="1:27" ht="19.5" customHeight="1">
      <c r="A24" s="810" t="s">
        <v>787</v>
      </c>
      <c r="B24" s="778">
        <v>415</v>
      </c>
      <c r="C24" s="811"/>
      <c r="D24" s="812"/>
      <c r="E24" s="811"/>
      <c r="F24" s="813"/>
      <c r="G24" s="813"/>
      <c r="H24" s="813"/>
      <c r="I24" s="813"/>
      <c r="J24" s="812"/>
      <c r="K24" s="805"/>
      <c r="L24" s="836"/>
      <c r="M24" s="811"/>
      <c r="N24" s="812"/>
      <c r="O24" s="805"/>
      <c r="P24" s="814"/>
      <c r="Q24" s="813"/>
      <c r="R24" s="836"/>
      <c r="S24" s="837"/>
      <c r="T24" s="836"/>
      <c r="U24" s="837"/>
      <c r="V24" s="806"/>
      <c r="W24" s="807"/>
      <c r="X24" s="808"/>
      <c r="Y24" s="809"/>
      <c r="Z24" s="765"/>
      <c r="AA24" s="765"/>
    </row>
    <row r="25" spans="1:27" ht="18" customHeight="1">
      <c r="A25" s="810" t="s">
        <v>180</v>
      </c>
      <c r="B25" s="778">
        <v>330</v>
      </c>
      <c r="C25" s="811"/>
      <c r="D25" s="812"/>
      <c r="E25" s="811"/>
      <c r="F25" s="813"/>
      <c r="G25" s="813"/>
      <c r="H25" s="813"/>
      <c r="I25" s="813"/>
      <c r="J25" s="812"/>
      <c r="K25" s="805"/>
      <c r="L25" s="836"/>
      <c r="M25" s="811"/>
      <c r="N25" s="812"/>
      <c r="O25" s="805"/>
      <c r="P25" s="814"/>
      <c r="Q25" s="813"/>
      <c r="R25" s="836"/>
      <c r="S25" s="837"/>
      <c r="T25" s="836"/>
      <c r="U25" s="837"/>
      <c r="V25" s="806"/>
      <c r="W25" s="807"/>
      <c r="X25" s="808"/>
      <c r="Y25" s="809"/>
      <c r="Z25" s="765"/>
      <c r="AA25" s="765"/>
    </row>
    <row r="26" spans="1:27" ht="27" customHeight="1">
      <c r="A26" s="810" t="s">
        <v>1015</v>
      </c>
      <c r="B26" s="778"/>
      <c r="C26" s="811">
        <f t="shared" ref="C26:Q26" si="2">SUM(C27:C34)</f>
        <v>354</v>
      </c>
      <c r="D26" s="812">
        <f t="shared" si="2"/>
        <v>273</v>
      </c>
      <c r="E26" s="812">
        <f t="shared" si="2"/>
        <v>0</v>
      </c>
      <c r="F26" s="812">
        <f t="shared" si="2"/>
        <v>0</v>
      </c>
      <c r="G26" s="812">
        <f t="shared" si="2"/>
        <v>0</v>
      </c>
      <c r="H26" s="812">
        <f t="shared" si="2"/>
        <v>0</v>
      </c>
      <c r="I26" s="812">
        <f t="shared" si="2"/>
        <v>850</v>
      </c>
      <c r="J26" s="812">
        <f t="shared" si="2"/>
        <v>168</v>
      </c>
      <c r="K26" s="805">
        <f>SUM(E26:I26)</f>
        <v>850</v>
      </c>
      <c r="L26" s="812">
        <f t="shared" si="2"/>
        <v>866</v>
      </c>
      <c r="M26" s="812">
        <f t="shared" si="2"/>
        <v>168</v>
      </c>
      <c r="N26" s="812">
        <f t="shared" si="2"/>
        <v>7</v>
      </c>
      <c r="O26" s="805">
        <f>L26+N26</f>
        <v>873</v>
      </c>
      <c r="P26" s="812">
        <f t="shared" si="2"/>
        <v>250</v>
      </c>
      <c r="Q26" s="812">
        <f t="shared" si="2"/>
        <v>4</v>
      </c>
      <c r="R26" s="812">
        <f>SUM(R27:R34)</f>
        <v>117003</v>
      </c>
      <c r="S26" s="812">
        <f>SUM(S27:S34)</f>
        <v>110805</v>
      </c>
      <c r="T26" s="812">
        <f>SUM(T27:T34)</f>
        <v>108933</v>
      </c>
      <c r="U26" s="812">
        <f>SUM(U27:U34)</f>
        <v>108395</v>
      </c>
      <c r="V26" s="806">
        <f t="shared" ref="V26:V32" si="3">S26/R26*100</f>
        <v>94.702699930771004</v>
      </c>
      <c r="W26" s="807">
        <f t="shared" ref="W26:W32" si="4">+T26/O26</f>
        <v>124.78006872852234</v>
      </c>
      <c r="X26" s="808">
        <f t="shared" ref="X26:X32" si="5">+O26/(R26/30.4)</f>
        <v>0.22682495320632803</v>
      </c>
      <c r="Y26" s="809">
        <f t="shared" ref="Y26:Y32" si="6">(+R26-S26)/O26</f>
        <v>7.0996563573883158</v>
      </c>
      <c r="Z26" s="765"/>
      <c r="AA26" s="765"/>
    </row>
    <row r="27" spans="1:27" s="777" customFormat="1" ht="18" customHeight="1">
      <c r="A27" s="842" t="s">
        <v>189</v>
      </c>
      <c r="B27" s="843">
        <v>418</v>
      </c>
      <c r="C27" s="843">
        <v>22</v>
      </c>
      <c r="D27" s="844">
        <v>10</v>
      </c>
      <c r="E27" s="843"/>
      <c r="F27" s="813"/>
      <c r="G27" s="813"/>
      <c r="H27" s="813"/>
      <c r="I27" s="843">
        <v>638</v>
      </c>
      <c r="J27" s="843">
        <v>106</v>
      </c>
      <c r="K27" s="805">
        <f t="shared" ref="K27:K34" si="7">SUM(E27:J27)</f>
        <v>744</v>
      </c>
      <c r="L27" s="843">
        <v>631</v>
      </c>
      <c r="M27" s="843">
        <v>104</v>
      </c>
      <c r="N27" s="843">
        <v>1</v>
      </c>
      <c r="O27" s="814">
        <f>SUM(L27:N27)</f>
        <v>736</v>
      </c>
      <c r="P27" s="814">
        <f t="shared" ref="P27:P34" si="8">SUM(D27,K27)-O27</f>
        <v>18</v>
      </c>
      <c r="Q27" s="813">
        <v>4</v>
      </c>
      <c r="R27" s="813">
        <v>14600</v>
      </c>
      <c r="S27" s="813">
        <v>14115</v>
      </c>
      <c r="T27" s="845">
        <v>13317</v>
      </c>
      <c r="U27" s="845">
        <v>13147</v>
      </c>
      <c r="V27" s="806">
        <f t="shared" si="3"/>
        <v>96.678082191780817</v>
      </c>
      <c r="W27" s="807">
        <f t="shared" si="4"/>
        <v>18.09375</v>
      </c>
      <c r="X27" s="808">
        <f t="shared" si="5"/>
        <v>1.5324931506849313</v>
      </c>
      <c r="Y27" s="809">
        <f t="shared" si="6"/>
        <v>0.65896739130434778</v>
      </c>
      <c r="Z27" s="776"/>
      <c r="AA27" s="776"/>
    </row>
    <row r="28" spans="1:27" s="777" customFormat="1" ht="18" customHeight="1">
      <c r="A28" s="842" t="s">
        <v>190</v>
      </c>
      <c r="B28" s="843">
        <v>419</v>
      </c>
      <c r="C28" s="843">
        <v>30</v>
      </c>
      <c r="D28" s="844">
        <v>30</v>
      </c>
      <c r="E28" s="843"/>
      <c r="F28" s="813"/>
      <c r="G28" s="813"/>
      <c r="H28" s="813"/>
      <c r="I28" s="843">
        <v>99</v>
      </c>
      <c r="J28" s="843">
        <v>11</v>
      </c>
      <c r="K28" s="805">
        <f t="shared" si="7"/>
        <v>110</v>
      </c>
      <c r="L28" s="843">
        <v>108</v>
      </c>
      <c r="M28" s="843">
        <v>5</v>
      </c>
      <c r="N28" s="843">
        <v>1</v>
      </c>
      <c r="O28" s="814">
        <f t="shared" ref="O28:O33" si="9">SUM(L28:N28)</f>
        <v>114</v>
      </c>
      <c r="P28" s="814">
        <f t="shared" si="8"/>
        <v>26</v>
      </c>
      <c r="Q28" s="813"/>
      <c r="R28" s="845">
        <v>36500</v>
      </c>
      <c r="S28" s="845">
        <v>35365</v>
      </c>
      <c r="T28" s="845">
        <v>31340</v>
      </c>
      <c r="U28" s="843">
        <v>31340</v>
      </c>
      <c r="V28" s="806">
        <f t="shared" si="3"/>
        <v>96.890410958904098</v>
      </c>
      <c r="W28" s="807">
        <f t="shared" si="4"/>
        <v>274.91228070175441</v>
      </c>
      <c r="X28" s="808">
        <f t="shared" si="5"/>
        <v>9.4947945205479459E-2</v>
      </c>
      <c r="Y28" s="809">
        <f t="shared" si="6"/>
        <v>9.9561403508771935</v>
      </c>
      <c r="Z28" s="776"/>
      <c r="AA28" s="776"/>
    </row>
    <row r="29" spans="1:27" s="777" customFormat="1" ht="18" customHeight="1">
      <c r="A29" s="846" t="s">
        <v>191</v>
      </c>
      <c r="B29" s="843">
        <v>420</v>
      </c>
      <c r="C29" s="843">
        <v>190</v>
      </c>
      <c r="D29" s="843">
        <v>157</v>
      </c>
      <c r="E29" s="843"/>
      <c r="F29" s="813"/>
      <c r="G29" s="813"/>
      <c r="H29" s="813"/>
      <c r="I29" s="843">
        <v>19</v>
      </c>
      <c r="J29" s="843"/>
      <c r="K29" s="805">
        <f t="shared" si="7"/>
        <v>19</v>
      </c>
      <c r="L29" s="843">
        <v>24</v>
      </c>
      <c r="M29" s="843">
        <v>1</v>
      </c>
      <c r="N29" s="843">
        <v>4</v>
      </c>
      <c r="O29" s="814">
        <f t="shared" si="9"/>
        <v>29</v>
      </c>
      <c r="P29" s="814">
        <f t="shared" si="8"/>
        <v>147</v>
      </c>
      <c r="Q29" s="813"/>
      <c r="R29" s="845">
        <v>33053</v>
      </c>
      <c r="S29" s="845">
        <v>32658</v>
      </c>
      <c r="T29" s="845">
        <v>33873</v>
      </c>
      <c r="U29" s="843">
        <v>33873</v>
      </c>
      <c r="V29" s="806">
        <f t="shared" si="3"/>
        <v>98.804949626357669</v>
      </c>
      <c r="W29" s="807">
        <f t="shared" si="4"/>
        <v>1168.0344827586207</v>
      </c>
      <c r="X29" s="808">
        <f t="shared" si="5"/>
        <v>2.6672314162103292E-2</v>
      </c>
      <c r="Y29" s="809">
        <f t="shared" si="6"/>
        <v>13.620689655172415</v>
      </c>
      <c r="Z29" s="776"/>
      <c r="AA29" s="776"/>
    </row>
    <row r="30" spans="1:27" s="777" customFormat="1" ht="18" customHeight="1">
      <c r="A30" s="842" t="s">
        <v>192</v>
      </c>
      <c r="B30" s="843"/>
      <c r="C30" s="843">
        <v>18</v>
      </c>
      <c r="D30" s="843">
        <v>16</v>
      </c>
      <c r="E30" s="843"/>
      <c r="F30" s="813"/>
      <c r="G30" s="813"/>
      <c r="H30" s="813"/>
      <c r="I30" s="843"/>
      <c r="J30" s="843"/>
      <c r="K30" s="805">
        <f t="shared" si="7"/>
        <v>0</v>
      </c>
      <c r="L30" s="843"/>
      <c r="M30" s="843"/>
      <c r="N30" s="843"/>
      <c r="O30" s="814">
        <f t="shared" si="9"/>
        <v>0</v>
      </c>
      <c r="P30" s="814">
        <f t="shared" si="8"/>
        <v>16</v>
      </c>
      <c r="Q30" s="813"/>
      <c r="R30" s="845"/>
      <c r="S30" s="845"/>
      <c r="T30" s="845"/>
      <c r="U30" s="843"/>
      <c r="V30" s="806"/>
      <c r="W30" s="807"/>
      <c r="X30" s="808"/>
      <c r="Y30" s="809"/>
      <c r="Z30" s="776"/>
      <c r="AA30" s="776"/>
    </row>
    <row r="31" spans="1:27" s="777" customFormat="1" ht="18" customHeight="1">
      <c r="A31" s="842" t="s">
        <v>193</v>
      </c>
      <c r="B31" s="843">
        <v>424</v>
      </c>
      <c r="C31" s="843"/>
      <c r="D31" s="843">
        <v>0</v>
      </c>
      <c r="E31" s="843"/>
      <c r="F31" s="813"/>
      <c r="G31" s="813"/>
      <c r="H31" s="813"/>
      <c r="I31" s="843"/>
      <c r="J31" s="843"/>
      <c r="K31" s="805">
        <f t="shared" si="7"/>
        <v>0</v>
      </c>
      <c r="L31" s="843"/>
      <c r="M31" s="843"/>
      <c r="N31" s="843"/>
      <c r="O31" s="814">
        <f t="shared" si="9"/>
        <v>0</v>
      </c>
      <c r="P31" s="814">
        <f t="shared" si="8"/>
        <v>0</v>
      </c>
      <c r="Q31" s="813"/>
      <c r="R31" s="845"/>
      <c r="S31" s="845"/>
      <c r="T31" s="845"/>
      <c r="U31" s="843"/>
      <c r="V31" s="806"/>
      <c r="W31" s="807"/>
      <c r="X31" s="808"/>
      <c r="Y31" s="809"/>
      <c r="Z31" s="776"/>
      <c r="AA31" s="776"/>
    </row>
    <row r="32" spans="1:27" s="777" customFormat="1" ht="18" customHeight="1">
      <c r="A32" s="842" t="s">
        <v>194</v>
      </c>
      <c r="B32" s="843">
        <v>424</v>
      </c>
      <c r="C32" s="843">
        <v>70</v>
      </c>
      <c r="D32" s="843">
        <v>41</v>
      </c>
      <c r="E32" s="843"/>
      <c r="F32" s="813"/>
      <c r="G32" s="813"/>
      <c r="H32" s="813"/>
      <c r="I32" s="843">
        <v>44</v>
      </c>
      <c r="J32" s="843">
        <v>50</v>
      </c>
      <c r="K32" s="805">
        <f t="shared" si="7"/>
        <v>94</v>
      </c>
      <c r="L32" s="843">
        <v>62</v>
      </c>
      <c r="M32" s="843">
        <v>40</v>
      </c>
      <c r="N32" s="843">
        <v>1</v>
      </c>
      <c r="O32" s="814">
        <f t="shared" si="9"/>
        <v>103</v>
      </c>
      <c r="P32" s="814">
        <f t="shared" si="8"/>
        <v>32</v>
      </c>
      <c r="Q32" s="813"/>
      <c r="R32" s="845">
        <v>25550</v>
      </c>
      <c r="S32" s="845">
        <v>22606</v>
      </c>
      <c r="T32" s="845">
        <v>23950</v>
      </c>
      <c r="U32" s="843">
        <v>23623</v>
      </c>
      <c r="V32" s="806">
        <f t="shared" si="3"/>
        <v>88.477495107632095</v>
      </c>
      <c r="W32" s="807">
        <f t="shared" si="4"/>
        <v>232.52427184466021</v>
      </c>
      <c r="X32" s="808">
        <f t="shared" si="5"/>
        <v>0.1225518590998043</v>
      </c>
      <c r="Y32" s="809">
        <f t="shared" si="6"/>
        <v>28.582524271844662</v>
      </c>
      <c r="Z32" s="776"/>
      <c r="AA32" s="776"/>
    </row>
    <row r="33" spans="1:27" s="777" customFormat="1" ht="18" customHeight="1">
      <c r="A33" s="842" t="s">
        <v>195</v>
      </c>
      <c r="B33" s="843">
        <v>423</v>
      </c>
      <c r="C33" s="843">
        <v>20</v>
      </c>
      <c r="D33" s="843">
        <v>19</v>
      </c>
      <c r="E33" s="843"/>
      <c r="F33" s="813"/>
      <c r="G33" s="813"/>
      <c r="H33" s="813"/>
      <c r="I33" s="843">
        <v>50</v>
      </c>
      <c r="J33" s="843">
        <v>1</v>
      </c>
      <c r="K33" s="805">
        <f t="shared" ref="K33" si="10">SUM(E33:J33)</f>
        <v>51</v>
      </c>
      <c r="L33" s="843">
        <v>41</v>
      </c>
      <c r="M33" s="843">
        <v>18</v>
      </c>
      <c r="N33" s="843"/>
      <c r="O33" s="814">
        <f t="shared" si="9"/>
        <v>59</v>
      </c>
      <c r="P33" s="814">
        <f t="shared" ref="P33" si="11">SUM(D33,K33)-O33</f>
        <v>11</v>
      </c>
      <c r="Q33" s="813"/>
      <c r="R33" s="845">
        <v>7300</v>
      </c>
      <c r="S33" s="845">
        <v>6061</v>
      </c>
      <c r="T33" s="845">
        <v>6453</v>
      </c>
      <c r="U33" s="843">
        <v>6412</v>
      </c>
      <c r="V33" s="806">
        <f t="shared" ref="V33" si="12">S33/R33*100</f>
        <v>83.027397260273972</v>
      </c>
      <c r="W33" s="807">
        <f t="shared" ref="W33" si="13">+T33/O33</f>
        <v>109.37288135593221</v>
      </c>
      <c r="X33" s="808">
        <f t="shared" ref="X33" si="14">+O33/(R33/30.4)</f>
        <v>0.24569863013698628</v>
      </c>
      <c r="Y33" s="809">
        <f t="shared" ref="Y33" si="15">(+R33-S33)/O33</f>
        <v>21</v>
      </c>
      <c r="Z33" s="776"/>
      <c r="AA33" s="776"/>
    </row>
    <row r="34" spans="1:27" s="777" customFormat="1" ht="18" customHeight="1">
      <c r="A34" s="847" t="s">
        <v>196</v>
      </c>
      <c r="B34" s="848">
        <v>330</v>
      </c>
      <c r="C34" s="848">
        <v>4</v>
      </c>
      <c r="D34" s="848">
        <v>0</v>
      </c>
      <c r="E34" s="848"/>
      <c r="F34" s="819"/>
      <c r="G34" s="819"/>
      <c r="H34" s="819"/>
      <c r="I34" s="848"/>
      <c r="J34" s="848"/>
      <c r="K34" s="849">
        <f t="shared" si="7"/>
        <v>0</v>
      </c>
      <c r="L34" s="848"/>
      <c r="M34" s="848"/>
      <c r="N34" s="848"/>
      <c r="O34" s="821">
        <f t="shared" ref="O34" si="16">L34+N34</f>
        <v>0</v>
      </c>
      <c r="P34" s="850">
        <f t="shared" si="8"/>
        <v>0</v>
      </c>
      <c r="Q34" s="819"/>
      <c r="R34" s="851"/>
      <c r="S34" s="851"/>
      <c r="T34" s="851"/>
      <c r="U34" s="848"/>
      <c r="V34" s="822"/>
      <c r="W34" s="823"/>
      <c r="X34" s="824"/>
      <c r="Y34" s="825"/>
      <c r="Z34" s="776"/>
      <c r="AA34" s="776"/>
    </row>
    <row r="35" spans="1:27">
      <c r="O35" s="827"/>
    </row>
    <row r="36" spans="1:27">
      <c r="D36" s="828"/>
    </row>
    <row r="37" spans="1:27">
      <c r="D37" s="829"/>
    </row>
  </sheetData>
  <mergeCells count="2">
    <mergeCell ref="Q9:Q10"/>
    <mergeCell ref="E9:O9"/>
  </mergeCells>
  <phoneticPr fontId="56" type="noConversion"/>
  <printOptions horizontalCentered="1" verticalCentered="1" gridLinesSet="0"/>
  <pageMargins left="0.19685039370078741" right="0.78740157480314965" top="0.27559055118110237" bottom="0.23622047244094491" header="0.39370078740157483" footer="0.39370078740157483"/>
  <pageSetup paperSize="5" scale="73" orientation="landscape" horizontalDpi="300" verticalDpi="300" r:id="rId1"/>
  <headerFooter alignWithMargins="0"/>
  <ignoredErrors>
    <ignoredError sqref="C26:J26 L26:V26" unlockedFormula="1"/>
    <ignoredError sqref="K26" formula="1" unlockedFormula="1"/>
    <ignoredError sqref="K27:K34" formula="1"/>
  </ignoredError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66"/>
  <sheetViews>
    <sheetView topLeftCell="A6" workbookViewId="0">
      <selection activeCell="E18" sqref="E18"/>
    </sheetView>
  </sheetViews>
  <sheetFormatPr baseColWidth="10" defaultColWidth="14.85546875" defaultRowHeight="12.75"/>
  <cols>
    <col min="1" max="1" width="14.140625" style="855" customWidth="1"/>
    <col min="2" max="3" width="9.28515625" style="855" customWidth="1"/>
    <col min="4" max="5" width="11.140625" style="855" customWidth="1"/>
    <col min="6" max="6" width="13.7109375" style="855" customWidth="1"/>
    <col min="7" max="7" width="11.140625" style="855" customWidth="1"/>
    <col min="8" max="8" width="12.42578125" style="855" customWidth="1"/>
    <col min="9" max="16384" width="14.85546875" style="855"/>
  </cols>
  <sheetData>
    <row r="1" spans="1:35" ht="15.75">
      <c r="A1" s="852" t="s">
        <v>197</v>
      </c>
      <c r="B1" s="853"/>
      <c r="C1" s="853"/>
      <c r="D1" s="853"/>
      <c r="E1" s="853"/>
      <c r="F1" s="854"/>
      <c r="G1" s="854"/>
      <c r="H1" s="854"/>
      <c r="I1" s="765"/>
      <c r="J1" s="765"/>
      <c r="K1" s="765"/>
      <c r="L1" s="765"/>
      <c r="M1" s="765"/>
      <c r="N1" s="765"/>
      <c r="O1" s="765"/>
      <c r="P1" s="765"/>
      <c r="Q1" s="765"/>
      <c r="R1" s="765"/>
      <c r="S1" s="765"/>
      <c r="T1" s="765"/>
      <c r="U1" s="765"/>
      <c r="V1" s="765"/>
      <c r="W1" s="765"/>
      <c r="X1" s="765"/>
      <c r="Y1" s="765"/>
      <c r="Z1" s="765"/>
      <c r="AA1" s="765"/>
      <c r="AB1" s="765"/>
      <c r="AC1" s="765"/>
      <c r="AD1" s="765"/>
      <c r="AE1" s="765"/>
      <c r="AF1" s="765"/>
      <c r="AG1" s="765"/>
      <c r="AH1" s="765"/>
      <c r="AI1" s="765"/>
    </row>
    <row r="2" spans="1:35" ht="15.75">
      <c r="A2" s="852"/>
      <c r="B2" s="853"/>
      <c r="C2" s="853"/>
      <c r="D2" s="853"/>
      <c r="E2" s="853"/>
      <c r="F2" s="854"/>
      <c r="G2" s="854"/>
      <c r="H2" s="854"/>
      <c r="I2" s="765"/>
      <c r="J2" s="765"/>
      <c r="K2" s="765"/>
      <c r="L2" s="765"/>
      <c r="M2" s="765"/>
      <c r="N2" s="765"/>
      <c r="O2" s="765"/>
      <c r="P2" s="765"/>
      <c r="Q2" s="765"/>
      <c r="R2" s="765"/>
      <c r="S2" s="765"/>
      <c r="T2" s="765"/>
      <c r="U2" s="765"/>
      <c r="V2" s="765"/>
      <c r="W2" s="765"/>
      <c r="X2" s="765"/>
      <c r="Y2" s="765"/>
      <c r="Z2" s="765"/>
      <c r="AA2" s="765"/>
      <c r="AB2" s="765"/>
      <c r="AC2" s="765"/>
      <c r="AD2" s="765"/>
      <c r="AE2" s="765"/>
      <c r="AF2" s="765"/>
      <c r="AG2" s="765"/>
      <c r="AH2" s="765"/>
      <c r="AI2" s="765"/>
    </row>
    <row r="3" spans="1:35" ht="15.75">
      <c r="A3" s="852" t="s">
        <v>198</v>
      </c>
      <c r="B3" s="853"/>
      <c r="C3" s="853"/>
      <c r="D3" s="853"/>
      <c r="E3" s="853"/>
      <c r="F3" s="854"/>
      <c r="G3" s="854"/>
      <c r="H3" s="854"/>
      <c r="I3" s="765"/>
      <c r="J3" s="765"/>
      <c r="K3" s="765"/>
      <c r="L3" s="765"/>
      <c r="M3" s="765"/>
      <c r="N3" s="765"/>
      <c r="O3" s="765"/>
      <c r="P3" s="765"/>
      <c r="Q3" s="765"/>
      <c r="R3" s="765"/>
      <c r="S3" s="765"/>
      <c r="T3" s="765"/>
      <c r="U3" s="765"/>
      <c r="V3" s="765"/>
      <c r="W3" s="765"/>
      <c r="X3" s="765"/>
      <c r="Y3" s="765"/>
      <c r="Z3" s="765"/>
      <c r="AA3" s="765"/>
      <c r="AB3" s="765"/>
      <c r="AC3" s="765"/>
      <c r="AD3" s="765"/>
      <c r="AE3" s="765"/>
      <c r="AF3" s="765"/>
      <c r="AG3" s="765"/>
      <c r="AH3" s="765"/>
      <c r="AI3" s="765"/>
    </row>
    <row r="4" spans="1:35" ht="15.75">
      <c r="A4" s="852" t="s">
        <v>1370</v>
      </c>
      <c r="B4" s="853"/>
      <c r="C4" s="853"/>
      <c r="D4" s="853"/>
      <c r="E4" s="853"/>
      <c r="F4" s="854"/>
      <c r="G4" s="854"/>
      <c r="H4" s="854"/>
      <c r="I4" s="765"/>
      <c r="J4" s="765"/>
      <c r="K4" s="765"/>
      <c r="L4" s="765"/>
      <c r="M4" s="765"/>
      <c r="N4" s="765"/>
      <c r="O4" s="765"/>
      <c r="P4" s="765"/>
      <c r="Q4" s="765"/>
      <c r="R4" s="765"/>
      <c r="S4" s="765"/>
      <c r="T4" s="765"/>
      <c r="U4" s="765"/>
      <c r="V4" s="765"/>
      <c r="W4" s="765"/>
      <c r="X4" s="765"/>
      <c r="Y4" s="765"/>
      <c r="Z4" s="765"/>
      <c r="AA4" s="765"/>
      <c r="AB4" s="765"/>
      <c r="AC4" s="765"/>
      <c r="AD4" s="765"/>
      <c r="AE4" s="765"/>
      <c r="AF4" s="765"/>
      <c r="AG4" s="765"/>
      <c r="AH4" s="765"/>
      <c r="AI4" s="765"/>
    </row>
    <row r="5" spans="1:35" ht="15.75">
      <c r="B5" s="856"/>
      <c r="C5" s="856"/>
      <c r="D5" s="856"/>
      <c r="E5" s="856"/>
      <c r="F5" s="856"/>
      <c r="G5" s="856"/>
      <c r="H5" s="856"/>
      <c r="I5" s="765"/>
      <c r="J5" s="765"/>
      <c r="K5" s="765"/>
      <c r="L5" s="765"/>
      <c r="M5" s="765"/>
      <c r="N5" s="765"/>
      <c r="O5" s="765"/>
      <c r="P5" s="765"/>
      <c r="Q5" s="765"/>
      <c r="R5" s="765"/>
      <c r="S5" s="765"/>
      <c r="T5" s="765"/>
      <c r="U5" s="765"/>
      <c r="V5" s="765"/>
      <c r="W5" s="765"/>
      <c r="X5" s="765"/>
      <c r="Y5" s="765"/>
      <c r="Z5" s="765"/>
      <c r="AA5" s="765"/>
      <c r="AB5" s="765"/>
      <c r="AC5" s="765"/>
      <c r="AD5" s="765"/>
      <c r="AE5" s="765"/>
      <c r="AF5" s="765"/>
      <c r="AG5" s="765"/>
      <c r="AH5" s="765"/>
      <c r="AI5" s="765"/>
    </row>
    <row r="6" spans="1:35" ht="15.75">
      <c r="I6" s="765"/>
      <c r="J6" s="765"/>
      <c r="K6" s="765"/>
      <c r="L6" s="765"/>
      <c r="M6" s="765"/>
      <c r="N6" s="765"/>
      <c r="O6" s="765"/>
      <c r="P6" s="765"/>
      <c r="Q6" s="765"/>
      <c r="R6" s="765"/>
      <c r="S6" s="765"/>
      <c r="T6" s="765"/>
      <c r="U6" s="765"/>
      <c r="V6" s="765"/>
      <c r="W6" s="765"/>
      <c r="X6" s="765"/>
      <c r="Y6" s="765"/>
      <c r="Z6" s="765"/>
      <c r="AA6" s="765"/>
      <c r="AB6" s="765"/>
      <c r="AC6" s="765"/>
      <c r="AD6" s="765"/>
      <c r="AE6" s="765"/>
      <c r="AF6" s="765"/>
      <c r="AG6" s="765"/>
      <c r="AH6" s="765"/>
      <c r="AI6" s="765"/>
    </row>
    <row r="7" spans="1:35" ht="17.25" customHeight="1">
      <c r="B7" s="857"/>
      <c r="C7" s="858" t="s">
        <v>199</v>
      </c>
      <c r="D7" s="858" t="s">
        <v>200</v>
      </c>
      <c r="E7" s="859" t="s">
        <v>681</v>
      </c>
      <c r="F7" s="860" t="s">
        <v>201</v>
      </c>
      <c r="G7" s="861" t="s">
        <v>202</v>
      </c>
      <c r="H7" s="862"/>
      <c r="I7" s="765"/>
      <c r="J7" s="765"/>
      <c r="K7" s="765"/>
      <c r="L7" s="765"/>
      <c r="M7" s="765"/>
      <c r="N7" s="765"/>
      <c r="O7" s="765"/>
      <c r="P7" s="765"/>
      <c r="Q7" s="765"/>
      <c r="R7" s="765"/>
      <c r="S7" s="765"/>
      <c r="T7" s="765"/>
      <c r="U7" s="765"/>
      <c r="V7" s="765"/>
      <c r="W7" s="765"/>
      <c r="X7" s="765"/>
      <c r="Y7" s="765"/>
      <c r="Z7" s="765"/>
      <c r="AA7" s="765"/>
      <c r="AB7" s="765"/>
      <c r="AC7" s="765"/>
      <c r="AD7" s="765"/>
      <c r="AE7" s="765"/>
      <c r="AF7" s="765"/>
      <c r="AG7" s="765"/>
      <c r="AH7" s="765"/>
      <c r="AI7" s="765"/>
    </row>
    <row r="8" spans="1:35" ht="17.25" customHeight="1">
      <c r="B8" s="863" t="s">
        <v>659</v>
      </c>
      <c r="C8" s="864" t="s">
        <v>203</v>
      </c>
      <c r="D8" s="864" t="s">
        <v>203</v>
      </c>
      <c r="E8" s="865" t="s">
        <v>204</v>
      </c>
      <c r="F8" s="866" t="s">
        <v>205</v>
      </c>
      <c r="G8" s="867" t="s">
        <v>206</v>
      </c>
      <c r="H8" s="862"/>
      <c r="I8" s="765"/>
      <c r="J8" s="765"/>
      <c r="K8" s="765"/>
      <c r="L8" s="765"/>
      <c r="M8" s="765"/>
      <c r="N8" s="765"/>
      <c r="O8" s="765"/>
      <c r="P8" s="765"/>
      <c r="Q8" s="765"/>
      <c r="R8" s="765"/>
      <c r="S8" s="765"/>
      <c r="T8" s="765"/>
      <c r="U8" s="765"/>
      <c r="V8" s="765"/>
      <c r="W8" s="765"/>
      <c r="X8" s="765"/>
      <c r="Y8" s="765"/>
      <c r="Z8" s="765"/>
      <c r="AA8" s="765"/>
      <c r="AB8" s="765"/>
      <c r="AC8" s="765"/>
      <c r="AD8" s="765"/>
      <c r="AE8" s="765"/>
      <c r="AF8" s="765"/>
      <c r="AG8" s="765"/>
      <c r="AH8" s="765"/>
      <c r="AI8" s="765"/>
    </row>
    <row r="9" spans="1:35" ht="18.75" customHeight="1">
      <c r="B9" s="873">
        <v>2006</v>
      </c>
      <c r="C9" s="869">
        <f>+'84'!C9+'85'!C9+'86'!C9+'87'!C9+'88'!C9</f>
        <v>957</v>
      </c>
      <c r="D9" s="869">
        <f>+'84'!D9+'85'!D9+'86'!D9+'87'!D9+'88'!D9</f>
        <v>895</v>
      </c>
      <c r="E9" s="870">
        <f>+'84'!E9+'85'!E9+'86'!E9+'87'!E9+'88'!E9</f>
        <v>24645</v>
      </c>
      <c r="F9" s="871">
        <v>75.8</v>
      </c>
      <c r="G9" s="872">
        <v>15.88</v>
      </c>
      <c r="H9" s="862"/>
      <c r="I9" s="765"/>
      <c r="J9" s="765"/>
      <c r="K9" s="765"/>
      <c r="L9" s="765"/>
      <c r="M9" s="765"/>
      <c r="N9" s="765"/>
      <c r="O9" s="765"/>
      <c r="P9" s="765"/>
      <c r="Q9" s="765"/>
      <c r="R9" s="765"/>
      <c r="S9" s="765"/>
      <c r="T9" s="765"/>
      <c r="U9" s="765"/>
      <c r="V9" s="765"/>
      <c r="W9" s="765"/>
      <c r="X9" s="765"/>
      <c r="Y9" s="765"/>
      <c r="Z9" s="765"/>
      <c r="AA9" s="765"/>
      <c r="AB9" s="765"/>
      <c r="AC9" s="765"/>
      <c r="AD9" s="765"/>
      <c r="AE9" s="765"/>
      <c r="AF9" s="765"/>
      <c r="AG9" s="765"/>
      <c r="AH9" s="765"/>
      <c r="AI9" s="765"/>
    </row>
    <row r="10" spans="1:35" ht="18.75" customHeight="1">
      <c r="B10" s="873">
        <v>2007</v>
      </c>
      <c r="C10" s="870">
        <f>+'84'!C10+'85'!C10+'86'!C10+'87'!C10+'88'!C10</f>
        <v>957</v>
      </c>
      <c r="D10" s="874">
        <f>+'84'!D10+'85'!D10+'86'!D10+'87'!D10+'88'!D10</f>
        <v>889</v>
      </c>
      <c r="E10" s="870">
        <f>+'84'!E10+'85'!E10+'86'!E10+'87'!E10+'88'!E10</f>
        <v>24688</v>
      </c>
      <c r="F10" s="871">
        <v>74.2</v>
      </c>
      <c r="G10" s="872">
        <v>16.8</v>
      </c>
      <c r="H10" s="862"/>
      <c r="I10" s="765"/>
      <c r="J10" s="765"/>
      <c r="K10" s="765"/>
      <c r="L10" s="765"/>
      <c r="M10" s="765"/>
      <c r="N10" s="765"/>
      <c r="O10" s="765"/>
      <c r="P10" s="765"/>
      <c r="Q10" s="765"/>
      <c r="R10" s="765"/>
      <c r="S10" s="765"/>
      <c r="T10" s="765"/>
      <c r="U10" s="765"/>
      <c r="V10" s="765"/>
      <c r="W10" s="765"/>
      <c r="X10" s="765"/>
      <c r="Y10" s="765"/>
      <c r="Z10" s="765"/>
      <c r="AA10" s="765"/>
      <c r="AB10" s="765"/>
      <c r="AC10" s="765"/>
      <c r="AD10" s="765"/>
      <c r="AE10" s="765"/>
      <c r="AF10" s="765"/>
      <c r="AG10" s="765"/>
      <c r="AH10" s="765"/>
      <c r="AI10" s="765"/>
    </row>
    <row r="11" spans="1:35" ht="18.75" customHeight="1">
      <c r="B11" s="873">
        <v>2008</v>
      </c>
      <c r="C11" s="870">
        <f>+'84'!C11+'85'!C11+'86'!C11+'87'!C11+'88'!C11</f>
        <v>957</v>
      </c>
      <c r="D11" s="874">
        <f>+'84'!D11+'85'!D11+'86'!D11+'87'!D11+'88'!D11</f>
        <v>842</v>
      </c>
      <c r="E11" s="870">
        <f>+'84'!E11+'85'!E11+'86'!E11+'87'!E11+'88'!E11</f>
        <v>23453</v>
      </c>
      <c r="F11" s="871">
        <v>73.900000000000006</v>
      </c>
      <c r="G11" s="872">
        <v>16.63</v>
      </c>
      <c r="H11" s="862"/>
      <c r="I11" s="765"/>
      <c r="J11" s="765"/>
      <c r="K11" s="765"/>
      <c r="L11" s="765"/>
      <c r="M11" s="765"/>
      <c r="N11" s="765"/>
      <c r="O11" s="765"/>
      <c r="P11" s="765"/>
      <c r="Q11" s="765"/>
      <c r="R11" s="765"/>
      <c r="S11" s="765"/>
      <c r="T11" s="765"/>
      <c r="U11" s="765"/>
      <c r="V11" s="765"/>
      <c r="W11" s="765"/>
      <c r="X11" s="765"/>
      <c r="Y11" s="765"/>
      <c r="Z11" s="765"/>
      <c r="AA11" s="765"/>
      <c r="AB11" s="765"/>
      <c r="AC11" s="765"/>
      <c r="AD11" s="765"/>
      <c r="AE11" s="765"/>
      <c r="AF11" s="765"/>
      <c r="AG11" s="765"/>
      <c r="AH11" s="765"/>
      <c r="AI11" s="765"/>
    </row>
    <row r="12" spans="1:35" ht="18.75" customHeight="1">
      <c r="B12" s="873">
        <v>2009</v>
      </c>
      <c r="C12" s="870">
        <f>+'84'!C12+'85'!C12+'86'!C12+'87'!C12+'88'!C12</f>
        <v>939</v>
      </c>
      <c r="D12" s="874">
        <f>+'84'!D12+'85'!D12+'86'!D12+'87'!D12+'88'!D12</f>
        <v>785</v>
      </c>
      <c r="E12" s="870">
        <f>+'84'!E12+'85'!E12+'86'!E12+'87'!E12+'88'!E12</f>
        <v>22222</v>
      </c>
      <c r="F12" s="871">
        <v>74.8</v>
      </c>
      <c r="G12" s="872">
        <v>9.01</v>
      </c>
      <c r="H12" s="862"/>
      <c r="I12" s="765"/>
      <c r="J12" s="765"/>
      <c r="K12" s="765"/>
      <c r="L12" s="765"/>
      <c r="M12" s="765"/>
      <c r="N12" s="765"/>
      <c r="O12" s="765"/>
      <c r="P12" s="765"/>
      <c r="Q12" s="765"/>
      <c r="R12" s="765"/>
      <c r="S12" s="765"/>
      <c r="T12" s="765"/>
      <c r="U12" s="765"/>
      <c r="V12" s="765"/>
      <c r="W12" s="765"/>
      <c r="X12" s="765"/>
      <c r="Y12" s="765"/>
      <c r="Z12" s="765"/>
      <c r="AA12" s="765"/>
      <c r="AB12" s="765"/>
      <c r="AC12" s="765"/>
      <c r="AD12" s="765"/>
      <c r="AE12" s="765"/>
      <c r="AF12" s="765"/>
      <c r="AG12" s="765"/>
      <c r="AH12" s="765"/>
      <c r="AI12" s="765"/>
    </row>
    <row r="13" spans="1:35" ht="18" customHeight="1">
      <c r="B13" s="873">
        <v>2010</v>
      </c>
      <c r="C13" s="870">
        <f>+'84'!C13+'85'!C13+'86'!C13+'87'!C13+'88'!C13</f>
        <v>939</v>
      </c>
      <c r="D13" s="874">
        <f>+'84'!D13+'85'!D13+'86'!D13+'87'!D13+'88'!D13</f>
        <v>738</v>
      </c>
      <c r="E13" s="870">
        <f>+'84'!E13+'85'!E13+'86'!E13+'87'!E13+'88'!E13</f>
        <v>22499</v>
      </c>
      <c r="F13" s="871">
        <v>75.552176885180216</v>
      </c>
      <c r="G13" s="872">
        <v>14.115164816962068</v>
      </c>
      <c r="H13" s="862"/>
      <c r="I13" s="765"/>
      <c r="J13" s="765"/>
      <c r="K13" s="765"/>
      <c r="L13" s="765"/>
      <c r="M13" s="765"/>
      <c r="N13" s="765"/>
      <c r="O13" s="765"/>
      <c r="P13" s="765"/>
      <c r="Q13" s="765"/>
      <c r="R13" s="765"/>
      <c r="S13" s="765"/>
      <c r="T13" s="765"/>
      <c r="U13" s="765"/>
      <c r="V13" s="765"/>
      <c r="W13" s="765"/>
      <c r="X13" s="765"/>
      <c r="Y13" s="765"/>
      <c r="Z13" s="765"/>
      <c r="AA13" s="765"/>
      <c r="AB13" s="765"/>
      <c r="AC13" s="765"/>
      <c r="AD13" s="765"/>
      <c r="AE13" s="765"/>
      <c r="AF13" s="765"/>
      <c r="AG13" s="765"/>
      <c r="AH13" s="765"/>
      <c r="AI13" s="765"/>
    </row>
    <row r="14" spans="1:35" ht="18" customHeight="1">
      <c r="B14" s="873">
        <v>2011</v>
      </c>
      <c r="C14" s="870">
        <f>+'84'!C14+'85'!C14+'86'!C14+'87'!C14+'88'!C14</f>
        <v>816</v>
      </c>
      <c r="D14" s="874">
        <f>+'84'!D14+'85'!D14+'86'!D14+'87'!D14+'88'!D14</f>
        <v>762</v>
      </c>
      <c r="E14" s="870">
        <f>+'84'!E14+'85'!E14+'86'!E14+'87'!E14+'88'!E14</f>
        <v>24229</v>
      </c>
      <c r="F14" s="871">
        <v>73.5</v>
      </c>
      <c r="G14" s="872">
        <v>10.52</v>
      </c>
      <c r="H14" s="862"/>
      <c r="I14" s="765"/>
      <c r="J14" s="765"/>
      <c r="K14" s="765"/>
      <c r="L14" s="765"/>
      <c r="M14" s="765"/>
      <c r="N14" s="765"/>
      <c r="O14" s="765"/>
      <c r="P14" s="765"/>
      <c r="Q14" s="765"/>
      <c r="R14" s="765"/>
      <c r="S14" s="765"/>
      <c r="T14" s="765"/>
      <c r="U14" s="765"/>
      <c r="V14" s="765"/>
      <c r="W14" s="765"/>
      <c r="X14" s="765"/>
      <c r="Y14" s="765"/>
      <c r="Z14" s="765"/>
      <c r="AA14" s="765"/>
      <c r="AB14" s="765"/>
      <c r="AC14" s="765"/>
      <c r="AD14" s="765"/>
      <c r="AE14" s="765"/>
      <c r="AF14" s="765"/>
      <c r="AG14" s="765"/>
      <c r="AH14" s="765"/>
      <c r="AI14" s="765"/>
    </row>
    <row r="15" spans="1:35" ht="18" customHeight="1">
      <c r="B15" s="873">
        <v>2012</v>
      </c>
      <c r="C15" s="870">
        <f>+'84'!C15+'85'!C15+'86'!C15+'87'!C15+'88'!C15</f>
        <v>816</v>
      </c>
      <c r="D15" s="874">
        <f>+'84'!D15+'85'!D15+'86'!D15+'87'!D15+'88'!D15</f>
        <v>785</v>
      </c>
      <c r="E15" s="870">
        <f>+'84'!E15+'85'!E15+'86'!E15+'87'!E15+'88'!E15</f>
        <v>24975</v>
      </c>
      <c r="F15" s="871">
        <v>76.3</v>
      </c>
      <c r="G15" s="872">
        <v>14.34</v>
      </c>
      <c r="H15" s="862"/>
      <c r="I15" s="765"/>
      <c r="J15" s="765"/>
      <c r="K15" s="765"/>
      <c r="L15" s="765"/>
      <c r="M15" s="765"/>
      <c r="N15" s="765"/>
      <c r="O15" s="765"/>
      <c r="P15" s="765"/>
      <c r="Q15" s="765"/>
      <c r="R15" s="765"/>
      <c r="S15" s="765"/>
      <c r="T15" s="765"/>
      <c r="U15" s="765"/>
      <c r="V15" s="765"/>
      <c r="W15" s="765"/>
      <c r="X15" s="765"/>
      <c r="Y15" s="765"/>
      <c r="Z15" s="765"/>
      <c r="AA15" s="765"/>
      <c r="AB15" s="765"/>
      <c r="AC15" s="765"/>
      <c r="AD15" s="765"/>
      <c r="AE15" s="765"/>
      <c r="AF15" s="765"/>
      <c r="AG15" s="765"/>
      <c r="AH15" s="765"/>
      <c r="AI15" s="765"/>
    </row>
    <row r="16" spans="1:35" ht="18" customHeight="1">
      <c r="B16" s="873">
        <v>2013</v>
      </c>
      <c r="C16" s="870">
        <f>+'84'!C16+'85'!C16+'86'!C16+'87'!C16+'88'!C16</f>
        <v>816</v>
      </c>
      <c r="D16" s="874">
        <f>+'84'!D16+'85'!D16+'86'!D16+'87'!D16+'88'!D16</f>
        <v>766</v>
      </c>
      <c r="E16" s="870">
        <f>+'84'!E16+'85'!E16+'86'!E16+'87'!E16+'88'!E16</f>
        <v>24175</v>
      </c>
      <c r="F16" s="871">
        <v>79.400000000000006</v>
      </c>
      <c r="G16" s="872">
        <v>10.76</v>
      </c>
      <c r="H16" s="862"/>
      <c r="I16" s="765"/>
      <c r="J16" s="765"/>
      <c r="K16" s="765"/>
      <c r="L16" s="765"/>
      <c r="M16" s="765"/>
      <c r="N16" s="765"/>
      <c r="O16" s="765"/>
      <c r="P16" s="765"/>
      <c r="Q16" s="765"/>
      <c r="R16" s="765"/>
      <c r="S16" s="765"/>
      <c r="T16" s="765"/>
      <c r="U16" s="765"/>
      <c r="V16" s="765"/>
      <c r="W16" s="765"/>
      <c r="X16" s="765"/>
      <c r="Y16" s="765"/>
      <c r="Z16" s="765"/>
      <c r="AA16" s="765"/>
      <c r="AB16" s="765"/>
      <c r="AC16" s="765"/>
      <c r="AD16" s="765"/>
      <c r="AE16" s="765"/>
      <c r="AF16" s="765"/>
      <c r="AG16" s="765"/>
      <c r="AH16" s="765"/>
      <c r="AI16" s="765"/>
    </row>
    <row r="17" spans="2:35" ht="18" customHeight="1">
      <c r="B17" s="873">
        <v>2014</v>
      </c>
      <c r="C17" s="875">
        <f>+'84'!C17+'85'!C17+'86'!C17+'87'!C17+'88'!C17</f>
        <v>829</v>
      </c>
      <c r="D17" s="876">
        <f>+'84'!D17+'85'!D17+'86'!D17+'87'!D17+'88'!D17</f>
        <v>786.29041095890409</v>
      </c>
      <c r="E17" s="875">
        <f>+'84'!E17+'85'!E17+'86'!E17+'87'!E17+'88'!E17</f>
        <v>24626</v>
      </c>
      <c r="F17" s="877">
        <v>80.425263775961383</v>
      </c>
      <c r="G17" s="878">
        <v>9.5870941054808689</v>
      </c>
      <c r="H17" s="862"/>
      <c r="I17" s="765"/>
      <c r="J17" s="765"/>
      <c r="K17" s="765"/>
      <c r="L17" s="765"/>
      <c r="M17" s="765"/>
      <c r="N17" s="765"/>
      <c r="O17" s="765"/>
      <c r="P17" s="765"/>
      <c r="Q17" s="765"/>
      <c r="R17" s="765"/>
      <c r="S17" s="765"/>
      <c r="T17" s="765"/>
      <c r="U17" s="765"/>
      <c r="V17" s="765"/>
      <c r="W17" s="765"/>
      <c r="X17" s="765"/>
      <c r="Y17" s="765"/>
      <c r="Z17" s="765"/>
      <c r="AA17" s="765"/>
      <c r="AB17" s="765"/>
      <c r="AC17" s="765"/>
      <c r="AD17" s="765"/>
      <c r="AE17" s="765"/>
      <c r="AF17" s="765"/>
      <c r="AG17" s="765"/>
      <c r="AH17" s="765"/>
      <c r="AI17" s="765"/>
    </row>
    <row r="18" spans="2:35" ht="18.75" customHeight="1">
      <c r="B18" s="879">
        <v>2015</v>
      </c>
      <c r="C18" s="880">
        <f>+'84'!C18+'85'!C18+'86'!C18+'87'!C18+'88'!C18</f>
        <v>829</v>
      </c>
      <c r="D18" s="881">
        <f>+'84'!D18+'85'!D18+'86'!D18+'87'!D18+'88'!D18</f>
        <v>786.35342465753422</v>
      </c>
      <c r="E18" s="880">
        <f>+'84'!E18+'85'!E18+'86'!E18+'87'!E18+'88'!E18</f>
        <v>23665</v>
      </c>
      <c r="F18" s="882">
        <f>+'74'!V12</f>
        <v>79.143192610942137</v>
      </c>
      <c r="G18" s="883">
        <f>+'74'!W12</f>
        <v>9.5555884217198397</v>
      </c>
      <c r="H18" s="862"/>
      <c r="I18" s="765"/>
      <c r="J18" s="765"/>
      <c r="K18" s="765"/>
      <c r="L18" s="765"/>
      <c r="M18" s="765"/>
      <c r="N18" s="765"/>
      <c r="O18" s="765"/>
      <c r="P18" s="765"/>
      <c r="Q18" s="765"/>
      <c r="R18" s="765"/>
      <c r="S18" s="765"/>
      <c r="T18" s="765"/>
      <c r="U18" s="765"/>
      <c r="V18" s="765"/>
      <c r="W18" s="765"/>
      <c r="X18" s="765"/>
      <c r="Y18" s="765"/>
      <c r="Z18" s="765"/>
      <c r="AA18" s="765"/>
      <c r="AB18" s="765"/>
      <c r="AC18" s="765"/>
      <c r="AD18" s="765"/>
      <c r="AE18" s="765"/>
      <c r="AF18" s="765"/>
      <c r="AG18" s="765"/>
      <c r="AH18" s="765"/>
      <c r="AI18" s="765"/>
    </row>
    <row r="19" spans="2:35" ht="12" customHeight="1">
      <c r="B19" s="884"/>
      <c r="C19" s="884"/>
      <c r="D19" s="884"/>
      <c r="E19" s="870"/>
      <c r="F19" s="870"/>
      <c r="G19" s="885"/>
      <c r="H19" s="862"/>
      <c r="I19" s="765"/>
      <c r="J19" s="765"/>
      <c r="K19" s="765"/>
      <c r="L19" s="765"/>
      <c r="M19" s="765"/>
      <c r="N19" s="765"/>
      <c r="O19" s="765"/>
      <c r="P19" s="765"/>
      <c r="Q19" s="765"/>
      <c r="R19" s="765"/>
      <c r="S19" s="765"/>
      <c r="T19" s="765"/>
      <c r="U19" s="765"/>
      <c r="V19" s="765"/>
      <c r="W19" s="765"/>
      <c r="X19" s="765"/>
      <c r="Y19" s="765"/>
      <c r="Z19" s="765"/>
      <c r="AA19" s="765"/>
      <c r="AB19" s="765"/>
      <c r="AC19" s="765"/>
      <c r="AD19" s="765"/>
      <c r="AE19" s="765"/>
      <c r="AF19" s="765"/>
      <c r="AG19" s="765"/>
      <c r="AH19" s="765"/>
      <c r="AI19" s="765"/>
    </row>
    <row r="20" spans="2:35" ht="12" customHeight="1">
      <c r="B20" s="886"/>
      <c r="C20" s="886"/>
      <c r="D20" s="886"/>
      <c r="E20" s="862"/>
      <c r="F20" s="862"/>
      <c r="G20" s="862"/>
      <c r="H20" s="862"/>
      <c r="I20" s="765"/>
      <c r="J20" s="765"/>
      <c r="K20" s="765"/>
      <c r="L20" s="765"/>
      <c r="M20" s="765"/>
      <c r="N20" s="765"/>
      <c r="O20" s="765"/>
      <c r="P20" s="765"/>
      <c r="Q20" s="765"/>
      <c r="R20" s="765"/>
      <c r="S20" s="765"/>
      <c r="T20" s="765"/>
      <c r="U20" s="765"/>
      <c r="V20" s="765"/>
      <c r="W20" s="765"/>
      <c r="X20" s="765"/>
      <c r="Y20" s="765"/>
      <c r="Z20" s="765"/>
      <c r="AA20" s="765"/>
      <c r="AB20" s="765"/>
      <c r="AC20" s="765"/>
      <c r="AD20" s="765"/>
      <c r="AE20" s="765"/>
      <c r="AF20" s="765"/>
      <c r="AG20" s="765"/>
      <c r="AH20" s="765"/>
      <c r="AI20" s="765"/>
    </row>
    <row r="21" spans="2:35" ht="12" customHeight="1">
      <c r="B21" s="886"/>
      <c r="C21" s="886"/>
      <c r="D21" s="886"/>
      <c r="E21" s="862"/>
      <c r="F21" s="862"/>
      <c r="G21" s="862"/>
      <c r="H21" s="862"/>
      <c r="I21" s="765"/>
      <c r="J21" s="765"/>
      <c r="K21" s="765"/>
      <c r="L21" s="765"/>
      <c r="M21" s="765"/>
      <c r="N21" s="765"/>
      <c r="O21" s="765"/>
      <c r="P21" s="765"/>
      <c r="Q21" s="765"/>
      <c r="R21" s="765"/>
      <c r="S21" s="765"/>
      <c r="T21" s="765"/>
      <c r="U21" s="765"/>
      <c r="V21" s="765"/>
      <c r="W21" s="765"/>
      <c r="X21" s="765"/>
      <c r="Y21" s="765"/>
      <c r="Z21" s="765"/>
      <c r="AA21" s="765"/>
      <c r="AB21" s="765"/>
      <c r="AC21" s="765"/>
      <c r="AD21" s="765"/>
      <c r="AE21" s="765"/>
      <c r="AF21" s="765"/>
      <c r="AG21" s="765"/>
      <c r="AH21" s="765"/>
      <c r="AI21" s="765"/>
    </row>
    <row r="22" spans="2:35" ht="12" customHeight="1">
      <c r="B22" s="886"/>
      <c r="C22" s="886"/>
      <c r="D22" s="886"/>
      <c r="E22" s="862"/>
      <c r="F22" s="862"/>
      <c r="G22" s="862"/>
      <c r="H22" s="862"/>
      <c r="I22" s="765"/>
      <c r="J22" s="765"/>
      <c r="K22" s="765"/>
      <c r="L22" s="765"/>
      <c r="M22" s="765"/>
      <c r="N22" s="765"/>
      <c r="O22" s="765"/>
      <c r="P22" s="765"/>
      <c r="Q22" s="765"/>
      <c r="R22" s="765"/>
      <c r="S22" s="765"/>
      <c r="T22" s="765"/>
      <c r="U22" s="765"/>
      <c r="V22" s="765"/>
      <c r="W22" s="765"/>
      <c r="X22" s="765"/>
      <c r="Y22" s="765"/>
      <c r="Z22" s="765"/>
      <c r="AA22" s="765"/>
      <c r="AB22" s="765"/>
      <c r="AC22" s="765"/>
      <c r="AD22" s="765"/>
      <c r="AE22" s="765"/>
      <c r="AF22" s="765"/>
      <c r="AG22" s="765"/>
      <c r="AH22" s="765"/>
      <c r="AI22" s="765"/>
    </row>
    <row r="23" spans="2:35" ht="12" customHeight="1">
      <c r="B23" s="886"/>
      <c r="C23" s="886"/>
      <c r="D23" s="886"/>
      <c r="E23" s="886"/>
      <c r="F23" s="886"/>
      <c r="G23" s="886"/>
      <c r="H23" s="886"/>
      <c r="I23" s="765"/>
      <c r="J23" s="765"/>
      <c r="K23" s="765"/>
      <c r="L23" s="765"/>
      <c r="M23" s="765"/>
      <c r="N23" s="765"/>
      <c r="O23" s="765"/>
      <c r="P23" s="765"/>
      <c r="Q23" s="765"/>
      <c r="R23" s="765"/>
      <c r="S23" s="765"/>
      <c r="T23" s="765"/>
      <c r="U23" s="765"/>
      <c r="V23" s="765"/>
      <c r="W23" s="765"/>
      <c r="X23" s="765"/>
      <c r="Y23" s="765"/>
      <c r="Z23" s="765"/>
      <c r="AA23" s="765"/>
      <c r="AB23" s="765"/>
      <c r="AC23" s="765"/>
      <c r="AD23" s="765"/>
      <c r="AE23" s="765"/>
      <c r="AF23" s="765"/>
      <c r="AG23" s="765"/>
      <c r="AH23" s="765"/>
      <c r="AI23" s="765"/>
    </row>
    <row r="24" spans="2:35" ht="12" customHeight="1">
      <c r="I24" s="765"/>
      <c r="J24" s="765"/>
      <c r="K24" s="765"/>
      <c r="L24" s="765"/>
      <c r="M24" s="765"/>
      <c r="N24" s="765"/>
      <c r="O24" s="765"/>
      <c r="P24" s="765"/>
      <c r="Q24" s="765"/>
      <c r="R24" s="765"/>
      <c r="S24" s="765"/>
      <c r="T24" s="765"/>
      <c r="U24" s="765"/>
      <c r="V24" s="765"/>
      <c r="W24" s="765"/>
      <c r="X24" s="765"/>
      <c r="Y24" s="765"/>
      <c r="Z24" s="765"/>
      <c r="AA24" s="765"/>
      <c r="AB24" s="765"/>
      <c r="AC24" s="765"/>
      <c r="AD24" s="765"/>
      <c r="AE24" s="765"/>
      <c r="AF24" s="765"/>
      <c r="AG24" s="765"/>
      <c r="AH24" s="765"/>
      <c r="AI24" s="765"/>
    </row>
    <row r="25" spans="2:35" ht="12" customHeight="1">
      <c r="I25" s="765"/>
      <c r="J25" s="765"/>
      <c r="K25" s="765"/>
      <c r="L25" s="765"/>
      <c r="M25" s="765"/>
      <c r="N25" s="765"/>
      <c r="O25" s="765"/>
      <c r="P25" s="765"/>
      <c r="Q25" s="765"/>
      <c r="R25" s="765"/>
      <c r="S25" s="765"/>
      <c r="T25" s="765"/>
      <c r="U25" s="765"/>
      <c r="V25" s="765"/>
      <c r="W25" s="765"/>
      <c r="X25" s="765"/>
      <c r="Y25" s="765"/>
      <c r="Z25" s="765"/>
      <c r="AA25" s="765"/>
      <c r="AB25" s="765"/>
      <c r="AC25" s="765"/>
      <c r="AD25" s="765"/>
      <c r="AE25" s="765"/>
      <c r="AF25" s="765"/>
      <c r="AG25" s="765"/>
      <c r="AH25" s="765"/>
      <c r="AI25" s="765"/>
    </row>
    <row r="26" spans="2:35" ht="12" customHeight="1">
      <c r="I26" s="765"/>
      <c r="J26" s="765"/>
      <c r="K26" s="765"/>
      <c r="L26" s="765"/>
      <c r="M26" s="765"/>
      <c r="N26" s="765"/>
      <c r="O26" s="765"/>
      <c r="P26" s="765"/>
      <c r="Q26" s="765"/>
      <c r="R26" s="765"/>
      <c r="S26" s="765"/>
      <c r="T26" s="765"/>
      <c r="U26" s="765"/>
      <c r="V26" s="765"/>
      <c r="W26" s="765"/>
      <c r="X26" s="765"/>
      <c r="Y26" s="765"/>
      <c r="Z26" s="765"/>
      <c r="AA26" s="765"/>
      <c r="AB26" s="765"/>
      <c r="AC26" s="765"/>
      <c r="AD26" s="765"/>
      <c r="AE26" s="765"/>
      <c r="AF26" s="765"/>
      <c r="AG26" s="765"/>
      <c r="AH26" s="765"/>
      <c r="AI26" s="765"/>
    </row>
    <row r="27" spans="2:35" ht="12" customHeight="1">
      <c r="I27" s="765"/>
      <c r="J27" s="765"/>
      <c r="K27" s="765"/>
      <c r="L27" s="765"/>
      <c r="M27" s="765"/>
      <c r="N27" s="765"/>
      <c r="O27" s="765"/>
      <c r="P27" s="765"/>
      <c r="Q27" s="765"/>
      <c r="R27" s="765"/>
      <c r="S27" s="765"/>
      <c r="T27" s="765"/>
      <c r="U27" s="765"/>
      <c r="V27" s="765"/>
      <c r="W27" s="765"/>
      <c r="X27" s="765"/>
      <c r="Y27" s="765"/>
      <c r="Z27" s="765"/>
      <c r="AA27" s="765"/>
      <c r="AB27" s="765"/>
      <c r="AC27" s="765"/>
      <c r="AD27" s="765"/>
      <c r="AE27" s="765"/>
      <c r="AF27" s="765"/>
      <c r="AG27" s="765"/>
      <c r="AH27" s="765"/>
      <c r="AI27" s="765"/>
    </row>
    <row r="28" spans="2:35" ht="12" customHeight="1">
      <c r="I28" s="765"/>
      <c r="J28" s="765"/>
      <c r="K28" s="765"/>
      <c r="L28" s="765"/>
      <c r="M28" s="765"/>
      <c r="N28" s="765"/>
      <c r="O28" s="765"/>
      <c r="P28" s="765"/>
      <c r="Q28" s="765"/>
      <c r="R28" s="765"/>
      <c r="S28" s="765"/>
      <c r="T28" s="765"/>
      <c r="U28" s="765"/>
      <c r="V28" s="765"/>
      <c r="W28" s="765"/>
      <c r="X28" s="765"/>
      <c r="Y28" s="765"/>
      <c r="Z28" s="765"/>
      <c r="AA28" s="765"/>
      <c r="AB28" s="765"/>
      <c r="AC28" s="765"/>
      <c r="AD28" s="765"/>
      <c r="AE28" s="765"/>
      <c r="AF28" s="765"/>
      <c r="AG28" s="765"/>
      <c r="AH28" s="765"/>
      <c r="AI28" s="765"/>
    </row>
    <row r="29" spans="2:35" ht="12" customHeight="1">
      <c r="I29" s="765"/>
      <c r="J29" s="765"/>
      <c r="K29" s="765"/>
      <c r="L29" s="765"/>
      <c r="M29" s="765"/>
      <c r="N29" s="765"/>
      <c r="O29" s="765"/>
      <c r="P29" s="765"/>
      <c r="Q29" s="765"/>
      <c r="R29" s="765"/>
      <c r="S29" s="765"/>
      <c r="T29" s="765"/>
      <c r="U29" s="765"/>
      <c r="V29" s="765"/>
      <c r="W29" s="765"/>
      <c r="X29" s="765"/>
      <c r="Y29" s="765"/>
      <c r="Z29" s="765"/>
      <c r="AA29" s="765"/>
      <c r="AB29" s="765"/>
      <c r="AC29" s="765"/>
      <c r="AD29" s="765"/>
      <c r="AE29" s="765"/>
      <c r="AF29" s="765"/>
      <c r="AG29" s="765"/>
      <c r="AH29" s="765"/>
      <c r="AI29" s="765"/>
    </row>
    <row r="30" spans="2:35" ht="12" customHeight="1">
      <c r="I30" s="765"/>
      <c r="J30" s="765"/>
      <c r="K30" s="765"/>
      <c r="L30" s="765"/>
      <c r="M30" s="765"/>
      <c r="N30" s="765"/>
      <c r="O30" s="765"/>
      <c r="P30" s="765"/>
      <c r="Q30" s="765"/>
      <c r="R30" s="765"/>
      <c r="S30" s="765"/>
      <c r="T30" s="765"/>
      <c r="U30" s="765"/>
      <c r="V30" s="765"/>
      <c r="W30" s="765"/>
      <c r="X30" s="765"/>
      <c r="Y30" s="765"/>
      <c r="Z30" s="765"/>
      <c r="AA30" s="765"/>
      <c r="AB30" s="765"/>
      <c r="AC30" s="765"/>
      <c r="AD30" s="765"/>
      <c r="AE30" s="765"/>
      <c r="AF30" s="765"/>
      <c r="AG30" s="765"/>
      <c r="AH30" s="765"/>
      <c r="AI30" s="765"/>
    </row>
    <row r="31" spans="2:35" ht="12" customHeight="1">
      <c r="I31" s="765"/>
      <c r="J31" s="765"/>
      <c r="K31" s="765"/>
      <c r="L31" s="765"/>
      <c r="M31" s="765"/>
      <c r="N31" s="765"/>
      <c r="O31" s="765"/>
      <c r="P31" s="765"/>
      <c r="Q31" s="765"/>
      <c r="R31" s="765"/>
      <c r="S31" s="765"/>
      <c r="T31" s="765"/>
      <c r="U31" s="765"/>
      <c r="V31" s="765"/>
      <c r="W31" s="765"/>
      <c r="X31" s="765"/>
      <c r="Y31" s="765"/>
      <c r="Z31" s="765"/>
      <c r="AA31" s="765"/>
      <c r="AB31" s="765"/>
      <c r="AC31" s="765"/>
      <c r="AD31" s="765"/>
      <c r="AE31" s="765"/>
      <c r="AF31" s="765"/>
      <c r="AG31" s="765"/>
      <c r="AH31" s="765"/>
      <c r="AI31" s="765"/>
    </row>
    <row r="32" spans="2:35" ht="12" customHeight="1">
      <c r="I32" s="765"/>
      <c r="J32" s="765"/>
      <c r="K32" s="765"/>
      <c r="L32" s="765"/>
      <c r="M32" s="765"/>
      <c r="N32" s="765"/>
      <c r="O32" s="765"/>
      <c r="P32" s="765"/>
      <c r="Q32" s="765"/>
      <c r="R32" s="765"/>
      <c r="S32" s="765"/>
      <c r="T32" s="765"/>
      <c r="U32" s="765"/>
      <c r="V32" s="765"/>
      <c r="W32" s="765"/>
      <c r="X32" s="765"/>
      <c r="Y32" s="765"/>
      <c r="Z32" s="765"/>
      <c r="AA32" s="765"/>
      <c r="AB32" s="765"/>
      <c r="AC32" s="765"/>
      <c r="AD32" s="765"/>
      <c r="AE32" s="765"/>
      <c r="AF32" s="765"/>
      <c r="AG32" s="765"/>
      <c r="AH32" s="765"/>
      <c r="AI32" s="765"/>
    </row>
    <row r="33" spans="2:35" ht="12" customHeight="1">
      <c r="I33" s="765"/>
      <c r="J33" s="765"/>
      <c r="K33" s="765"/>
      <c r="L33" s="765"/>
      <c r="M33" s="765"/>
      <c r="N33" s="765"/>
      <c r="O33" s="765"/>
      <c r="P33" s="765"/>
      <c r="Q33" s="765"/>
      <c r="R33" s="765"/>
      <c r="S33" s="765"/>
      <c r="T33" s="765"/>
      <c r="U33" s="765"/>
      <c r="V33" s="765"/>
      <c r="W33" s="765"/>
      <c r="X33" s="765"/>
      <c r="Y33" s="765"/>
      <c r="Z33" s="765"/>
      <c r="AA33" s="765"/>
      <c r="AB33" s="765"/>
      <c r="AC33" s="765"/>
      <c r="AD33" s="765"/>
      <c r="AE33" s="765"/>
      <c r="AF33" s="765"/>
      <c r="AG33" s="765"/>
      <c r="AH33" s="765"/>
      <c r="AI33" s="765"/>
    </row>
    <row r="34" spans="2:35" ht="12" customHeight="1">
      <c r="I34" s="765"/>
      <c r="J34" s="765"/>
      <c r="K34" s="765"/>
      <c r="L34" s="765"/>
      <c r="M34" s="765"/>
      <c r="N34" s="765"/>
      <c r="O34" s="765"/>
      <c r="P34" s="765"/>
      <c r="Q34" s="765"/>
      <c r="R34" s="765"/>
      <c r="S34" s="765"/>
      <c r="T34" s="765"/>
      <c r="U34" s="765"/>
      <c r="V34" s="765"/>
      <c r="W34" s="765"/>
      <c r="X34" s="765"/>
      <c r="Y34" s="765"/>
      <c r="Z34" s="765"/>
      <c r="AA34" s="765"/>
      <c r="AB34" s="765"/>
      <c r="AC34" s="765"/>
      <c r="AD34" s="765"/>
      <c r="AE34" s="765"/>
      <c r="AF34" s="765"/>
      <c r="AG34" s="765"/>
      <c r="AH34" s="765"/>
      <c r="AI34" s="765"/>
    </row>
    <row r="35" spans="2:35" ht="12" customHeight="1">
      <c r="B35" s="886"/>
      <c r="C35" s="886"/>
      <c r="D35" s="886"/>
      <c r="E35" s="862"/>
      <c r="F35" s="862"/>
      <c r="G35" s="862"/>
      <c r="I35" s="765"/>
      <c r="J35" s="765"/>
      <c r="K35" s="765"/>
      <c r="L35" s="765"/>
      <c r="M35" s="765"/>
      <c r="N35" s="765"/>
      <c r="O35" s="765"/>
      <c r="P35" s="765"/>
      <c r="Q35" s="765"/>
      <c r="R35" s="765"/>
      <c r="S35" s="765"/>
      <c r="T35" s="765"/>
      <c r="U35" s="765"/>
      <c r="V35" s="765"/>
      <c r="W35" s="765"/>
      <c r="X35" s="765"/>
      <c r="Y35" s="765"/>
      <c r="Z35" s="765"/>
      <c r="AA35" s="765"/>
      <c r="AB35" s="765"/>
      <c r="AC35" s="765"/>
      <c r="AD35" s="765"/>
      <c r="AE35" s="765"/>
      <c r="AF35" s="765"/>
      <c r="AG35" s="765"/>
      <c r="AH35" s="765"/>
      <c r="AI35" s="765"/>
    </row>
    <row r="36" spans="2:35" ht="12" customHeight="1">
      <c r="B36" s="886"/>
      <c r="C36" s="886"/>
      <c r="D36" s="886"/>
      <c r="E36" s="862"/>
      <c r="F36" s="862"/>
      <c r="G36" s="862"/>
      <c r="I36" s="765"/>
      <c r="J36" s="765"/>
      <c r="K36" s="765"/>
      <c r="L36" s="765"/>
      <c r="M36" s="765"/>
      <c r="N36" s="765"/>
      <c r="O36" s="765"/>
      <c r="P36" s="765"/>
      <c r="Q36" s="765"/>
      <c r="R36" s="765"/>
      <c r="S36" s="765"/>
      <c r="T36" s="765"/>
      <c r="U36" s="765"/>
      <c r="V36" s="765"/>
      <c r="W36" s="765"/>
      <c r="X36" s="765"/>
      <c r="Y36" s="765"/>
      <c r="Z36" s="765"/>
      <c r="AA36" s="765"/>
      <c r="AB36" s="765"/>
      <c r="AC36" s="765"/>
      <c r="AD36" s="765"/>
      <c r="AE36" s="765"/>
      <c r="AF36" s="765"/>
      <c r="AG36" s="765"/>
      <c r="AH36" s="765"/>
      <c r="AI36" s="765"/>
    </row>
    <row r="37" spans="2:35" ht="12" customHeight="1">
      <c r="B37" s="886"/>
      <c r="C37" s="886"/>
      <c r="D37" s="886"/>
      <c r="E37" s="862"/>
      <c r="F37" s="862"/>
      <c r="G37" s="862"/>
      <c r="I37" s="765"/>
      <c r="J37" s="765"/>
      <c r="K37" s="765"/>
      <c r="L37" s="765"/>
      <c r="M37" s="765"/>
      <c r="N37" s="765"/>
      <c r="O37" s="765"/>
      <c r="P37" s="765"/>
      <c r="Q37" s="765"/>
      <c r="R37" s="765"/>
      <c r="S37" s="765"/>
      <c r="T37" s="765"/>
      <c r="U37" s="765"/>
      <c r="V37" s="765"/>
      <c r="W37" s="765"/>
      <c r="X37" s="765"/>
      <c r="Y37" s="765"/>
      <c r="Z37" s="765"/>
      <c r="AA37" s="765"/>
      <c r="AB37" s="765"/>
      <c r="AC37" s="765"/>
      <c r="AD37" s="765"/>
      <c r="AE37" s="765"/>
      <c r="AF37" s="765"/>
      <c r="AG37" s="765"/>
      <c r="AH37" s="765"/>
      <c r="AI37" s="765"/>
    </row>
    <row r="38" spans="2:35" ht="12" customHeight="1">
      <c r="B38" s="886"/>
      <c r="C38" s="886"/>
      <c r="D38" s="886"/>
      <c r="E38" s="886"/>
      <c r="F38" s="886"/>
      <c r="G38" s="886"/>
      <c r="I38" s="765"/>
      <c r="J38" s="765"/>
      <c r="K38" s="765"/>
      <c r="L38" s="765"/>
      <c r="M38" s="765"/>
      <c r="N38" s="765"/>
      <c r="O38" s="765"/>
      <c r="P38" s="765"/>
      <c r="Q38" s="765"/>
      <c r="R38" s="765"/>
      <c r="S38" s="765"/>
      <c r="T38" s="765"/>
      <c r="U38" s="765"/>
      <c r="V38" s="765"/>
      <c r="W38" s="765"/>
      <c r="X38" s="765"/>
      <c r="Y38" s="765"/>
      <c r="Z38" s="765"/>
      <c r="AA38" s="765"/>
      <c r="AB38" s="765"/>
      <c r="AC38" s="765"/>
      <c r="AD38" s="765"/>
      <c r="AE38" s="765"/>
      <c r="AF38" s="765"/>
      <c r="AG38" s="765"/>
      <c r="AH38" s="765"/>
      <c r="AI38" s="765"/>
    </row>
    <row r="39" spans="2:35" ht="12" customHeight="1">
      <c r="I39" s="765"/>
      <c r="J39" s="765"/>
      <c r="K39" s="765"/>
      <c r="L39" s="765"/>
      <c r="M39" s="765"/>
      <c r="N39" s="765"/>
      <c r="O39" s="765"/>
      <c r="P39" s="765"/>
      <c r="Q39" s="765"/>
      <c r="R39" s="765"/>
      <c r="S39" s="765"/>
      <c r="T39" s="765"/>
      <c r="U39" s="765"/>
      <c r="V39" s="765"/>
      <c r="W39" s="765"/>
      <c r="X39" s="765"/>
      <c r="Y39" s="765"/>
      <c r="Z39" s="765"/>
      <c r="AA39" s="765"/>
      <c r="AB39" s="765"/>
      <c r="AC39" s="765"/>
      <c r="AD39" s="765"/>
      <c r="AE39" s="765"/>
      <c r="AF39" s="765"/>
      <c r="AG39" s="765"/>
      <c r="AH39" s="765"/>
      <c r="AI39" s="765"/>
    </row>
    <row r="40" spans="2:35" ht="12" customHeight="1">
      <c r="I40" s="765"/>
      <c r="J40" s="765"/>
      <c r="K40" s="765"/>
      <c r="L40" s="765"/>
      <c r="M40" s="765"/>
      <c r="N40" s="765"/>
      <c r="O40" s="765"/>
      <c r="P40" s="765"/>
      <c r="Q40" s="765"/>
      <c r="R40" s="765"/>
      <c r="S40" s="765"/>
      <c r="T40" s="765"/>
      <c r="U40" s="765"/>
      <c r="V40" s="765"/>
      <c r="W40" s="765"/>
      <c r="X40" s="765"/>
      <c r="Y40" s="765"/>
      <c r="Z40" s="765"/>
      <c r="AA40" s="765"/>
      <c r="AB40" s="765"/>
      <c r="AC40" s="765"/>
      <c r="AD40" s="765"/>
      <c r="AE40" s="765"/>
      <c r="AF40" s="765"/>
      <c r="AG40" s="765"/>
      <c r="AH40" s="765"/>
      <c r="AI40" s="765"/>
    </row>
    <row r="41" spans="2:35" ht="12" customHeight="1">
      <c r="I41" s="765"/>
      <c r="J41" s="765"/>
      <c r="K41" s="765"/>
      <c r="L41" s="765"/>
      <c r="M41" s="765"/>
      <c r="N41" s="765"/>
      <c r="O41" s="765"/>
      <c r="P41" s="765"/>
      <c r="Q41" s="765"/>
      <c r="R41" s="765"/>
      <c r="S41" s="765"/>
      <c r="T41" s="765"/>
      <c r="U41" s="765"/>
      <c r="V41" s="765"/>
      <c r="W41" s="765"/>
      <c r="X41" s="765"/>
      <c r="Y41" s="765"/>
      <c r="Z41" s="765"/>
      <c r="AA41" s="765"/>
      <c r="AB41" s="765"/>
      <c r="AC41" s="765"/>
      <c r="AD41" s="765"/>
      <c r="AE41" s="765"/>
      <c r="AF41" s="765"/>
      <c r="AG41" s="765"/>
      <c r="AH41" s="765"/>
      <c r="AI41" s="765"/>
    </row>
    <row r="42" spans="2:35" ht="12" customHeight="1">
      <c r="I42" s="765"/>
      <c r="J42" s="765"/>
      <c r="K42" s="765"/>
      <c r="L42" s="765"/>
      <c r="M42" s="765"/>
      <c r="N42" s="765"/>
      <c r="O42" s="765"/>
      <c r="P42" s="765"/>
      <c r="Q42" s="765"/>
      <c r="R42" s="765"/>
      <c r="S42" s="765"/>
      <c r="T42" s="765"/>
      <c r="U42" s="765"/>
      <c r="V42" s="765"/>
      <c r="W42" s="765"/>
      <c r="X42" s="765"/>
      <c r="Y42" s="765"/>
      <c r="Z42" s="765"/>
      <c r="AA42" s="765"/>
      <c r="AB42" s="765"/>
      <c r="AC42" s="765"/>
      <c r="AD42" s="765"/>
      <c r="AE42" s="765"/>
      <c r="AF42" s="765"/>
      <c r="AG42" s="765"/>
      <c r="AH42" s="765"/>
      <c r="AI42" s="765"/>
    </row>
    <row r="43" spans="2:35" ht="12" customHeight="1">
      <c r="I43" s="765"/>
      <c r="J43" s="765"/>
      <c r="K43" s="765"/>
      <c r="L43" s="765"/>
      <c r="M43" s="765"/>
      <c r="N43" s="765"/>
      <c r="O43" s="765"/>
      <c r="P43" s="765"/>
      <c r="Q43" s="765"/>
      <c r="R43" s="765"/>
      <c r="S43" s="765"/>
      <c r="T43" s="765"/>
      <c r="U43" s="765"/>
      <c r="V43" s="765"/>
      <c r="W43" s="765"/>
      <c r="X43" s="765"/>
      <c r="Y43" s="765"/>
      <c r="Z43" s="765"/>
      <c r="AA43" s="765"/>
      <c r="AB43" s="765"/>
      <c r="AC43" s="765"/>
      <c r="AD43" s="765"/>
      <c r="AE43" s="765"/>
      <c r="AF43" s="765"/>
      <c r="AG43" s="765"/>
      <c r="AH43" s="765"/>
      <c r="AI43" s="765"/>
    </row>
    <row r="44" spans="2:35" ht="12" customHeight="1">
      <c r="I44" s="765"/>
      <c r="J44" s="765"/>
      <c r="K44" s="765"/>
      <c r="L44" s="765"/>
      <c r="M44" s="765"/>
      <c r="N44" s="765"/>
      <c r="O44" s="765"/>
      <c r="P44" s="765"/>
      <c r="Q44" s="765"/>
      <c r="R44" s="765"/>
      <c r="S44" s="765"/>
      <c r="T44" s="765"/>
      <c r="U44" s="765"/>
      <c r="V44" s="765"/>
      <c r="W44" s="765"/>
      <c r="X44" s="765"/>
      <c r="Y44" s="765"/>
      <c r="Z44" s="765"/>
      <c r="AA44" s="765"/>
      <c r="AB44" s="765"/>
      <c r="AC44" s="765"/>
      <c r="AD44" s="765"/>
      <c r="AE44" s="765"/>
      <c r="AF44" s="765"/>
      <c r="AG44" s="765"/>
      <c r="AH44" s="765"/>
      <c r="AI44" s="765"/>
    </row>
    <row r="45" spans="2:35" ht="12" customHeight="1">
      <c r="I45" s="765"/>
      <c r="J45" s="765"/>
      <c r="K45" s="765"/>
      <c r="L45" s="765"/>
      <c r="M45" s="765"/>
      <c r="N45" s="765"/>
      <c r="O45" s="765"/>
      <c r="P45" s="765"/>
      <c r="Q45" s="765"/>
      <c r="R45" s="765"/>
      <c r="S45" s="765"/>
      <c r="T45" s="765"/>
      <c r="U45" s="765"/>
      <c r="V45" s="765"/>
      <c r="W45" s="765"/>
      <c r="X45" s="765"/>
      <c r="Y45" s="765"/>
      <c r="Z45" s="765"/>
      <c r="AA45" s="765"/>
      <c r="AB45" s="765"/>
      <c r="AC45" s="765"/>
      <c r="AD45" s="765"/>
      <c r="AE45" s="765"/>
      <c r="AF45" s="765"/>
      <c r="AG45" s="765"/>
      <c r="AH45" s="765"/>
      <c r="AI45" s="765"/>
    </row>
    <row r="46" spans="2:35" ht="12" customHeight="1">
      <c r="I46" s="765"/>
      <c r="J46" s="765"/>
      <c r="K46" s="765"/>
      <c r="L46" s="765"/>
      <c r="M46" s="765"/>
      <c r="N46" s="765"/>
      <c r="O46" s="765"/>
      <c r="P46" s="765"/>
      <c r="Q46" s="765"/>
      <c r="R46" s="765"/>
      <c r="S46" s="765"/>
      <c r="T46" s="765"/>
      <c r="U46" s="765"/>
      <c r="V46" s="765"/>
      <c r="W46" s="765"/>
      <c r="X46" s="765"/>
      <c r="Y46" s="765"/>
      <c r="Z46" s="765"/>
      <c r="AA46" s="765"/>
      <c r="AB46" s="765"/>
      <c r="AC46" s="765"/>
      <c r="AD46" s="765"/>
      <c r="AE46" s="765"/>
      <c r="AF46" s="765"/>
      <c r="AG46" s="765"/>
      <c r="AH46" s="765"/>
      <c r="AI46" s="765"/>
    </row>
    <row r="47" spans="2:35" ht="12" customHeight="1">
      <c r="I47" s="765"/>
      <c r="J47" s="765"/>
      <c r="K47" s="765"/>
      <c r="L47" s="765"/>
      <c r="M47" s="765"/>
      <c r="N47" s="765"/>
      <c r="O47" s="765"/>
      <c r="P47" s="765"/>
      <c r="Q47" s="765"/>
      <c r="R47" s="765"/>
      <c r="S47" s="765"/>
      <c r="T47" s="765"/>
      <c r="U47" s="765"/>
      <c r="V47" s="765"/>
      <c r="W47" s="765"/>
      <c r="X47" s="765"/>
      <c r="Y47" s="765"/>
      <c r="Z47" s="765"/>
      <c r="AA47" s="765"/>
      <c r="AB47" s="765"/>
      <c r="AC47" s="765"/>
      <c r="AD47" s="765"/>
      <c r="AE47" s="765"/>
      <c r="AF47" s="765"/>
      <c r="AG47" s="765"/>
      <c r="AH47" s="765"/>
      <c r="AI47" s="765"/>
    </row>
    <row r="48" spans="2:35" ht="12" customHeight="1">
      <c r="I48" s="765"/>
      <c r="J48" s="765"/>
      <c r="K48" s="765"/>
      <c r="L48" s="765"/>
      <c r="M48" s="765"/>
      <c r="N48" s="765"/>
      <c r="O48" s="765"/>
      <c r="P48" s="765"/>
      <c r="Q48" s="765"/>
      <c r="R48" s="765"/>
      <c r="S48" s="765"/>
      <c r="T48" s="765"/>
      <c r="U48" s="765"/>
      <c r="V48" s="765"/>
      <c r="W48" s="765"/>
      <c r="X48" s="765"/>
      <c r="Y48" s="765"/>
      <c r="Z48" s="765"/>
      <c r="AA48" s="765"/>
      <c r="AB48" s="765"/>
      <c r="AC48" s="765"/>
      <c r="AD48" s="765"/>
      <c r="AE48" s="765"/>
      <c r="AF48" s="765"/>
      <c r="AG48" s="765"/>
      <c r="AH48" s="765"/>
      <c r="AI48" s="765"/>
    </row>
    <row r="49" spans="2:35" ht="12" customHeight="1">
      <c r="I49" s="765"/>
      <c r="J49" s="765"/>
      <c r="K49" s="765"/>
      <c r="L49" s="765"/>
      <c r="M49" s="765"/>
      <c r="N49" s="765"/>
      <c r="O49" s="765"/>
      <c r="P49" s="765"/>
      <c r="Q49" s="765"/>
      <c r="R49" s="765"/>
      <c r="S49" s="765"/>
      <c r="T49" s="765"/>
      <c r="U49" s="765"/>
      <c r="V49" s="765"/>
      <c r="W49" s="765"/>
      <c r="X49" s="765"/>
      <c r="Y49" s="765"/>
      <c r="Z49" s="765"/>
      <c r="AA49" s="765"/>
      <c r="AB49" s="765"/>
      <c r="AC49" s="765"/>
      <c r="AD49" s="765"/>
      <c r="AE49" s="765"/>
      <c r="AF49" s="765"/>
      <c r="AG49" s="765"/>
      <c r="AH49" s="765"/>
      <c r="AI49" s="765"/>
    </row>
    <row r="50" spans="2:35" ht="12" customHeight="1">
      <c r="B50" s="886"/>
      <c r="C50" s="886"/>
      <c r="D50" s="886"/>
      <c r="E50" s="862"/>
      <c r="F50" s="862"/>
      <c r="G50" s="862"/>
      <c r="I50" s="765"/>
      <c r="J50" s="765"/>
      <c r="K50" s="765"/>
      <c r="L50" s="765"/>
      <c r="M50" s="765"/>
      <c r="N50" s="765"/>
      <c r="O50" s="765"/>
      <c r="P50" s="765"/>
      <c r="Q50" s="765"/>
      <c r="R50" s="765"/>
      <c r="S50" s="765"/>
      <c r="T50" s="765"/>
      <c r="U50" s="765"/>
      <c r="V50" s="765"/>
      <c r="W50" s="765"/>
      <c r="X50" s="765"/>
      <c r="Y50" s="765"/>
      <c r="Z50" s="765"/>
      <c r="AA50" s="765"/>
      <c r="AB50" s="765"/>
      <c r="AC50" s="765"/>
      <c r="AD50" s="765"/>
      <c r="AE50" s="765"/>
      <c r="AF50" s="765"/>
      <c r="AG50" s="765"/>
      <c r="AH50" s="765"/>
      <c r="AI50" s="765"/>
    </row>
    <row r="51" spans="2:35" ht="12" customHeight="1">
      <c r="B51" s="886"/>
      <c r="C51" s="886"/>
      <c r="D51" s="886"/>
      <c r="E51" s="862"/>
      <c r="F51" s="862"/>
      <c r="G51" s="862"/>
      <c r="I51" s="765"/>
      <c r="J51" s="765"/>
      <c r="K51" s="765"/>
      <c r="L51" s="765"/>
      <c r="M51" s="765"/>
      <c r="N51" s="765"/>
      <c r="O51" s="765"/>
      <c r="P51" s="765"/>
      <c r="Q51" s="765"/>
      <c r="R51" s="765"/>
      <c r="S51" s="765"/>
      <c r="T51" s="765"/>
      <c r="U51" s="765"/>
      <c r="V51" s="765"/>
      <c r="W51" s="765"/>
      <c r="X51" s="765"/>
      <c r="Y51" s="765"/>
      <c r="Z51" s="765"/>
      <c r="AA51" s="765"/>
      <c r="AB51" s="765"/>
      <c r="AC51" s="765"/>
      <c r="AD51" s="765"/>
      <c r="AE51" s="765"/>
      <c r="AF51" s="765"/>
      <c r="AG51" s="765"/>
      <c r="AH51" s="765"/>
      <c r="AI51" s="765"/>
    </row>
    <row r="52" spans="2:35" ht="12" customHeight="1">
      <c r="B52" s="886"/>
      <c r="C52" s="886"/>
      <c r="D52" s="886"/>
      <c r="E52" s="862"/>
      <c r="F52" s="862"/>
      <c r="G52" s="862"/>
      <c r="I52" s="765"/>
      <c r="J52" s="765"/>
      <c r="K52" s="765"/>
      <c r="L52" s="765"/>
      <c r="M52" s="765"/>
      <c r="N52" s="765"/>
      <c r="O52" s="765"/>
      <c r="P52" s="765"/>
      <c r="Q52" s="765"/>
      <c r="R52" s="765"/>
      <c r="S52" s="765"/>
      <c r="T52" s="765"/>
      <c r="U52" s="765"/>
      <c r="V52" s="765"/>
      <c r="W52" s="765"/>
      <c r="X52" s="765"/>
      <c r="Y52" s="765"/>
      <c r="Z52" s="765"/>
      <c r="AA52" s="765"/>
      <c r="AB52" s="765"/>
      <c r="AC52" s="765"/>
      <c r="AD52" s="765"/>
      <c r="AE52" s="765"/>
      <c r="AF52" s="765"/>
      <c r="AG52" s="765"/>
      <c r="AH52" s="765"/>
      <c r="AI52" s="765"/>
    </row>
    <row r="53" spans="2:35" ht="12" customHeight="1">
      <c r="B53" s="886"/>
      <c r="C53" s="886"/>
      <c r="D53" s="886"/>
      <c r="E53" s="886"/>
      <c r="F53" s="886"/>
      <c r="G53" s="886"/>
      <c r="I53" s="765"/>
      <c r="J53" s="765"/>
      <c r="K53" s="765"/>
      <c r="L53" s="765"/>
      <c r="M53" s="765"/>
      <c r="N53" s="765"/>
      <c r="O53" s="765"/>
      <c r="P53" s="765"/>
      <c r="Q53" s="765"/>
      <c r="R53" s="765"/>
      <c r="S53" s="765"/>
      <c r="T53" s="765"/>
      <c r="U53" s="765"/>
      <c r="V53" s="765"/>
      <c r="W53" s="765"/>
      <c r="X53" s="765"/>
      <c r="Y53" s="765"/>
      <c r="Z53" s="765"/>
      <c r="AA53" s="765"/>
      <c r="AB53" s="765"/>
      <c r="AC53" s="765"/>
      <c r="AD53" s="765"/>
      <c r="AE53" s="765"/>
      <c r="AF53" s="765"/>
      <c r="AG53" s="765"/>
      <c r="AH53" s="765"/>
      <c r="AI53" s="765"/>
    </row>
    <row r="54" spans="2:35" ht="12" customHeight="1">
      <c r="I54" s="765"/>
      <c r="J54" s="765"/>
      <c r="K54" s="765"/>
      <c r="L54" s="765"/>
      <c r="M54" s="765"/>
      <c r="N54" s="765"/>
      <c r="O54" s="765"/>
      <c r="P54" s="765"/>
      <c r="Q54" s="765"/>
      <c r="R54" s="765"/>
      <c r="S54" s="765"/>
      <c r="T54" s="765"/>
      <c r="U54" s="765"/>
      <c r="V54" s="765"/>
      <c r="W54" s="765"/>
      <c r="X54" s="765"/>
      <c r="Y54" s="765"/>
      <c r="Z54" s="765"/>
      <c r="AA54" s="765"/>
      <c r="AB54" s="765"/>
      <c r="AC54" s="765"/>
      <c r="AD54" s="765"/>
      <c r="AE54" s="765"/>
      <c r="AF54" s="765"/>
      <c r="AG54" s="765"/>
      <c r="AH54" s="765"/>
      <c r="AI54" s="765"/>
    </row>
    <row r="55" spans="2:35" ht="12" customHeight="1">
      <c r="I55" s="765"/>
      <c r="J55" s="765"/>
      <c r="K55" s="765"/>
      <c r="L55" s="765"/>
      <c r="M55" s="765"/>
      <c r="N55" s="765"/>
      <c r="O55" s="765"/>
      <c r="P55" s="765"/>
      <c r="Q55" s="765"/>
      <c r="R55" s="765"/>
      <c r="S55" s="765"/>
      <c r="T55" s="765"/>
      <c r="U55" s="765"/>
      <c r="V55" s="765"/>
      <c r="W55" s="765"/>
      <c r="X55" s="765"/>
      <c r="Y55" s="765"/>
      <c r="Z55" s="765"/>
      <c r="AA55" s="765"/>
      <c r="AB55" s="765"/>
      <c r="AC55" s="765"/>
      <c r="AD55" s="765"/>
      <c r="AE55" s="765"/>
      <c r="AF55" s="765"/>
      <c r="AG55" s="765"/>
      <c r="AH55" s="765"/>
      <c r="AI55" s="765"/>
    </row>
    <row r="56" spans="2:35" ht="12" customHeight="1">
      <c r="I56" s="765"/>
      <c r="J56" s="765"/>
      <c r="K56" s="765"/>
      <c r="L56" s="765"/>
      <c r="M56" s="765"/>
      <c r="N56" s="765"/>
      <c r="O56" s="765"/>
      <c r="P56" s="765"/>
      <c r="Q56" s="765"/>
      <c r="R56" s="765"/>
      <c r="S56" s="765"/>
      <c r="T56" s="765"/>
      <c r="U56" s="765"/>
      <c r="V56" s="765"/>
      <c r="W56" s="765"/>
      <c r="X56" s="765"/>
      <c r="Y56" s="765"/>
      <c r="Z56" s="765"/>
      <c r="AA56" s="765"/>
      <c r="AB56" s="765"/>
      <c r="AC56" s="765"/>
      <c r="AD56" s="765"/>
      <c r="AE56" s="765"/>
      <c r="AF56" s="765"/>
      <c r="AG56" s="765"/>
      <c r="AH56" s="765"/>
      <c r="AI56" s="765"/>
    </row>
    <row r="57" spans="2:35" ht="12" customHeight="1">
      <c r="I57" s="765"/>
      <c r="J57" s="765"/>
      <c r="K57" s="765"/>
      <c r="L57" s="765"/>
      <c r="M57" s="765"/>
      <c r="N57" s="765"/>
      <c r="O57" s="765"/>
      <c r="P57" s="765"/>
      <c r="Q57" s="765"/>
      <c r="R57" s="765"/>
      <c r="S57" s="765"/>
      <c r="T57" s="765"/>
      <c r="U57" s="765"/>
      <c r="V57" s="765"/>
      <c r="W57" s="765"/>
      <c r="X57" s="765"/>
      <c r="Y57" s="765"/>
      <c r="Z57" s="765"/>
      <c r="AA57" s="765"/>
      <c r="AB57" s="765"/>
      <c r="AC57" s="765"/>
      <c r="AD57" s="765"/>
      <c r="AE57" s="765"/>
      <c r="AF57" s="765"/>
      <c r="AG57" s="765"/>
      <c r="AH57" s="765"/>
      <c r="AI57" s="765"/>
    </row>
    <row r="58" spans="2:35" ht="12" customHeight="1">
      <c r="I58" s="765"/>
      <c r="J58" s="765"/>
      <c r="K58" s="765"/>
      <c r="L58" s="765"/>
      <c r="M58" s="765"/>
      <c r="N58" s="765"/>
      <c r="O58" s="765"/>
      <c r="P58" s="765"/>
      <c r="Q58" s="765"/>
      <c r="R58" s="765"/>
      <c r="S58" s="765"/>
      <c r="T58" s="765"/>
      <c r="U58" s="765"/>
      <c r="V58" s="765"/>
      <c r="W58" s="765"/>
      <c r="X58" s="765"/>
      <c r="Y58" s="765"/>
      <c r="Z58" s="765"/>
      <c r="AA58" s="765"/>
      <c r="AB58" s="765"/>
      <c r="AC58" s="765"/>
      <c r="AD58" s="765"/>
      <c r="AE58" s="765"/>
      <c r="AF58" s="765"/>
      <c r="AG58" s="765"/>
      <c r="AH58" s="765"/>
      <c r="AI58" s="765"/>
    </row>
    <row r="59" spans="2:35" ht="12" customHeight="1">
      <c r="I59" s="765"/>
      <c r="J59" s="765"/>
      <c r="K59" s="765"/>
      <c r="L59" s="765"/>
      <c r="M59" s="765"/>
      <c r="N59" s="765"/>
      <c r="O59" s="765"/>
      <c r="P59" s="765"/>
      <c r="Q59" s="765"/>
      <c r="R59" s="765"/>
      <c r="S59" s="765"/>
      <c r="T59" s="765"/>
      <c r="U59" s="765"/>
      <c r="V59" s="765"/>
      <c r="W59" s="765"/>
      <c r="X59" s="765"/>
      <c r="Y59" s="765"/>
      <c r="Z59" s="765"/>
      <c r="AA59" s="765"/>
      <c r="AB59" s="765"/>
      <c r="AC59" s="765"/>
      <c r="AD59" s="765"/>
      <c r="AE59" s="765"/>
      <c r="AF59" s="765"/>
      <c r="AG59" s="765"/>
      <c r="AH59" s="765"/>
      <c r="AI59" s="765"/>
    </row>
    <row r="60" spans="2:35" ht="12" customHeight="1">
      <c r="I60" s="765"/>
      <c r="J60" s="765"/>
      <c r="K60" s="765"/>
      <c r="L60" s="765"/>
      <c r="M60" s="765"/>
      <c r="N60" s="765"/>
      <c r="O60" s="765"/>
      <c r="P60" s="765"/>
      <c r="Q60" s="765"/>
      <c r="R60" s="765"/>
      <c r="S60" s="765"/>
      <c r="T60" s="765"/>
      <c r="U60" s="765"/>
      <c r="V60" s="765"/>
      <c r="W60" s="765"/>
      <c r="X60" s="765"/>
      <c r="Y60" s="765"/>
      <c r="Z60" s="765"/>
      <c r="AA60" s="765"/>
      <c r="AB60" s="765"/>
      <c r="AC60" s="765"/>
      <c r="AD60" s="765"/>
      <c r="AE60" s="765"/>
      <c r="AF60" s="765"/>
      <c r="AG60" s="765"/>
      <c r="AH60" s="765"/>
      <c r="AI60" s="765"/>
    </row>
    <row r="61" spans="2:35" ht="12" customHeight="1">
      <c r="I61" s="765"/>
      <c r="J61" s="765"/>
      <c r="K61" s="765"/>
      <c r="L61" s="765"/>
      <c r="M61" s="765"/>
      <c r="N61" s="765"/>
      <c r="O61" s="765"/>
      <c r="P61" s="765"/>
      <c r="Q61" s="765"/>
      <c r="R61" s="765"/>
      <c r="S61" s="765"/>
      <c r="T61" s="765"/>
      <c r="U61" s="765"/>
      <c r="V61" s="765"/>
      <c r="W61" s="765"/>
      <c r="X61" s="765"/>
      <c r="Y61" s="765"/>
      <c r="Z61" s="765"/>
      <c r="AA61" s="765"/>
      <c r="AB61" s="765"/>
      <c r="AC61" s="765"/>
      <c r="AD61" s="765"/>
      <c r="AE61" s="765"/>
      <c r="AF61" s="765"/>
      <c r="AG61" s="765"/>
      <c r="AH61" s="765"/>
      <c r="AI61" s="765"/>
    </row>
    <row r="62" spans="2:35" ht="12" customHeight="1">
      <c r="I62" s="765"/>
      <c r="J62" s="765"/>
      <c r="K62" s="765"/>
      <c r="L62" s="765"/>
      <c r="M62" s="765"/>
      <c r="N62" s="765"/>
      <c r="O62" s="765"/>
      <c r="P62" s="765"/>
      <c r="Q62" s="765"/>
      <c r="R62" s="765"/>
      <c r="S62" s="765"/>
      <c r="T62" s="765"/>
      <c r="U62" s="765"/>
      <c r="V62" s="765"/>
      <c r="W62" s="765"/>
      <c r="X62" s="765"/>
      <c r="Y62" s="765"/>
      <c r="Z62" s="765"/>
      <c r="AA62" s="765"/>
      <c r="AB62" s="765"/>
      <c r="AC62" s="765"/>
      <c r="AD62" s="765"/>
      <c r="AE62" s="765"/>
      <c r="AF62" s="765"/>
      <c r="AG62" s="765"/>
      <c r="AH62" s="765"/>
      <c r="AI62" s="765"/>
    </row>
    <row r="63" spans="2:35" ht="12" customHeight="1"/>
    <row r="64" spans="2:35" ht="12" customHeight="1"/>
    <row r="65" ht="12" customHeight="1"/>
    <row r="66" ht="12" customHeight="1"/>
  </sheetData>
  <phoneticPr fontId="56" type="noConversion"/>
  <pageMargins left="0.98425196850393704" right="0.78740157480314965" top="0.78740157480314965" bottom="0.78740157480314965" header="0.51181102362204722" footer="0.51181102362204722"/>
  <pageSetup paperSize="5" scale="95" orientation="portrait" horizontalDpi="300" verticalDpi="300"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workbookViewId="0">
      <selection activeCell="E18" sqref="E18"/>
    </sheetView>
  </sheetViews>
  <sheetFormatPr baseColWidth="10" defaultColWidth="14.85546875" defaultRowHeight="12.75"/>
  <cols>
    <col min="1" max="1" width="14.28515625" style="855" customWidth="1"/>
    <col min="2" max="4" width="9.28515625" style="855" customWidth="1"/>
    <col min="5" max="5" width="14.85546875" style="855" customWidth="1"/>
    <col min="6" max="6" width="13.7109375" style="855" customWidth="1"/>
    <col min="7" max="7" width="12.42578125" style="855" customWidth="1"/>
    <col min="8" max="8" width="12.140625" style="855" customWidth="1"/>
    <col min="9" max="16384" width="14.85546875" style="855"/>
  </cols>
  <sheetData>
    <row r="1" spans="1:9">
      <c r="A1" s="852" t="s">
        <v>197</v>
      </c>
      <c r="B1" s="853"/>
      <c r="C1" s="853"/>
      <c r="D1" s="853"/>
      <c r="E1" s="853"/>
      <c r="F1" s="854"/>
      <c r="G1" s="854"/>
      <c r="H1" s="854"/>
      <c r="I1" s="887"/>
    </row>
    <row r="2" spans="1:9">
      <c r="A2" s="852"/>
      <c r="B2" s="853"/>
      <c r="C2" s="853"/>
      <c r="D2" s="853"/>
      <c r="E2" s="853"/>
      <c r="F2" s="854"/>
      <c r="G2" s="854"/>
      <c r="H2" s="854"/>
      <c r="I2" s="887"/>
    </row>
    <row r="3" spans="1:9">
      <c r="A3" s="852" t="s">
        <v>207</v>
      </c>
      <c r="B3" s="853"/>
      <c r="C3" s="853"/>
      <c r="D3" s="853"/>
      <c r="E3" s="853"/>
      <c r="F3" s="854"/>
      <c r="G3" s="854"/>
      <c r="H3" s="854"/>
      <c r="I3" s="887"/>
    </row>
    <row r="4" spans="1:9">
      <c r="A4" s="852" t="str">
        <f>+'83'!A4</f>
        <v>2006  -  2015</v>
      </c>
      <c r="B4" s="853"/>
      <c r="C4" s="853"/>
      <c r="D4" s="853"/>
      <c r="E4" s="853"/>
      <c r="F4" s="854"/>
      <c r="G4" s="854"/>
      <c r="H4" s="854"/>
      <c r="I4" s="887"/>
    </row>
    <row r="5" spans="1:9">
      <c r="B5" s="856"/>
      <c r="C5" s="856"/>
      <c r="D5" s="856"/>
      <c r="E5" s="856"/>
      <c r="F5" s="856"/>
      <c r="G5" s="856"/>
      <c r="H5" s="856"/>
    </row>
    <row r="7" spans="1:9" ht="17.25" customHeight="1">
      <c r="B7" s="857"/>
      <c r="C7" s="858" t="s">
        <v>199</v>
      </c>
      <c r="D7" s="858" t="s">
        <v>200</v>
      </c>
      <c r="E7" s="859" t="s">
        <v>681</v>
      </c>
      <c r="F7" s="860" t="s">
        <v>201</v>
      </c>
      <c r="G7" s="861" t="s">
        <v>202</v>
      </c>
      <c r="H7" s="862"/>
      <c r="I7" s="888"/>
    </row>
    <row r="8" spans="1:9" ht="17.25" customHeight="1">
      <c r="B8" s="889" t="s">
        <v>659</v>
      </c>
      <c r="C8" s="864" t="s">
        <v>203</v>
      </c>
      <c r="D8" s="864" t="s">
        <v>203</v>
      </c>
      <c r="E8" s="865" t="s">
        <v>204</v>
      </c>
      <c r="F8" s="866" t="s">
        <v>205</v>
      </c>
      <c r="G8" s="867" t="s">
        <v>206</v>
      </c>
      <c r="H8" s="862"/>
      <c r="I8" s="888"/>
    </row>
    <row r="9" spans="1:9" ht="17.25" customHeight="1">
      <c r="B9" s="873">
        <v>2006</v>
      </c>
      <c r="C9" s="890">
        <v>232</v>
      </c>
      <c r="D9" s="891">
        <v>221</v>
      </c>
      <c r="E9" s="892">
        <v>11036</v>
      </c>
      <c r="F9" s="871">
        <v>70.7</v>
      </c>
      <c r="G9" s="872">
        <v>5.25</v>
      </c>
      <c r="H9" s="862"/>
      <c r="I9" s="888"/>
    </row>
    <row r="10" spans="1:9" ht="17.25" customHeight="1">
      <c r="B10" s="873">
        <v>2007</v>
      </c>
      <c r="C10" s="868">
        <v>232</v>
      </c>
      <c r="D10" s="873">
        <v>224</v>
      </c>
      <c r="E10" s="892">
        <v>11154</v>
      </c>
      <c r="F10" s="871">
        <v>71.776185468685043</v>
      </c>
      <c r="G10" s="893">
        <v>5.3102922718307335</v>
      </c>
      <c r="H10" s="862"/>
      <c r="I10" s="888"/>
    </row>
    <row r="11" spans="1:9" ht="17.25" customHeight="1">
      <c r="B11" s="873">
        <v>2008</v>
      </c>
      <c r="C11" s="868">
        <v>232</v>
      </c>
      <c r="D11" s="873">
        <v>229</v>
      </c>
      <c r="E11" s="892">
        <v>11106</v>
      </c>
      <c r="F11" s="871">
        <v>71.5</v>
      </c>
      <c r="G11" s="893">
        <v>5.42</v>
      </c>
      <c r="H11" s="862"/>
      <c r="I11" s="888"/>
    </row>
    <row r="12" spans="1:9" ht="17.25" customHeight="1">
      <c r="B12" s="873">
        <v>2009</v>
      </c>
      <c r="C12" s="868">
        <v>238</v>
      </c>
      <c r="D12" s="873">
        <v>233</v>
      </c>
      <c r="E12" s="894">
        <v>10865</v>
      </c>
      <c r="F12" s="877">
        <v>73.900000000000006</v>
      </c>
      <c r="G12" s="878">
        <v>5.27</v>
      </c>
      <c r="H12" s="862"/>
      <c r="I12" s="888"/>
    </row>
    <row r="13" spans="1:9" ht="17.25" customHeight="1">
      <c r="B13" s="873">
        <v>2010</v>
      </c>
      <c r="C13" s="868">
        <v>238</v>
      </c>
      <c r="D13" s="873">
        <v>228</v>
      </c>
      <c r="E13" s="894">
        <v>10192</v>
      </c>
      <c r="F13" s="877">
        <v>66.399807379762834</v>
      </c>
      <c r="G13" s="878">
        <v>5.3011185243328098</v>
      </c>
      <c r="H13" s="862"/>
      <c r="I13" s="888"/>
    </row>
    <row r="14" spans="1:9" ht="17.25" customHeight="1">
      <c r="B14" s="873">
        <v>2011</v>
      </c>
      <c r="C14" s="868">
        <v>226</v>
      </c>
      <c r="D14" s="873">
        <v>224</v>
      </c>
      <c r="E14" s="894">
        <v>10500</v>
      </c>
      <c r="F14" s="877">
        <v>68.17643395327822</v>
      </c>
      <c r="G14" s="878">
        <v>5.3314285714285718</v>
      </c>
      <c r="H14" s="862"/>
      <c r="I14" s="888"/>
    </row>
    <row r="15" spans="1:9" ht="17.25" customHeight="1">
      <c r="B15" s="873">
        <v>2012</v>
      </c>
      <c r="C15" s="868">
        <v>226</v>
      </c>
      <c r="D15" s="873">
        <v>226</v>
      </c>
      <c r="E15" s="894">
        <v>11443</v>
      </c>
      <c r="F15" s="877">
        <v>68.993356931581246</v>
      </c>
      <c r="G15" s="878">
        <v>4.9829590142445159</v>
      </c>
      <c r="H15" s="862"/>
      <c r="I15" s="888"/>
    </row>
    <row r="16" spans="1:9" ht="17.25" customHeight="1">
      <c r="B16" s="873">
        <v>2013</v>
      </c>
      <c r="C16" s="868">
        <v>226</v>
      </c>
      <c r="D16" s="873">
        <v>226</v>
      </c>
      <c r="E16" s="894">
        <v>11340</v>
      </c>
      <c r="F16" s="877">
        <v>69.163118502614111</v>
      </c>
      <c r="G16" s="878">
        <v>5.0448853615520282</v>
      </c>
      <c r="H16" s="862"/>
      <c r="I16" s="888"/>
    </row>
    <row r="17" spans="2:9" ht="17.25" customHeight="1">
      <c r="B17" s="873">
        <v>2014</v>
      </c>
      <c r="C17" s="868">
        <v>234</v>
      </c>
      <c r="D17" s="1043">
        <v>232.51232876712328</v>
      </c>
      <c r="E17" s="894">
        <v>11948</v>
      </c>
      <c r="F17" s="877">
        <v>69.898782801324415</v>
      </c>
      <c r="G17" s="878">
        <v>5.0907264814194848</v>
      </c>
      <c r="H17" s="862"/>
      <c r="I17" s="888"/>
    </row>
    <row r="18" spans="2:9" ht="15" customHeight="1">
      <c r="B18" s="879">
        <f>+'83'!B18</f>
        <v>2015</v>
      </c>
      <c r="C18" s="895">
        <v>234</v>
      </c>
      <c r="D18" s="896">
        <f>+'76'!R12/365</f>
        <v>233.56712328767122</v>
      </c>
      <c r="E18" s="897">
        <f>+'76'!O12</f>
        <v>11421</v>
      </c>
      <c r="F18" s="882">
        <f>+'76'!V12</f>
        <v>64.493501618730349</v>
      </c>
      <c r="G18" s="883">
        <f>+'76'!W12</f>
        <v>4.7750634795552056</v>
      </c>
      <c r="H18" s="862"/>
      <c r="I18" s="888"/>
    </row>
    <row r="19" spans="2:9" ht="15" customHeight="1">
      <c r="B19" s="884"/>
      <c r="C19" s="884"/>
      <c r="D19" s="884"/>
      <c r="E19" s="870"/>
      <c r="F19" s="870"/>
      <c r="G19" s="885"/>
      <c r="H19" s="862"/>
      <c r="I19" s="888"/>
    </row>
    <row r="20" spans="2:9">
      <c r="B20" s="886"/>
      <c r="C20" s="886"/>
      <c r="D20" s="886"/>
      <c r="E20" s="862"/>
      <c r="F20" s="862"/>
      <c r="G20" s="862"/>
      <c r="H20" s="862"/>
      <c r="I20" s="888"/>
    </row>
    <row r="21" spans="2:9">
      <c r="B21" s="886"/>
      <c r="C21" s="886"/>
      <c r="D21" s="886"/>
      <c r="E21" s="862"/>
      <c r="F21" s="862"/>
      <c r="G21" s="862"/>
      <c r="H21" s="862"/>
      <c r="I21" s="888"/>
    </row>
    <row r="22" spans="2:9">
      <c r="B22" s="886"/>
      <c r="C22" s="886"/>
      <c r="D22" s="886"/>
      <c r="E22" s="862"/>
      <c r="F22" s="862"/>
      <c r="G22" s="862"/>
      <c r="H22" s="862"/>
      <c r="I22" s="888"/>
    </row>
    <row r="23" spans="2:9">
      <c r="B23" s="886"/>
      <c r="C23" s="886"/>
      <c r="D23" s="886"/>
      <c r="E23" s="886"/>
      <c r="F23" s="886"/>
      <c r="G23" s="886"/>
      <c r="H23" s="886"/>
    </row>
    <row r="35" spans="2:7">
      <c r="B35" s="886"/>
      <c r="C35" s="886"/>
      <c r="D35" s="886"/>
      <c r="E35" s="862"/>
      <c r="F35" s="862"/>
      <c r="G35" s="862"/>
    </row>
    <row r="36" spans="2:7">
      <c r="B36" s="886"/>
      <c r="C36" s="886"/>
      <c r="D36" s="886"/>
      <c r="E36" s="862"/>
      <c r="F36" s="862"/>
      <c r="G36" s="862"/>
    </row>
    <row r="37" spans="2:7">
      <c r="B37" s="886"/>
      <c r="C37" s="886"/>
      <c r="D37" s="886"/>
      <c r="E37" s="862"/>
      <c r="F37" s="862"/>
      <c r="G37" s="862"/>
    </row>
    <row r="38" spans="2:7">
      <c r="B38" s="886"/>
      <c r="C38" s="886"/>
      <c r="D38" s="886"/>
      <c r="E38" s="886"/>
      <c r="F38" s="886"/>
      <c r="G38" s="886"/>
    </row>
    <row r="50" spans="2:7">
      <c r="B50" s="886"/>
      <c r="C50" s="886"/>
      <c r="D50" s="886"/>
      <c r="E50" s="862"/>
      <c r="F50" s="862"/>
      <c r="G50" s="862"/>
    </row>
    <row r="51" spans="2:7">
      <c r="B51" s="886"/>
      <c r="C51" s="886"/>
      <c r="D51" s="886"/>
      <c r="E51" s="862"/>
      <c r="F51" s="862"/>
      <c r="G51" s="862"/>
    </row>
    <row r="52" spans="2:7">
      <c r="B52" s="886"/>
      <c r="C52" s="886"/>
      <c r="D52" s="886"/>
      <c r="E52" s="862"/>
      <c r="F52" s="862"/>
      <c r="G52" s="862"/>
    </row>
    <row r="53" spans="2:7">
      <c r="B53" s="886"/>
      <c r="C53" s="886"/>
      <c r="D53" s="886"/>
      <c r="E53" s="886"/>
      <c r="F53" s="886"/>
      <c r="G53" s="886"/>
    </row>
  </sheetData>
  <phoneticPr fontId="56" type="noConversion"/>
  <pageMargins left="0.59055118110236227" right="0.59055118110236227" top="0.78740157480314965" bottom="0.78740157480314965" header="0.51181102362204722" footer="0.51181102362204722"/>
  <pageSetup paperSize="5" scale="95" orientation="portrait" horizontalDpi="300" verticalDpi="300"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7"/>
  <sheetViews>
    <sheetView workbookViewId="0">
      <selection activeCell="E41" sqref="E41"/>
    </sheetView>
  </sheetViews>
  <sheetFormatPr baseColWidth="10" defaultColWidth="14.85546875" defaultRowHeight="12.75"/>
  <cols>
    <col min="1" max="1" width="11.28515625" style="900" customWidth="1"/>
    <col min="2" max="4" width="9.28515625" style="900" customWidth="1"/>
    <col min="5" max="5" width="14.85546875" style="900" customWidth="1"/>
    <col min="6" max="6" width="13.7109375" style="900" customWidth="1"/>
    <col min="7" max="7" width="12.42578125" style="900" customWidth="1"/>
    <col min="8" max="8" width="14.140625" style="900" customWidth="1"/>
    <col min="9" max="16384" width="14.85546875" style="900"/>
  </cols>
  <sheetData>
    <row r="1" spans="1:9" s="899" customFormat="1">
      <c r="A1" s="852" t="s">
        <v>197</v>
      </c>
      <c r="B1" s="853"/>
      <c r="C1" s="853"/>
      <c r="D1" s="853"/>
      <c r="E1" s="853"/>
      <c r="F1" s="853"/>
      <c r="G1" s="853"/>
      <c r="H1" s="853"/>
      <c r="I1" s="898"/>
    </row>
    <row r="2" spans="1:9" s="899" customFormat="1">
      <c r="A2" s="852"/>
      <c r="B2" s="853"/>
      <c r="C2" s="853"/>
      <c r="D2" s="853"/>
      <c r="E2" s="853"/>
      <c r="F2" s="853"/>
      <c r="G2" s="853"/>
      <c r="H2" s="853"/>
      <c r="I2" s="898"/>
    </row>
    <row r="3" spans="1:9" s="899" customFormat="1">
      <c r="A3" s="852" t="s">
        <v>208</v>
      </c>
      <c r="B3" s="853"/>
      <c r="C3" s="853"/>
      <c r="D3" s="853"/>
      <c r="E3" s="853"/>
      <c r="F3" s="853"/>
      <c r="G3" s="853"/>
      <c r="H3" s="853"/>
      <c r="I3" s="898"/>
    </row>
    <row r="4" spans="1:9" s="899" customFormat="1">
      <c r="A4" s="852" t="str">
        <f>+'84'!A4</f>
        <v>2006  -  2015</v>
      </c>
      <c r="B4" s="853"/>
      <c r="C4" s="853"/>
      <c r="D4" s="853"/>
      <c r="E4" s="853"/>
      <c r="F4" s="853"/>
      <c r="G4" s="853"/>
      <c r="H4" s="853"/>
      <c r="I4" s="898"/>
    </row>
    <row r="5" spans="1:9">
      <c r="B5" s="901"/>
      <c r="C5" s="901"/>
      <c r="D5" s="901"/>
      <c r="E5" s="901"/>
      <c r="F5" s="901"/>
      <c r="G5" s="901"/>
      <c r="H5" s="901"/>
      <c r="I5" s="902"/>
    </row>
    <row r="7" spans="1:9" ht="17.25" customHeight="1">
      <c r="B7" s="857"/>
      <c r="C7" s="858" t="s">
        <v>199</v>
      </c>
      <c r="D7" s="858" t="s">
        <v>200</v>
      </c>
      <c r="E7" s="903" t="s">
        <v>681</v>
      </c>
      <c r="F7" s="904" t="s">
        <v>201</v>
      </c>
      <c r="G7" s="905" t="s">
        <v>202</v>
      </c>
      <c r="H7" s="906"/>
    </row>
    <row r="8" spans="1:9" ht="17.25" customHeight="1">
      <c r="B8" s="889" t="s">
        <v>659</v>
      </c>
      <c r="C8" s="864" t="s">
        <v>203</v>
      </c>
      <c r="D8" s="864" t="s">
        <v>203</v>
      </c>
      <c r="E8" s="907" t="s">
        <v>204</v>
      </c>
      <c r="F8" s="908" t="s">
        <v>205</v>
      </c>
      <c r="G8" s="909" t="s">
        <v>206</v>
      </c>
      <c r="H8" s="906"/>
    </row>
    <row r="9" spans="1:9" ht="17.25" customHeight="1">
      <c r="B9" s="873">
        <v>2006</v>
      </c>
      <c r="C9" s="890">
        <v>214</v>
      </c>
      <c r="D9" s="891">
        <v>201</v>
      </c>
      <c r="E9" s="910">
        <v>10001</v>
      </c>
      <c r="F9" s="911">
        <v>62.7</v>
      </c>
      <c r="G9" s="912">
        <v>4.63</v>
      </c>
      <c r="H9" s="906"/>
    </row>
    <row r="10" spans="1:9" ht="17.25" customHeight="1">
      <c r="B10" s="873">
        <v>2007</v>
      </c>
      <c r="C10" s="868">
        <v>214</v>
      </c>
      <c r="D10" s="873">
        <v>203</v>
      </c>
      <c r="E10" s="910">
        <v>9882</v>
      </c>
      <c r="F10" s="913">
        <v>64.468839768574085</v>
      </c>
      <c r="G10" s="914">
        <v>4.8595426027120014</v>
      </c>
      <c r="H10" s="906"/>
    </row>
    <row r="11" spans="1:9" ht="17.25" customHeight="1">
      <c r="B11" s="873">
        <v>2008</v>
      </c>
      <c r="C11" s="868">
        <v>214</v>
      </c>
      <c r="D11" s="873">
        <v>152</v>
      </c>
      <c r="E11" s="910">
        <v>8940</v>
      </c>
      <c r="F11" s="913">
        <v>67.599999999999994</v>
      </c>
      <c r="G11" s="914">
        <v>4.18</v>
      </c>
      <c r="H11" s="906"/>
    </row>
    <row r="12" spans="1:9" ht="17.25" customHeight="1">
      <c r="B12" s="873">
        <v>2009</v>
      </c>
      <c r="C12" s="868">
        <v>214</v>
      </c>
      <c r="D12" s="873">
        <v>122</v>
      </c>
      <c r="E12" s="915">
        <v>7635</v>
      </c>
      <c r="F12" s="916">
        <v>74.8</v>
      </c>
      <c r="G12" s="917">
        <v>4.45</v>
      </c>
      <c r="H12" s="906"/>
    </row>
    <row r="13" spans="1:9" ht="15" customHeight="1">
      <c r="B13" s="873">
        <v>2010</v>
      </c>
      <c r="C13" s="868">
        <v>214</v>
      </c>
      <c r="D13" s="873">
        <v>129</v>
      </c>
      <c r="E13" s="915">
        <v>9004</v>
      </c>
      <c r="F13" s="916">
        <v>80.626210595772761</v>
      </c>
      <c r="G13" s="917">
        <v>4.5062194580186583</v>
      </c>
      <c r="H13" s="906"/>
    </row>
    <row r="14" spans="1:9" ht="15" customHeight="1">
      <c r="B14" s="873">
        <v>2011</v>
      </c>
      <c r="C14" s="868">
        <v>163</v>
      </c>
      <c r="D14" s="873">
        <v>158</v>
      </c>
      <c r="E14" s="915">
        <v>10483</v>
      </c>
      <c r="F14" s="916">
        <v>82.908376234868513</v>
      </c>
      <c r="G14" s="917">
        <v>4.5489840694457691</v>
      </c>
      <c r="H14" s="906"/>
    </row>
    <row r="15" spans="1:9" ht="15" customHeight="1">
      <c r="B15" s="873">
        <v>2012</v>
      </c>
      <c r="C15" s="868">
        <v>163</v>
      </c>
      <c r="D15" s="873">
        <v>158</v>
      </c>
      <c r="E15" s="915">
        <v>10303</v>
      </c>
      <c r="F15" s="916">
        <v>80.20476635190758</v>
      </c>
      <c r="G15" s="917">
        <v>4.5715810928855669</v>
      </c>
      <c r="H15" s="906"/>
    </row>
    <row r="16" spans="1:9" ht="15" customHeight="1">
      <c r="B16" s="873">
        <v>2013</v>
      </c>
      <c r="C16" s="868">
        <v>163</v>
      </c>
      <c r="D16" s="873">
        <v>156</v>
      </c>
      <c r="E16" s="915">
        <v>10041</v>
      </c>
      <c r="F16" s="916">
        <v>80.940450953941038</v>
      </c>
      <c r="G16" s="917">
        <v>4.6188626630813667</v>
      </c>
      <c r="H16" s="906"/>
    </row>
    <row r="17" spans="1:8" ht="15" customHeight="1">
      <c r="B17" s="873">
        <v>2014</v>
      </c>
      <c r="C17" s="868">
        <v>168</v>
      </c>
      <c r="D17" s="1043">
        <v>160.48219178082192</v>
      </c>
      <c r="E17" s="915">
        <v>9671</v>
      </c>
      <c r="F17" s="916">
        <v>78.718246380770282</v>
      </c>
      <c r="G17" s="917">
        <v>4.7527660014476272</v>
      </c>
      <c r="H17" s="906"/>
    </row>
    <row r="18" spans="1:8" ht="15" customHeight="1">
      <c r="B18" s="879">
        <f>+'83'!B18</f>
        <v>2015</v>
      </c>
      <c r="C18" s="895">
        <v>168</v>
      </c>
      <c r="D18" s="896">
        <f>+'78'!R12/365</f>
        <v>160.25753424657535</v>
      </c>
      <c r="E18" s="918">
        <f>+'78'!O12</f>
        <v>9361</v>
      </c>
      <c r="F18" s="919">
        <f>+'78'!V12</f>
        <v>80.627072862173904</v>
      </c>
      <c r="G18" s="920">
        <f>+'78'!W12</f>
        <v>5.0138874051917526</v>
      </c>
      <c r="H18" s="906"/>
    </row>
    <row r="19" spans="1:8" ht="15" customHeight="1">
      <c r="B19" s="884"/>
      <c r="C19" s="884"/>
      <c r="D19" s="884"/>
      <c r="E19" s="870"/>
      <c r="F19" s="870"/>
      <c r="G19" s="885"/>
      <c r="H19" s="906"/>
    </row>
    <row r="20" spans="1:8">
      <c r="B20" s="886"/>
      <c r="C20" s="886"/>
      <c r="D20" s="886"/>
      <c r="E20" s="862"/>
      <c r="F20" s="862"/>
      <c r="G20" s="862"/>
      <c r="H20" s="906"/>
    </row>
    <row r="21" spans="1:8">
      <c r="B21" s="886"/>
      <c r="C21" s="886"/>
      <c r="D21" s="886"/>
      <c r="E21" s="862"/>
      <c r="F21" s="862"/>
      <c r="G21" s="862"/>
      <c r="H21" s="906"/>
    </row>
    <row r="22" spans="1:8">
      <c r="A22" s="855"/>
      <c r="B22" s="886"/>
      <c r="C22" s="886"/>
      <c r="D22" s="886"/>
      <c r="E22" s="862"/>
      <c r="F22" s="862"/>
      <c r="G22" s="862"/>
      <c r="H22" s="862"/>
    </row>
    <row r="23" spans="1:8">
      <c r="A23" s="855"/>
      <c r="B23" s="886"/>
      <c r="C23" s="886"/>
      <c r="D23" s="886"/>
      <c r="E23" s="886"/>
      <c r="F23" s="886"/>
      <c r="G23" s="886"/>
      <c r="H23" s="886"/>
    </row>
    <row r="24" spans="1:8">
      <c r="A24" s="855"/>
      <c r="B24" s="855"/>
      <c r="C24" s="855"/>
      <c r="D24" s="855"/>
      <c r="E24" s="855"/>
      <c r="F24" s="855"/>
      <c r="G24" s="855"/>
      <c r="H24" s="855"/>
    </row>
    <row r="25" spans="1:8">
      <c r="A25" s="855"/>
      <c r="B25" s="855"/>
      <c r="C25" s="855"/>
      <c r="D25" s="855"/>
      <c r="E25" s="855"/>
      <c r="F25" s="855"/>
      <c r="G25" s="855"/>
      <c r="H25" s="855"/>
    </row>
    <row r="26" spans="1:8">
      <c r="A26" s="855"/>
      <c r="B26" s="855"/>
      <c r="C26" s="855"/>
      <c r="D26" s="855"/>
      <c r="E26" s="855"/>
      <c r="F26" s="855"/>
      <c r="G26" s="855"/>
      <c r="H26" s="855"/>
    </row>
    <row r="27" spans="1:8">
      <c r="A27" s="855"/>
      <c r="B27" s="855"/>
      <c r="C27" s="855"/>
      <c r="D27" s="855"/>
      <c r="E27" s="855"/>
      <c r="F27" s="855"/>
      <c r="G27" s="855"/>
      <c r="H27" s="855"/>
    </row>
    <row r="28" spans="1:8">
      <c r="A28" s="855"/>
      <c r="B28" s="855"/>
      <c r="C28" s="855"/>
      <c r="D28" s="855"/>
      <c r="E28" s="855"/>
      <c r="F28" s="855"/>
      <c r="G28" s="855"/>
      <c r="H28" s="855"/>
    </row>
    <row r="29" spans="1:8">
      <c r="A29" s="855"/>
      <c r="B29" s="855"/>
      <c r="C29" s="855"/>
      <c r="D29" s="855"/>
      <c r="E29" s="855"/>
      <c r="F29" s="855"/>
      <c r="G29" s="855"/>
      <c r="H29" s="855"/>
    </row>
    <row r="30" spans="1:8">
      <c r="A30" s="855"/>
      <c r="B30" s="855"/>
      <c r="C30" s="855"/>
      <c r="D30" s="855"/>
      <c r="E30" s="855"/>
      <c r="F30" s="855"/>
      <c r="G30" s="855"/>
      <c r="H30" s="855"/>
    </row>
    <row r="31" spans="1:8">
      <c r="A31" s="855"/>
      <c r="B31" s="855"/>
      <c r="C31" s="855"/>
      <c r="D31" s="855"/>
      <c r="E31" s="855"/>
      <c r="F31" s="855"/>
      <c r="G31" s="855"/>
      <c r="H31" s="855"/>
    </row>
    <row r="32" spans="1:8">
      <c r="A32" s="855"/>
      <c r="B32" s="855"/>
      <c r="C32" s="855"/>
      <c r="D32" s="855"/>
      <c r="E32" s="855"/>
      <c r="F32" s="855"/>
      <c r="G32" s="855"/>
      <c r="H32" s="855"/>
    </row>
    <row r="33" spans="1:8">
      <c r="A33" s="855"/>
      <c r="B33" s="855"/>
      <c r="C33" s="855"/>
      <c r="D33" s="855"/>
      <c r="E33" s="855"/>
      <c r="F33" s="855"/>
      <c r="G33" s="855"/>
      <c r="H33" s="855"/>
    </row>
    <row r="34" spans="1:8">
      <c r="A34" s="855"/>
      <c r="B34" s="855"/>
      <c r="C34" s="855"/>
      <c r="D34" s="855"/>
      <c r="E34" s="855"/>
      <c r="F34" s="855"/>
      <c r="G34" s="855"/>
      <c r="H34" s="855"/>
    </row>
    <row r="35" spans="1:8">
      <c r="A35" s="855"/>
      <c r="B35" s="886"/>
      <c r="C35" s="886"/>
      <c r="D35" s="886"/>
      <c r="E35" s="862"/>
      <c r="F35" s="862"/>
      <c r="G35" s="862"/>
      <c r="H35" s="855"/>
    </row>
    <row r="36" spans="1:8">
      <c r="A36" s="855"/>
      <c r="B36" s="886"/>
      <c r="C36" s="886"/>
      <c r="D36" s="886"/>
      <c r="E36" s="862"/>
      <c r="F36" s="862"/>
      <c r="G36" s="862"/>
      <c r="H36" s="855"/>
    </row>
    <row r="37" spans="1:8">
      <c r="A37" s="855"/>
      <c r="B37" s="886"/>
      <c r="C37" s="886"/>
      <c r="D37" s="886"/>
      <c r="E37" s="862"/>
      <c r="F37" s="862"/>
      <c r="G37" s="862"/>
      <c r="H37" s="855"/>
    </row>
    <row r="38" spans="1:8">
      <c r="A38" s="855"/>
      <c r="B38" s="886"/>
      <c r="C38" s="886"/>
      <c r="D38" s="886"/>
      <c r="E38" s="886"/>
      <c r="F38" s="886"/>
      <c r="G38" s="886"/>
      <c r="H38" s="855"/>
    </row>
    <row r="39" spans="1:8">
      <c r="A39" s="855"/>
      <c r="B39" s="855"/>
      <c r="C39" s="855"/>
      <c r="D39" s="855"/>
      <c r="E39" s="855"/>
      <c r="F39" s="855"/>
      <c r="G39" s="855"/>
      <c r="H39" s="855"/>
    </row>
    <row r="40" spans="1:8">
      <c r="A40" s="855"/>
      <c r="B40" s="855"/>
      <c r="C40" s="855"/>
      <c r="D40" s="855"/>
      <c r="E40" s="855"/>
      <c r="F40" s="855"/>
      <c r="G40" s="855"/>
      <c r="H40" s="855"/>
    </row>
    <row r="41" spans="1:8">
      <c r="A41" s="855"/>
      <c r="B41" s="855"/>
      <c r="C41" s="855"/>
      <c r="D41" s="855"/>
      <c r="E41" s="855"/>
      <c r="F41" s="855"/>
      <c r="G41" s="855"/>
      <c r="H41" s="855"/>
    </row>
    <row r="42" spans="1:8">
      <c r="A42" s="855"/>
      <c r="B42" s="855"/>
      <c r="C42" s="855"/>
      <c r="D42" s="855"/>
      <c r="E42" s="855"/>
      <c r="F42" s="855"/>
      <c r="G42" s="855"/>
      <c r="H42" s="855"/>
    </row>
    <row r="43" spans="1:8">
      <c r="A43" s="855"/>
      <c r="B43" s="855"/>
      <c r="C43" s="855"/>
      <c r="D43" s="855"/>
      <c r="E43" s="855"/>
      <c r="F43" s="855"/>
      <c r="G43" s="855"/>
      <c r="H43" s="855"/>
    </row>
    <row r="44" spans="1:8">
      <c r="A44" s="855"/>
      <c r="B44" s="855"/>
      <c r="C44" s="855"/>
      <c r="D44" s="855"/>
      <c r="E44" s="855"/>
      <c r="F44" s="855"/>
      <c r="G44" s="855"/>
      <c r="H44" s="855"/>
    </row>
    <row r="45" spans="1:8">
      <c r="A45" s="855"/>
      <c r="B45" s="855"/>
      <c r="C45" s="855"/>
      <c r="D45" s="855"/>
      <c r="E45" s="855"/>
      <c r="F45" s="855"/>
      <c r="G45" s="855"/>
      <c r="H45" s="855"/>
    </row>
    <row r="46" spans="1:8">
      <c r="A46" s="855"/>
      <c r="B46" s="855"/>
      <c r="C46" s="855"/>
      <c r="D46" s="855"/>
      <c r="E46" s="855"/>
      <c r="F46" s="855"/>
      <c r="G46" s="855"/>
      <c r="H46" s="855"/>
    </row>
    <row r="47" spans="1:8">
      <c r="A47" s="855"/>
      <c r="B47" s="855"/>
      <c r="C47" s="855"/>
      <c r="D47" s="855"/>
      <c r="E47" s="855"/>
      <c r="F47" s="855"/>
      <c r="G47" s="855"/>
      <c r="H47" s="855"/>
    </row>
    <row r="48" spans="1:8">
      <c r="A48" s="855"/>
      <c r="B48" s="855"/>
      <c r="C48" s="855"/>
      <c r="D48" s="855"/>
      <c r="E48" s="855"/>
      <c r="F48" s="855"/>
      <c r="G48" s="855"/>
      <c r="H48" s="855"/>
    </row>
    <row r="49" spans="1:8">
      <c r="A49" s="855"/>
      <c r="B49" s="855"/>
      <c r="C49" s="855"/>
      <c r="D49" s="855"/>
      <c r="E49" s="855"/>
      <c r="F49" s="855"/>
      <c r="G49" s="855"/>
      <c r="H49" s="855"/>
    </row>
    <row r="50" spans="1:8" ht="15" customHeight="1">
      <c r="A50" s="855"/>
      <c r="B50" s="886"/>
      <c r="C50" s="886"/>
      <c r="D50" s="886"/>
      <c r="E50" s="862"/>
      <c r="F50" s="862"/>
      <c r="G50" s="862"/>
      <c r="H50" s="855"/>
    </row>
    <row r="51" spans="1:8">
      <c r="A51" s="855"/>
      <c r="B51" s="886"/>
      <c r="C51" s="886"/>
      <c r="D51" s="886"/>
      <c r="E51" s="862"/>
      <c r="F51" s="862"/>
      <c r="G51" s="862"/>
      <c r="H51" s="855"/>
    </row>
    <row r="52" spans="1:8">
      <c r="A52" s="855"/>
      <c r="B52" s="886"/>
      <c r="C52" s="886"/>
      <c r="D52" s="886"/>
      <c r="E52" s="862"/>
      <c r="F52" s="862"/>
      <c r="G52" s="862"/>
      <c r="H52" s="855"/>
    </row>
    <row r="53" spans="1:8">
      <c r="A53" s="855"/>
      <c r="B53" s="886"/>
      <c r="C53" s="886"/>
      <c r="D53" s="886"/>
      <c r="E53" s="886"/>
      <c r="F53" s="886"/>
      <c r="G53" s="886"/>
      <c r="H53" s="855"/>
    </row>
    <row r="54" spans="1:8">
      <c r="A54" s="855"/>
      <c r="B54" s="855"/>
      <c r="C54" s="855"/>
      <c r="D54" s="855"/>
      <c r="E54" s="855"/>
      <c r="F54" s="855"/>
      <c r="G54" s="855"/>
      <c r="H54" s="855"/>
    </row>
    <row r="55" spans="1:8">
      <c r="A55" s="855"/>
      <c r="B55" s="855"/>
      <c r="C55" s="855"/>
      <c r="D55" s="855"/>
      <c r="E55" s="855"/>
      <c r="F55" s="855"/>
      <c r="G55" s="855"/>
      <c r="H55" s="855"/>
    </row>
    <row r="56" spans="1:8">
      <c r="A56" s="855"/>
      <c r="B56" s="855"/>
      <c r="C56" s="855"/>
      <c r="D56" s="855"/>
      <c r="E56" s="855"/>
      <c r="F56" s="855"/>
      <c r="G56" s="855"/>
      <c r="H56" s="855"/>
    </row>
    <row r="57" spans="1:8">
      <c r="A57" s="855"/>
      <c r="B57" s="855"/>
      <c r="C57" s="855"/>
      <c r="D57" s="855"/>
      <c r="E57" s="855"/>
      <c r="F57" s="855"/>
      <c r="G57" s="855"/>
      <c r="H57" s="855"/>
    </row>
    <row r="58" spans="1:8">
      <c r="A58" s="855"/>
      <c r="B58" s="855"/>
      <c r="C58" s="855"/>
      <c r="D58" s="855"/>
      <c r="E58" s="855"/>
      <c r="F58" s="855"/>
      <c r="G58" s="855"/>
      <c r="H58" s="855"/>
    </row>
    <row r="59" spans="1:8">
      <c r="A59" s="855"/>
      <c r="B59" s="855"/>
      <c r="C59" s="855"/>
      <c r="D59" s="855"/>
      <c r="E59" s="855"/>
      <c r="F59" s="855"/>
      <c r="G59" s="855"/>
      <c r="H59" s="855"/>
    </row>
    <row r="60" spans="1:8">
      <c r="A60" s="855"/>
      <c r="B60" s="855"/>
      <c r="C60" s="855"/>
      <c r="D60" s="855"/>
      <c r="E60" s="855"/>
      <c r="F60" s="855"/>
      <c r="G60" s="855"/>
      <c r="H60" s="855"/>
    </row>
    <row r="61" spans="1:8">
      <c r="A61" s="855"/>
      <c r="B61" s="855"/>
      <c r="C61" s="855"/>
      <c r="D61" s="855"/>
      <c r="E61" s="855"/>
      <c r="F61" s="855"/>
      <c r="G61" s="855"/>
      <c r="H61" s="855"/>
    </row>
    <row r="62" spans="1:8">
      <c r="A62" s="855"/>
      <c r="B62" s="855"/>
      <c r="C62" s="855"/>
      <c r="D62" s="855"/>
      <c r="E62" s="855"/>
      <c r="F62" s="855"/>
      <c r="G62" s="855"/>
      <c r="H62" s="855"/>
    </row>
    <row r="63" spans="1:8">
      <c r="A63" s="855"/>
      <c r="B63" s="855"/>
      <c r="C63" s="855"/>
      <c r="D63" s="855"/>
      <c r="E63" s="855"/>
      <c r="F63" s="855"/>
      <c r="G63" s="855"/>
      <c r="H63" s="855"/>
    </row>
    <row r="64" spans="1:8">
      <c r="A64" s="855"/>
      <c r="B64" s="855"/>
      <c r="C64" s="855"/>
      <c r="D64" s="855"/>
      <c r="E64" s="855"/>
      <c r="F64" s="855"/>
      <c r="G64" s="855"/>
      <c r="H64" s="855"/>
    </row>
    <row r="65" spans="1:8">
      <c r="A65" s="855"/>
      <c r="B65" s="855"/>
      <c r="C65" s="855"/>
      <c r="D65" s="855"/>
      <c r="E65" s="855"/>
      <c r="F65" s="855"/>
      <c r="G65" s="855"/>
      <c r="H65" s="855"/>
    </row>
    <row r="66" spans="1:8">
      <c r="A66" s="855"/>
      <c r="B66" s="855"/>
      <c r="C66" s="855"/>
      <c r="D66" s="855"/>
      <c r="E66" s="855"/>
      <c r="F66" s="855"/>
      <c r="G66" s="855"/>
      <c r="H66" s="855"/>
    </row>
    <row r="67" spans="1:8">
      <c r="A67" s="855"/>
      <c r="B67" s="855"/>
      <c r="C67" s="855"/>
      <c r="D67" s="855"/>
      <c r="E67" s="855"/>
      <c r="F67" s="855"/>
      <c r="G67" s="855"/>
      <c r="H67" s="855"/>
    </row>
  </sheetData>
  <phoneticPr fontId="56" type="noConversion"/>
  <pageMargins left="0.59055118110236227" right="0.78740157480314965" top="0.78740157480314965" bottom="0.78740157480314965" header="0.51181102362204722" footer="0.51181102362204722"/>
  <pageSetup paperSize="5" scale="95" orientation="portrait" horizontalDpi="300" verticalDpi="300"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workbookViewId="0">
      <selection activeCell="J46" sqref="J46"/>
    </sheetView>
  </sheetViews>
  <sheetFormatPr baseColWidth="10" defaultColWidth="14.85546875" defaultRowHeight="12.75"/>
  <cols>
    <col min="1" max="1" width="13.7109375" style="855" customWidth="1"/>
    <col min="2" max="4" width="9.28515625" style="855" customWidth="1"/>
    <col min="5" max="5" width="14.85546875" style="855" customWidth="1"/>
    <col min="6" max="6" width="13.7109375" style="855" customWidth="1"/>
    <col min="7" max="7" width="12.42578125" style="855" customWidth="1"/>
    <col min="8" max="8" width="12.85546875" style="855" customWidth="1"/>
    <col min="9" max="16384" width="14.85546875" style="855"/>
  </cols>
  <sheetData>
    <row r="1" spans="1:9" s="899" customFormat="1">
      <c r="A1" s="852" t="s">
        <v>197</v>
      </c>
      <c r="B1" s="853"/>
      <c r="C1" s="853"/>
      <c r="D1" s="853"/>
      <c r="E1" s="853"/>
      <c r="F1" s="853"/>
      <c r="G1" s="853"/>
      <c r="H1" s="853"/>
      <c r="I1" s="898"/>
    </row>
    <row r="2" spans="1:9" s="899" customFormat="1">
      <c r="A2" s="852"/>
      <c r="B2" s="853"/>
      <c r="C2" s="853"/>
      <c r="D2" s="853"/>
      <c r="E2" s="853"/>
      <c r="F2" s="853"/>
      <c r="G2" s="853"/>
      <c r="H2" s="853"/>
      <c r="I2" s="898"/>
    </row>
    <row r="3" spans="1:9" s="899" customFormat="1">
      <c r="A3" s="852" t="s">
        <v>209</v>
      </c>
      <c r="B3" s="853"/>
      <c r="C3" s="853"/>
      <c r="D3" s="853"/>
      <c r="E3" s="853"/>
      <c r="F3" s="853"/>
      <c r="G3" s="853"/>
      <c r="H3" s="853"/>
      <c r="I3" s="898"/>
    </row>
    <row r="4" spans="1:9" s="899" customFormat="1">
      <c r="A4" s="852" t="str">
        <f>+'85'!A4</f>
        <v>2006  -  2015</v>
      </c>
      <c r="B4" s="853"/>
      <c r="C4" s="853"/>
      <c r="D4" s="853"/>
      <c r="E4" s="853"/>
      <c r="F4" s="853"/>
      <c r="G4" s="853"/>
      <c r="H4" s="853"/>
      <c r="I4" s="898"/>
    </row>
    <row r="5" spans="1:9">
      <c r="B5" s="856"/>
      <c r="C5" s="856"/>
      <c r="D5" s="856"/>
      <c r="E5" s="856"/>
      <c r="F5" s="856"/>
      <c r="G5" s="856"/>
      <c r="H5" s="856"/>
    </row>
    <row r="7" spans="1:9" ht="17.25" customHeight="1">
      <c r="B7" s="857"/>
      <c r="C7" s="858" t="s">
        <v>199</v>
      </c>
      <c r="D7" s="858" t="s">
        <v>200</v>
      </c>
      <c r="E7" s="859" t="s">
        <v>681</v>
      </c>
      <c r="F7" s="860" t="s">
        <v>201</v>
      </c>
      <c r="G7" s="861" t="s">
        <v>202</v>
      </c>
      <c r="H7" s="862"/>
      <c r="I7" s="888"/>
    </row>
    <row r="8" spans="1:9" ht="17.25" customHeight="1">
      <c r="B8" s="889" t="s">
        <v>659</v>
      </c>
      <c r="C8" s="864" t="s">
        <v>203</v>
      </c>
      <c r="D8" s="864" t="s">
        <v>203</v>
      </c>
      <c r="E8" s="865" t="s">
        <v>204</v>
      </c>
      <c r="F8" s="866" t="s">
        <v>205</v>
      </c>
      <c r="G8" s="867" t="s">
        <v>206</v>
      </c>
      <c r="H8" s="862"/>
      <c r="I8" s="888"/>
    </row>
    <row r="9" spans="1:9" ht="17.25" customHeight="1">
      <c r="B9" s="873">
        <v>2006</v>
      </c>
      <c r="C9" s="890">
        <v>69</v>
      </c>
      <c r="D9" s="891">
        <v>60</v>
      </c>
      <c r="E9" s="870">
        <v>1956</v>
      </c>
      <c r="F9" s="871">
        <v>27.8</v>
      </c>
      <c r="G9" s="872">
        <v>3.11</v>
      </c>
      <c r="H9" s="862"/>
      <c r="I9" s="888"/>
    </row>
    <row r="10" spans="1:9" ht="17.25" customHeight="1">
      <c r="B10" s="873">
        <v>2007</v>
      </c>
      <c r="C10" s="868">
        <v>69</v>
      </c>
      <c r="D10" s="873">
        <v>55</v>
      </c>
      <c r="E10" s="921">
        <v>1960</v>
      </c>
      <c r="F10" s="871">
        <v>39.954041362773502</v>
      </c>
      <c r="G10" s="872">
        <v>4.069897959183673</v>
      </c>
      <c r="H10" s="862"/>
      <c r="I10" s="888"/>
    </row>
    <row r="11" spans="1:9" ht="17.25" customHeight="1">
      <c r="B11" s="873">
        <v>2008</v>
      </c>
      <c r="C11" s="868">
        <v>69</v>
      </c>
      <c r="D11" s="873">
        <v>46</v>
      </c>
      <c r="E11" s="921">
        <v>1671</v>
      </c>
      <c r="F11" s="871">
        <v>35.5</v>
      </c>
      <c r="G11" s="872">
        <v>3.54</v>
      </c>
      <c r="H11" s="862"/>
      <c r="I11" s="888"/>
    </row>
    <row r="12" spans="1:9" ht="17.25" customHeight="1">
      <c r="B12" s="873">
        <v>2009</v>
      </c>
      <c r="C12" s="868">
        <v>45</v>
      </c>
      <c r="D12" s="873">
        <v>45</v>
      </c>
      <c r="E12" s="875">
        <v>1989</v>
      </c>
      <c r="F12" s="877">
        <v>40.299999999999997</v>
      </c>
      <c r="G12" s="878">
        <v>3.33</v>
      </c>
      <c r="H12" s="862"/>
      <c r="I12" s="888"/>
    </row>
    <row r="13" spans="1:9" ht="15" customHeight="1">
      <c r="B13" s="873">
        <v>2010</v>
      </c>
      <c r="C13" s="868">
        <v>45</v>
      </c>
      <c r="D13" s="873">
        <v>44</v>
      </c>
      <c r="E13" s="875">
        <v>2091</v>
      </c>
      <c r="F13" s="877">
        <v>45.413420457401358</v>
      </c>
      <c r="G13" s="878">
        <v>3.3782879005260642</v>
      </c>
      <c r="H13" s="862"/>
      <c r="I13" s="888"/>
    </row>
    <row r="14" spans="1:9" ht="15" customHeight="1">
      <c r="B14" s="873">
        <v>2011</v>
      </c>
      <c r="C14" s="868">
        <v>45</v>
      </c>
      <c r="D14" s="873">
        <v>43</v>
      </c>
      <c r="E14" s="875">
        <v>1863</v>
      </c>
      <c r="F14" s="877">
        <v>45.050415371932274</v>
      </c>
      <c r="G14" s="878">
        <v>3.595276435856146</v>
      </c>
      <c r="H14" s="862"/>
      <c r="I14" s="888"/>
    </row>
    <row r="15" spans="1:9" ht="15" customHeight="1">
      <c r="B15" s="873">
        <v>2012</v>
      </c>
      <c r="C15" s="868">
        <v>45</v>
      </c>
      <c r="D15" s="873">
        <v>44</v>
      </c>
      <c r="E15" s="875">
        <v>1709</v>
      </c>
      <c r="F15" s="877">
        <v>38.77563627378305</v>
      </c>
      <c r="G15" s="878">
        <v>3.9531889994148623</v>
      </c>
      <c r="H15" s="862"/>
      <c r="I15" s="888"/>
    </row>
    <row r="16" spans="1:9" ht="15" customHeight="1">
      <c r="B16" s="873">
        <v>2013</v>
      </c>
      <c r="C16" s="868">
        <v>45</v>
      </c>
      <c r="D16" s="873">
        <v>35</v>
      </c>
      <c r="E16" s="875">
        <v>1248</v>
      </c>
      <c r="F16" s="877">
        <v>43.671489903005245</v>
      </c>
      <c r="G16" s="878">
        <v>4.0376602564102564</v>
      </c>
      <c r="H16" s="862"/>
      <c r="I16" s="888"/>
    </row>
    <row r="17" spans="2:9" ht="15" customHeight="1">
      <c r="B17" s="873">
        <v>2014</v>
      </c>
      <c r="C17" s="868">
        <v>45</v>
      </c>
      <c r="D17" s="1043">
        <v>43.794520547945204</v>
      </c>
      <c r="E17" s="875">
        <v>1480</v>
      </c>
      <c r="F17" s="877">
        <v>49.95308101345011</v>
      </c>
      <c r="G17" s="878">
        <v>5.5182432432432433</v>
      </c>
      <c r="H17" s="862"/>
      <c r="I17" s="888"/>
    </row>
    <row r="18" spans="2:9" ht="15" customHeight="1">
      <c r="B18" s="879">
        <f>+'83'!B18</f>
        <v>2015</v>
      </c>
      <c r="C18" s="895">
        <v>45</v>
      </c>
      <c r="D18" s="896">
        <f>+'80'!R12/365</f>
        <v>43.972602739726028</v>
      </c>
      <c r="E18" s="880">
        <f>+'80'!O12</f>
        <v>1442</v>
      </c>
      <c r="F18" s="882">
        <f>+'80'!V12</f>
        <v>52.73520249221184</v>
      </c>
      <c r="G18" s="883">
        <f>+'80'!W12</f>
        <v>6.0208044382801669</v>
      </c>
      <c r="H18" s="862"/>
      <c r="I18" s="888"/>
    </row>
    <row r="19" spans="2:9" ht="15" customHeight="1">
      <c r="B19" s="884"/>
      <c r="C19" s="884"/>
      <c r="D19" s="884"/>
      <c r="E19" s="870"/>
      <c r="F19" s="870"/>
      <c r="G19" s="885"/>
      <c r="H19" s="862"/>
      <c r="I19" s="888"/>
    </row>
    <row r="20" spans="2:9">
      <c r="B20" s="886"/>
      <c r="C20" s="886"/>
      <c r="D20" s="886"/>
      <c r="E20" s="862"/>
      <c r="F20" s="862"/>
      <c r="G20" s="862"/>
      <c r="H20" s="862"/>
      <c r="I20" s="888"/>
    </row>
    <row r="21" spans="2:9">
      <c r="B21" s="886"/>
      <c r="C21" s="886"/>
      <c r="D21" s="886"/>
      <c r="E21" s="862"/>
      <c r="F21" s="862"/>
      <c r="G21" s="862"/>
      <c r="H21" s="862"/>
      <c r="I21" s="888"/>
    </row>
    <row r="22" spans="2:9">
      <c r="B22" s="886"/>
      <c r="C22" s="886"/>
      <c r="D22" s="886"/>
      <c r="E22" s="862"/>
      <c r="F22" s="862"/>
      <c r="G22" s="862"/>
      <c r="H22" s="862"/>
      <c r="I22" s="888"/>
    </row>
    <row r="23" spans="2:9">
      <c r="B23" s="886"/>
      <c r="C23" s="886"/>
      <c r="D23" s="886"/>
      <c r="E23" s="886"/>
      <c r="F23" s="886"/>
      <c r="G23" s="886"/>
      <c r="H23" s="886"/>
    </row>
    <row r="35" spans="2:7">
      <c r="B35" s="886"/>
      <c r="C35" s="886"/>
      <c r="D35" s="886"/>
      <c r="E35" s="862"/>
      <c r="F35" s="862"/>
      <c r="G35" s="862"/>
    </row>
    <row r="36" spans="2:7">
      <c r="B36" s="886"/>
      <c r="C36" s="886"/>
      <c r="D36" s="886"/>
      <c r="E36" s="862"/>
      <c r="F36" s="862"/>
      <c r="G36" s="862"/>
    </row>
    <row r="37" spans="2:7">
      <c r="B37" s="886"/>
      <c r="C37" s="886"/>
      <c r="D37" s="886"/>
      <c r="E37" s="862"/>
      <c r="F37" s="862"/>
      <c r="G37" s="862"/>
    </row>
    <row r="38" spans="2:7">
      <c r="B38" s="886"/>
      <c r="C38" s="886"/>
      <c r="D38" s="886"/>
      <c r="E38" s="886"/>
      <c r="F38" s="886"/>
      <c r="G38" s="886"/>
    </row>
    <row r="50" spans="2:7">
      <c r="B50" s="886"/>
      <c r="C50" s="886"/>
      <c r="D50" s="886"/>
      <c r="E50" s="862"/>
      <c r="F50" s="862"/>
      <c r="G50" s="862"/>
    </row>
    <row r="51" spans="2:7">
      <c r="B51" s="886"/>
      <c r="C51" s="886"/>
      <c r="D51" s="886"/>
      <c r="E51" s="862"/>
      <c r="F51" s="862"/>
      <c r="G51" s="862"/>
    </row>
    <row r="52" spans="2:7">
      <c r="B52" s="886"/>
      <c r="C52" s="886"/>
      <c r="D52" s="886"/>
      <c r="E52" s="862"/>
      <c r="F52" s="862"/>
      <c r="G52" s="862"/>
    </row>
    <row r="53" spans="2:7">
      <c r="B53" s="886"/>
      <c r="C53" s="886"/>
      <c r="D53" s="886"/>
      <c r="E53" s="886"/>
      <c r="F53" s="886"/>
      <c r="G53" s="886"/>
    </row>
  </sheetData>
  <phoneticPr fontId="56" type="noConversion"/>
  <pageMargins left="0.59055118110236227" right="0.78740157480314965" top="0.78740157480314965" bottom="0.78740157480314965" header="0.51181102362204722" footer="0.51181102362204722"/>
  <pageSetup paperSize="5" scale="95" orientation="portrait" horizontalDpi="300" verticalDpi="300"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topLeftCell="A13" workbookViewId="0">
      <selection activeCell="J60" sqref="J60"/>
    </sheetView>
  </sheetViews>
  <sheetFormatPr baseColWidth="10" defaultColWidth="14.85546875" defaultRowHeight="12.75"/>
  <cols>
    <col min="1" max="1" width="13.7109375" style="855" customWidth="1"/>
    <col min="2" max="4" width="9.28515625" style="855" customWidth="1"/>
    <col min="5" max="5" width="14.85546875" style="855" customWidth="1"/>
    <col min="6" max="6" width="13.7109375" style="855" customWidth="1"/>
    <col min="7" max="7" width="12.42578125" style="855" customWidth="1"/>
    <col min="8" max="8" width="13.7109375" style="855" customWidth="1"/>
    <col min="9" max="9" width="14.85546875" style="922" customWidth="1"/>
    <col min="10" max="16384" width="14.85546875" style="855"/>
  </cols>
  <sheetData>
    <row r="1" spans="1:9" s="899" customFormat="1">
      <c r="A1" s="852" t="s">
        <v>197</v>
      </c>
      <c r="B1" s="853"/>
      <c r="C1" s="853"/>
      <c r="D1" s="853"/>
      <c r="E1" s="853"/>
      <c r="F1" s="853"/>
      <c r="G1" s="853"/>
      <c r="H1" s="853"/>
      <c r="I1" s="898"/>
    </row>
    <row r="2" spans="1:9" s="899" customFormat="1">
      <c r="A2" s="852"/>
      <c r="B2" s="853"/>
      <c r="C2" s="853"/>
      <c r="D2" s="853"/>
      <c r="E2" s="853"/>
      <c r="F2" s="853"/>
      <c r="G2" s="853"/>
      <c r="H2" s="853"/>
      <c r="I2" s="898"/>
    </row>
    <row r="3" spans="1:9" s="899" customFormat="1">
      <c r="A3" s="852" t="s">
        <v>210</v>
      </c>
      <c r="B3" s="853"/>
      <c r="C3" s="853"/>
      <c r="D3" s="853"/>
      <c r="E3" s="853"/>
      <c r="F3" s="853"/>
      <c r="G3" s="853"/>
      <c r="H3" s="853"/>
      <c r="I3" s="898"/>
    </row>
    <row r="4" spans="1:9" s="899" customFormat="1">
      <c r="A4" s="852" t="str">
        <f>+'86'!A4</f>
        <v>2006  -  2015</v>
      </c>
      <c r="B4" s="853"/>
      <c r="C4" s="853"/>
      <c r="D4" s="853"/>
      <c r="E4" s="853"/>
      <c r="F4" s="853"/>
      <c r="G4" s="853"/>
      <c r="H4" s="853"/>
      <c r="I4" s="898"/>
    </row>
    <row r="5" spans="1:9">
      <c r="B5" s="856"/>
      <c r="C5" s="856"/>
      <c r="D5" s="856"/>
      <c r="E5" s="856"/>
      <c r="F5" s="856"/>
      <c r="G5" s="856"/>
      <c r="H5" s="856"/>
    </row>
    <row r="7" spans="1:9" ht="17.25" customHeight="1">
      <c r="B7" s="857"/>
      <c r="C7" s="858" t="s">
        <v>199</v>
      </c>
      <c r="D7" s="858" t="s">
        <v>200</v>
      </c>
      <c r="E7" s="859" t="s">
        <v>681</v>
      </c>
      <c r="F7" s="860" t="s">
        <v>201</v>
      </c>
      <c r="G7" s="861" t="s">
        <v>202</v>
      </c>
      <c r="H7" s="862"/>
      <c r="I7" s="923"/>
    </row>
    <row r="8" spans="1:9" ht="17.25" customHeight="1">
      <c r="B8" s="889" t="s">
        <v>659</v>
      </c>
      <c r="C8" s="864" t="s">
        <v>203</v>
      </c>
      <c r="D8" s="864" t="s">
        <v>203</v>
      </c>
      <c r="E8" s="865" t="s">
        <v>204</v>
      </c>
      <c r="F8" s="866" t="s">
        <v>205</v>
      </c>
      <c r="G8" s="867" t="s">
        <v>206</v>
      </c>
      <c r="H8" s="862"/>
      <c r="I8" s="923"/>
    </row>
    <row r="9" spans="1:9" ht="17.25" customHeight="1">
      <c r="B9" s="873">
        <v>2006</v>
      </c>
      <c r="C9" s="890">
        <v>27</v>
      </c>
      <c r="D9" s="891">
        <v>27</v>
      </c>
      <c r="E9" s="892">
        <v>698</v>
      </c>
      <c r="F9" s="871">
        <v>53</v>
      </c>
      <c r="G9" s="872">
        <v>7.39</v>
      </c>
      <c r="H9" s="862"/>
      <c r="I9" s="923"/>
    </row>
    <row r="10" spans="1:9" ht="17.25" customHeight="1">
      <c r="B10" s="873">
        <v>2007</v>
      </c>
      <c r="C10" s="868">
        <v>27</v>
      </c>
      <c r="D10" s="873">
        <v>27</v>
      </c>
      <c r="E10" s="874">
        <v>720</v>
      </c>
      <c r="F10" s="871">
        <v>64.008117706747854</v>
      </c>
      <c r="G10" s="872">
        <v>8.8097222222222218</v>
      </c>
      <c r="H10" s="862"/>
      <c r="I10" s="923"/>
    </row>
    <row r="11" spans="1:9" ht="17.25" customHeight="1">
      <c r="B11" s="873">
        <v>2008</v>
      </c>
      <c r="C11" s="868">
        <v>27</v>
      </c>
      <c r="D11" s="873">
        <v>27</v>
      </c>
      <c r="E11" s="874">
        <v>664</v>
      </c>
      <c r="F11" s="871">
        <v>53.7</v>
      </c>
      <c r="G11" s="872">
        <v>8.17</v>
      </c>
      <c r="H11" s="862"/>
      <c r="I11" s="923"/>
    </row>
    <row r="12" spans="1:9" ht="17.25" customHeight="1">
      <c r="B12" s="873">
        <v>2009</v>
      </c>
      <c r="C12" s="868">
        <v>27</v>
      </c>
      <c r="D12" s="873">
        <v>27</v>
      </c>
      <c r="E12" s="894">
        <v>694</v>
      </c>
      <c r="F12" s="877">
        <v>45.1</v>
      </c>
      <c r="G12" s="878">
        <v>6.78</v>
      </c>
      <c r="H12" s="862"/>
      <c r="I12" s="923"/>
    </row>
    <row r="13" spans="1:9" ht="15" customHeight="1">
      <c r="B13" s="873">
        <v>2010</v>
      </c>
      <c r="C13" s="868">
        <v>27</v>
      </c>
      <c r="D13" s="873">
        <v>10</v>
      </c>
      <c r="E13" s="894">
        <v>303</v>
      </c>
      <c r="F13" s="877">
        <v>63.513513513513509</v>
      </c>
      <c r="G13" s="878">
        <v>8.5742574257425748</v>
      </c>
      <c r="H13" s="862"/>
      <c r="I13" s="923"/>
    </row>
    <row r="14" spans="1:9" ht="15" customHeight="1">
      <c r="B14" s="873">
        <v>2011</v>
      </c>
      <c r="C14" s="868">
        <v>28</v>
      </c>
      <c r="D14" s="873">
        <v>17</v>
      </c>
      <c r="E14" s="894">
        <v>452</v>
      </c>
      <c r="F14" s="877">
        <v>66.287818152713314</v>
      </c>
      <c r="G14" s="878">
        <v>9.0044247787610612</v>
      </c>
      <c r="H14" s="862"/>
      <c r="I14" s="923"/>
    </row>
    <row r="15" spans="1:9" ht="15" customHeight="1">
      <c r="B15" s="873">
        <v>2012</v>
      </c>
      <c r="C15" s="868">
        <v>28</v>
      </c>
      <c r="D15" s="873">
        <v>28</v>
      </c>
      <c r="E15" s="894">
        <v>519</v>
      </c>
      <c r="F15" s="877">
        <v>56.240234375</v>
      </c>
      <c r="G15" s="878">
        <v>10.273603082851638</v>
      </c>
      <c r="H15" s="862"/>
      <c r="I15" s="923"/>
    </row>
    <row r="16" spans="1:9" ht="15" customHeight="1">
      <c r="B16" s="873">
        <v>2013</v>
      </c>
      <c r="C16" s="868">
        <v>28</v>
      </c>
      <c r="D16" s="873">
        <v>28</v>
      </c>
      <c r="E16" s="894">
        <v>576</v>
      </c>
      <c r="F16" s="877">
        <v>49.126766091051806</v>
      </c>
      <c r="G16" s="878">
        <v>8.3524305555555554</v>
      </c>
      <c r="H16" s="862"/>
      <c r="I16" s="923"/>
    </row>
    <row r="17" spans="2:9" ht="15" customHeight="1">
      <c r="B17" s="873">
        <v>2014</v>
      </c>
      <c r="C17" s="868">
        <v>28</v>
      </c>
      <c r="D17" s="1043">
        <v>28.076712328767123</v>
      </c>
      <c r="E17" s="894">
        <v>608</v>
      </c>
      <c r="F17" s="877">
        <v>56.391491022638562</v>
      </c>
      <c r="G17" s="878">
        <v>8.1891447368421044</v>
      </c>
      <c r="H17" s="862"/>
      <c r="I17" s="923"/>
    </row>
    <row r="18" spans="2:9" ht="15" customHeight="1">
      <c r="B18" s="879">
        <f>+'83'!B18</f>
        <v>2015</v>
      </c>
      <c r="C18" s="895">
        <v>28</v>
      </c>
      <c r="D18" s="896">
        <f>+'81'!R12/365</f>
        <v>28</v>
      </c>
      <c r="E18" s="897">
        <f>+'81'!O12</f>
        <v>568</v>
      </c>
      <c r="F18" s="882">
        <f>+'81'!V12</f>
        <v>56.193737769080229</v>
      </c>
      <c r="G18" s="883">
        <f>+'81'!W12</f>
        <v>12.40669014084507</v>
      </c>
      <c r="H18" s="862"/>
      <c r="I18" s="923"/>
    </row>
    <row r="19" spans="2:9" ht="15" customHeight="1">
      <c r="B19" s="1160" t="s">
        <v>1341</v>
      </c>
      <c r="C19" s="884"/>
      <c r="D19" s="884"/>
      <c r="E19" s="870"/>
      <c r="F19" s="870"/>
      <c r="G19" s="885"/>
      <c r="H19" s="862"/>
      <c r="I19" s="923"/>
    </row>
    <row r="20" spans="2:9">
      <c r="B20" s="886" t="s">
        <v>923</v>
      </c>
      <c r="C20" s="886"/>
      <c r="D20" s="886"/>
      <c r="E20" s="862"/>
      <c r="F20" s="862"/>
      <c r="G20" s="862"/>
      <c r="H20" s="862"/>
      <c r="I20" s="923"/>
    </row>
    <row r="21" spans="2:9">
      <c r="B21" s="886"/>
      <c r="C21" s="886"/>
      <c r="D21" s="886"/>
      <c r="E21" s="862"/>
      <c r="F21" s="862"/>
      <c r="G21" s="862"/>
      <c r="H21" s="862"/>
      <c r="I21" s="923"/>
    </row>
    <row r="22" spans="2:9">
      <c r="B22" s="886"/>
      <c r="C22" s="886"/>
      <c r="D22" s="886"/>
      <c r="E22" s="862"/>
      <c r="F22" s="862"/>
      <c r="G22" s="862"/>
      <c r="H22" s="862"/>
      <c r="I22" s="923"/>
    </row>
    <row r="23" spans="2:9">
      <c r="B23" s="886"/>
      <c r="C23" s="886"/>
      <c r="D23" s="886"/>
      <c r="E23" s="886"/>
      <c r="F23" s="886"/>
      <c r="G23" s="886"/>
      <c r="H23" s="886"/>
    </row>
    <row r="35" spans="2:7">
      <c r="B35" s="886"/>
      <c r="C35" s="886"/>
      <c r="D35" s="886"/>
      <c r="E35" s="862"/>
      <c r="F35" s="862"/>
      <c r="G35" s="862"/>
    </row>
    <row r="36" spans="2:7">
      <c r="B36" s="886"/>
      <c r="C36" s="886"/>
      <c r="D36" s="886"/>
      <c r="E36" s="862"/>
      <c r="F36" s="862"/>
      <c r="G36" s="862"/>
    </row>
    <row r="37" spans="2:7">
      <c r="B37" s="886"/>
      <c r="C37" s="886"/>
      <c r="D37" s="886"/>
      <c r="E37" s="862"/>
      <c r="F37" s="862"/>
      <c r="G37" s="862"/>
    </row>
    <row r="38" spans="2:7">
      <c r="B38" s="886"/>
      <c r="C38" s="886"/>
      <c r="D38" s="886"/>
      <c r="E38" s="886"/>
      <c r="F38" s="886"/>
      <c r="G38" s="886"/>
    </row>
    <row r="50" spans="2:7">
      <c r="B50" s="886"/>
      <c r="C50" s="886"/>
      <c r="D50" s="886"/>
      <c r="E50" s="862"/>
      <c r="F50" s="862"/>
      <c r="G50" s="862"/>
    </row>
    <row r="51" spans="2:7">
      <c r="B51" s="886"/>
      <c r="C51" s="886"/>
      <c r="D51" s="886"/>
      <c r="E51" s="862"/>
      <c r="F51" s="862"/>
      <c r="G51" s="862"/>
    </row>
    <row r="52" spans="2:7">
      <c r="B52" s="886"/>
      <c r="C52" s="886"/>
      <c r="D52" s="886"/>
      <c r="E52" s="862"/>
      <c r="F52" s="862"/>
      <c r="G52" s="862"/>
    </row>
    <row r="53" spans="2:7">
      <c r="B53" s="886"/>
      <c r="C53" s="886"/>
      <c r="D53" s="886"/>
      <c r="E53" s="886"/>
      <c r="F53" s="886"/>
      <c r="G53" s="886"/>
    </row>
  </sheetData>
  <phoneticPr fontId="56" type="noConversion"/>
  <pageMargins left="0.59055118110236227" right="0.78740157480314965" top="0.78740157480314965" bottom="0.78740157480314965" header="0.51181102362204722" footer="0.51181102362204722"/>
  <pageSetup paperSize="5" scale="95" orientation="portrait" horizontalDpi="300" verticalDpi="300"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workbookViewId="0">
      <selection activeCell="E18" sqref="E18"/>
    </sheetView>
  </sheetViews>
  <sheetFormatPr baseColWidth="10" defaultColWidth="14.85546875" defaultRowHeight="12.75"/>
  <cols>
    <col min="1" max="1" width="11.28515625" style="855" customWidth="1"/>
    <col min="2" max="4" width="9.28515625" style="855" customWidth="1"/>
    <col min="5" max="5" width="15" style="855" customWidth="1"/>
    <col min="6" max="7" width="13.85546875" style="855" customWidth="1"/>
    <col min="8" max="16384" width="14.85546875" style="855"/>
  </cols>
  <sheetData>
    <row r="1" spans="1:9" s="899" customFormat="1">
      <c r="A1" s="852" t="s">
        <v>197</v>
      </c>
      <c r="B1" s="853"/>
      <c r="C1" s="853"/>
      <c r="D1" s="853"/>
      <c r="E1" s="853"/>
      <c r="F1" s="853"/>
      <c r="G1" s="853"/>
      <c r="H1" s="853"/>
      <c r="I1" s="898"/>
    </row>
    <row r="2" spans="1:9" s="899" customFormat="1">
      <c r="A2" s="852"/>
      <c r="B2" s="853"/>
      <c r="C2" s="853"/>
      <c r="D2" s="853"/>
      <c r="E2" s="853"/>
      <c r="F2" s="853"/>
      <c r="G2" s="853"/>
      <c r="H2" s="853"/>
      <c r="I2" s="898"/>
    </row>
    <row r="3" spans="1:9" s="899" customFormat="1">
      <c r="A3" s="852" t="s">
        <v>211</v>
      </c>
      <c r="B3" s="853"/>
      <c r="C3" s="853"/>
      <c r="D3" s="853"/>
      <c r="E3" s="853"/>
      <c r="F3" s="853"/>
      <c r="G3" s="853"/>
      <c r="H3" s="853"/>
      <c r="I3" s="898"/>
    </row>
    <row r="4" spans="1:9" s="899" customFormat="1">
      <c r="A4" s="852" t="str">
        <f>+'87'!A4</f>
        <v>2006  -  2015</v>
      </c>
      <c r="B4" s="853"/>
      <c r="C4" s="853"/>
      <c r="D4" s="853"/>
      <c r="E4" s="853"/>
      <c r="F4" s="853"/>
      <c r="G4" s="853"/>
      <c r="H4" s="853"/>
      <c r="I4" s="898"/>
    </row>
    <row r="5" spans="1:9">
      <c r="B5" s="856"/>
      <c r="C5" s="856"/>
      <c r="D5" s="856"/>
      <c r="E5" s="856"/>
      <c r="F5" s="856"/>
      <c r="G5" s="856"/>
      <c r="H5" s="856"/>
    </row>
    <row r="7" spans="1:9" ht="17.25" customHeight="1">
      <c r="B7" s="857"/>
      <c r="C7" s="858" t="s">
        <v>199</v>
      </c>
      <c r="D7" s="858" t="s">
        <v>200</v>
      </c>
      <c r="E7" s="859" t="s">
        <v>681</v>
      </c>
      <c r="F7" s="860" t="s">
        <v>201</v>
      </c>
      <c r="G7" s="861" t="s">
        <v>202</v>
      </c>
      <c r="H7" s="862"/>
      <c r="I7" s="888"/>
    </row>
    <row r="8" spans="1:9" ht="17.25" customHeight="1">
      <c r="B8" s="889" t="s">
        <v>659</v>
      </c>
      <c r="C8" s="864" t="s">
        <v>203</v>
      </c>
      <c r="D8" s="864" t="s">
        <v>203</v>
      </c>
      <c r="E8" s="865" t="s">
        <v>204</v>
      </c>
      <c r="F8" s="866" t="s">
        <v>205</v>
      </c>
      <c r="G8" s="867" t="s">
        <v>206</v>
      </c>
      <c r="H8" s="862"/>
      <c r="I8" s="888"/>
    </row>
    <row r="9" spans="1:9" ht="17.25" customHeight="1">
      <c r="B9" s="873">
        <v>2006</v>
      </c>
      <c r="C9" s="890">
        <v>415</v>
      </c>
      <c r="D9" s="891">
        <v>386</v>
      </c>
      <c r="E9" s="892">
        <v>954</v>
      </c>
      <c r="F9" s="871">
        <v>97.6</v>
      </c>
      <c r="G9" s="872">
        <v>276.60000000000002</v>
      </c>
      <c r="H9" s="862"/>
      <c r="I9" s="888"/>
    </row>
    <row r="10" spans="1:9" ht="17.25" customHeight="1">
      <c r="B10" s="873">
        <v>2007</v>
      </c>
      <c r="C10" s="868">
        <v>415</v>
      </c>
      <c r="D10" s="873">
        <v>380</v>
      </c>
      <c r="E10" s="874">
        <v>972</v>
      </c>
      <c r="F10" s="871">
        <v>95.8</v>
      </c>
      <c r="G10" s="872">
        <v>195.48</v>
      </c>
      <c r="H10" s="862"/>
      <c r="I10" s="888"/>
    </row>
    <row r="11" spans="1:9" ht="17.25" customHeight="1">
      <c r="B11" s="873">
        <v>2008</v>
      </c>
      <c r="C11" s="868">
        <v>415</v>
      </c>
      <c r="D11" s="873">
        <v>388</v>
      </c>
      <c r="E11" s="874">
        <v>1072</v>
      </c>
      <c r="F11" s="871">
        <v>96.028594694704069</v>
      </c>
      <c r="G11" s="872">
        <v>127.92695473251028</v>
      </c>
      <c r="H11" s="862"/>
      <c r="I11" s="888"/>
    </row>
    <row r="12" spans="1:9" ht="17.25" customHeight="1">
      <c r="B12" s="873">
        <v>2009</v>
      </c>
      <c r="C12" s="868">
        <v>415</v>
      </c>
      <c r="D12" s="873">
        <v>358</v>
      </c>
      <c r="E12" s="892">
        <v>1039</v>
      </c>
      <c r="F12" s="871">
        <v>91.2</v>
      </c>
      <c r="G12" s="872">
        <v>138.77000000000001</v>
      </c>
      <c r="H12" s="862"/>
      <c r="I12" s="888"/>
    </row>
    <row r="13" spans="1:9" ht="15" customHeight="1">
      <c r="B13" s="873">
        <v>2010</v>
      </c>
      <c r="C13" s="868">
        <v>415</v>
      </c>
      <c r="D13" s="873">
        <v>327</v>
      </c>
      <c r="E13" s="892">
        <v>909</v>
      </c>
      <c r="F13" s="871">
        <v>94.4</v>
      </c>
      <c r="G13" s="872">
        <v>95.23</v>
      </c>
      <c r="H13" s="862"/>
      <c r="I13" s="888"/>
    </row>
    <row r="14" spans="1:9" ht="15" customHeight="1">
      <c r="B14" s="873">
        <v>2011</v>
      </c>
      <c r="C14" s="868">
        <v>354</v>
      </c>
      <c r="D14" s="873">
        <v>320</v>
      </c>
      <c r="E14" s="892">
        <v>931</v>
      </c>
      <c r="F14" s="871">
        <v>95.278808501906596</v>
      </c>
      <c r="G14" s="872">
        <v>136.72073039742213</v>
      </c>
      <c r="H14" s="862"/>
      <c r="I14" s="888"/>
    </row>
    <row r="15" spans="1:9" ht="15" customHeight="1">
      <c r="B15" s="873">
        <v>2012</v>
      </c>
      <c r="C15" s="868">
        <v>354</v>
      </c>
      <c r="D15" s="873">
        <v>329</v>
      </c>
      <c r="E15" s="892">
        <v>1001</v>
      </c>
      <c r="F15" s="871">
        <v>92.909454061251665</v>
      </c>
      <c r="G15" s="872">
        <v>117.18181818181819</v>
      </c>
      <c r="H15" s="862"/>
      <c r="I15" s="888"/>
    </row>
    <row r="16" spans="1:9" ht="15" customHeight="1">
      <c r="B16" s="873">
        <v>2013</v>
      </c>
      <c r="C16" s="868">
        <v>354</v>
      </c>
      <c r="D16" s="873">
        <v>321</v>
      </c>
      <c r="E16" s="892">
        <v>970</v>
      </c>
      <c r="F16" s="871">
        <v>94.783931363919919</v>
      </c>
      <c r="G16" s="872">
        <v>121.99072164948454</v>
      </c>
      <c r="H16" s="862"/>
      <c r="I16" s="888"/>
    </row>
    <row r="17" spans="2:9" ht="15" customHeight="1">
      <c r="B17" s="873">
        <v>2014</v>
      </c>
      <c r="C17" s="868">
        <v>354</v>
      </c>
      <c r="D17" s="1043">
        <v>321.42465753424659</v>
      </c>
      <c r="E17" s="892">
        <v>919</v>
      </c>
      <c r="F17" s="871">
        <v>97.723320831912716</v>
      </c>
      <c r="G17" s="872">
        <v>127.86289445048966</v>
      </c>
      <c r="H17" s="862"/>
      <c r="I17" s="888"/>
    </row>
    <row r="18" spans="2:9" ht="15" customHeight="1">
      <c r="B18" s="879">
        <f>+'83'!B18</f>
        <v>2015</v>
      </c>
      <c r="C18" s="895">
        <v>354</v>
      </c>
      <c r="D18" s="896">
        <f>+'82'!R12/365</f>
        <v>320.55616438356162</v>
      </c>
      <c r="E18" s="897">
        <f>+'82'!O12</f>
        <v>873</v>
      </c>
      <c r="F18" s="882">
        <f>+'82'!V12</f>
        <v>94.702699930771004</v>
      </c>
      <c r="G18" s="883">
        <f>+'82'!W12</f>
        <v>124.78006872852234</v>
      </c>
      <c r="H18" s="862"/>
      <c r="I18" s="888"/>
    </row>
    <row r="19" spans="2:9" ht="15" customHeight="1">
      <c r="B19" s="884"/>
      <c r="C19" s="884"/>
      <c r="D19" s="884"/>
      <c r="E19" s="870"/>
      <c r="F19" s="924"/>
      <c r="G19" s="885"/>
      <c r="H19" s="862"/>
      <c r="I19" s="888"/>
    </row>
    <row r="20" spans="2:9" ht="15" customHeight="1">
      <c r="B20" s="884"/>
      <c r="C20" s="884"/>
      <c r="D20" s="884"/>
      <c r="E20" s="870"/>
      <c r="F20" s="870"/>
      <c r="G20" s="885"/>
      <c r="H20" s="862"/>
      <c r="I20" s="888"/>
    </row>
    <row r="21" spans="2:9">
      <c r="B21" s="886"/>
      <c r="C21" s="886"/>
      <c r="D21" s="886"/>
      <c r="E21" s="862"/>
      <c r="F21" s="862"/>
      <c r="G21" s="862"/>
      <c r="H21" s="862"/>
      <c r="I21" s="888"/>
    </row>
    <row r="22" spans="2:9">
      <c r="B22" s="886"/>
      <c r="C22" s="886"/>
      <c r="D22" s="886"/>
      <c r="E22" s="862"/>
      <c r="F22" s="862"/>
      <c r="G22" s="862"/>
      <c r="H22" s="862"/>
      <c r="I22" s="888"/>
    </row>
    <row r="23" spans="2:9">
      <c r="B23" s="886"/>
      <c r="C23" s="886"/>
      <c r="D23" s="886"/>
      <c r="E23" s="886"/>
      <c r="F23" s="886"/>
      <c r="G23" s="886"/>
      <c r="H23" s="886"/>
      <c r="I23" s="888"/>
    </row>
    <row r="35" spans="2:7">
      <c r="B35" s="886"/>
      <c r="C35" s="886"/>
      <c r="D35" s="886"/>
      <c r="E35" s="862"/>
      <c r="F35" s="862"/>
      <c r="G35" s="862"/>
    </row>
    <row r="36" spans="2:7">
      <c r="B36" s="886"/>
      <c r="C36" s="886"/>
      <c r="D36" s="886"/>
      <c r="E36" s="862"/>
      <c r="F36" s="862"/>
      <c r="G36" s="862"/>
    </row>
    <row r="37" spans="2:7">
      <c r="B37" s="886"/>
      <c r="C37" s="886"/>
      <c r="D37" s="886"/>
      <c r="E37" s="862"/>
      <c r="F37" s="862"/>
      <c r="G37" s="862"/>
    </row>
    <row r="38" spans="2:7">
      <c r="B38" s="886"/>
      <c r="C38" s="886"/>
      <c r="D38" s="886"/>
      <c r="E38" s="886"/>
      <c r="F38" s="886"/>
      <c r="G38" s="886"/>
    </row>
    <row r="50" spans="2:7">
      <c r="B50" s="886"/>
      <c r="C50" s="886"/>
      <c r="D50" s="886"/>
      <c r="E50" s="862"/>
      <c r="F50" s="862"/>
      <c r="G50" s="862"/>
    </row>
    <row r="51" spans="2:7">
      <c r="B51" s="886"/>
      <c r="C51" s="886"/>
      <c r="D51" s="886"/>
      <c r="E51" s="862"/>
      <c r="F51" s="862"/>
      <c r="G51" s="862"/>
    </row>
    <row r="52" spans="2:7">
      <c r="B52" s="886"/>
      <c r="C52" s="886"/>
      <c r="D52" s="886"/>
      <c r="E52" s="862"/>
      <c r="F52" s="862"/>
      <c r="G52" s="862"/>
    </row>
    <row r="53" spans="2:7">
      <c r="B53" s="886"/>
      <c r="C53" s="886"/>
      <c r="D53" s="886"/>
      <c r="E53" s="886"/>
      <c r="F53" s="886"/>
      <c r="G53" s="886"/>
    </row>
  </sheetData>
  <phoneticPr fontId="56" type="noConversion"/>
  <pageMargins left="0.59055118110236227" right="0.59055118110236227" top="0.78740157480314965" bottom="0.78740157480314965" header="0.51181102362204722" footer="0.51181102362204722"/>
  <pageSetup paperSize="5" scale="95" orientation="portrait" horizontalDpi="300" verticalDpi="300"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0"/>
  <sheetViews>
    <sheetView topLeftCell="A7" zoomScale="75" workbookViewId="0">
      <selection activeCell="Q48" sqref="Q48"/>
    </sheetView>
  </sheetViews>
  <sheetFormatPr baseColWidth="10" defaultColWidth="11.42578125" defaultRowHeight="12.75"/>
  <cols>
    <col min="1" max="1" width="9.42578125" style="928" customWidth="1"/>
    <col min="2" max="2" width="29.140625" style="928" customWidth="1"/>
    <col min="3" max="3" width="10.28515625" style="928" customWidth="1"/>
    <col min="4" max="4" width="9.85546875" style="928" customWidth="1"/>
    <col min="5" max="5" width="9.7109375" style="928" customWidth="1"/>
    <col min="6" max="6" width="9.28515625" style="928" customWidth="1"/>
    <col min="7" max="7" width="10.140625" style="928" customWidth="1"/>
    <col min="8" max="8" width="9.5703125" style="928" customWidth="1"/>
    <col min="9" max="10" width="9.28515625" style="928" customWidth="1"/>
    <col min="11" max="12" width="9.7109375" style="928" customWidth="1"/>
    <col min="13" max="13" width="10" style="928" customWidth="1"/>
    <col min="14" max="14" width="9" style="928" customWidth="1"/>
    <col min="15" max="15" width="8.5703125" style="928" customWidth="1"/>
    <col min="16" max="16" width="9.140625" style="930" customWidth="1"/>
    <col min="17" max="16384" width="11.42578125" style="928"/>
  </cols>
  <sheetData>
    <row r="1" spans="1:16">
      <c r="A1" s="925" t="s">
        <v>212</v>
      </c>
      <c r="B1" s="925"/>
      <c r="C1" s="926"/>
      <c r="D1" s="926"/>
      <c r="E1" s="926"/>
      <c r="F1" s="926"/>
      <c r="G1" s="926"/>
      <c r="H1" s="926"/>
      <c r="I1" s="926"/>
      <c r="J1" s="926"/>
      <c r="K1" s="926"/>
      <c r="L1" s="926"/>
      <c r="M1" s="926"/>
      <c r="N1" s="926"/>
      <c r="O1" s="926"/>
      <c r="P1" s="927"/>
    </row>
    <row r="2" spans="1:16">
      <c r="A2" s="925"/>
      <c r="B2" s="925"/>
      <c r="C2" s="926"/>
      <c r="D2" s="926"/>
      <c r="E2" s="926"/>
      <c r="F2" s="926"/>
      <c r="G2" s="926"/>
      <c r="H2" s="926"/>
      <c r="I2" s="926"/>
      <c r="J2" s="926"/>
      <c r="K2" s="926"/>
      <c r="L2" s="926"/>
      <c r="M2" s="926"/>
      <c r="N2" s="926"/>
      <c r="O2" s="926"/>
      <c r="P2" s="927"/>
    </row>
    <row r="3" spans="1:16">
      <c r="A3" s="925" t="s">
        <v>1364</v>
      </c>
      <c r="B3" s="925"/>
      <c r="C3" s="926"/>
      <c r="D3" s="926"/>
      <c r="E3" s="926"/>
      <c r="F3" s="926"/>
      <c r="G3" s="926"/>
      <c r="H3" s="926"/>
      <c r="I3" s="926"/>
      <c r="J3" s="926"/>
      <c r="K3" s="926"/>
      <c r="L3" s="926"/>
      <c r="M3" s="926"/>
      <c r="N3" s="926"/>
      <c r="O3" s="926"/>
      <c r="P3" s="927"/>
    </row>
    <row r="4" spans="1:16">
      <c r="A4" s="925" t="s">
        <v>700</v>
      </c>
      <c r="B4" s="925"/>
      <c r="C4" s="926"/>
      <c r="D4" s="926"/>
      <c r="E4" s="926"/>
      <c r="F4" s="926"/>
      <c r="G4" s="926"/>
      <c r="H4" s="926"/>
      <c r="I4" s="926"/>
      <c r="J4" s="926"/>
      <c r="K4" s="926"/>
      <c r="L4" s="926"/>
      <c r="M4" s="926"/>
      <c r="N4" s="926"/>
      <c r="O4" s="926"/>
      <c r="P4" s="927"/>
    </row>
    <row r="5" spans="1:16">
      <c r="A5" s="929"/>
    </row>
    <row r="6" spans="1:16">
      <c r="A6" s="929"/>
    </row>
    <row r="7" spans="1:16" ht="18.75" customHeight="1">
      <c r="A7" s="931" t="s">
        <v>701</v>
      </c>
      <c r="B7" s="932"/>
      <c r="C7" s="933"/>
      <c r="D7" s="934" t="s">
        <v>702</v>
      </c>
      <c r="E7" s="934"/>
      <c r="F7" s="934"/>
      <c r="G7" s="934"/>
      <c r="H7" s="934"/>
      <c r="I7" s="934"/>
      <c r="J7" s="934"/>
      <c r="K7" s="934"/>
      <c r="L7" s="934"/>
      <c r="M7" s="934"/>
      <c r="N7" s="934"/>
      <c r="O7" s="934"/>
      <c r="P7" s="935"/>
    </row>
    <row r="8" spans="1:16" ht="23.25" customHeight="1">
      <c r="A8" s="936" t="s">
        <v>703</v>
      </c>
      <c r="B8" s="937" t="s">
        <v>704</v>
      </c>
      <c r="C8" s="938" t="s">
        <v>705</v>
      </c>
      <c r="D8" s="939" t="s">
        <v>649</v>
      </c>
      <c r="E8" s="940" t="s">
        <v>706</v>
      </c>
      <c r="F8" s="940" t="s">
        <v>707</v>
      </c>
      <c r="G8" s="940" t="s">
        <v>447</v>
      </c>
      <c r="H8" s="938" t="s">
        <v>708</v>
      </c>
      <c r="I8" s="940" t="s">
        <v>709</v>
      </c>
      <c r="J8" s="940" t="s">
        <v>411</v>
      </c>
      <c r="K8" s="940" t="s">
        <v>429</v>
      </c>
      <c r="L8" s="940" t="s">
        <v>434</v>
      </c>
      <c r="M8" s="940" t="s">
        <v>710</v>
      </c>
      <c r="N8" s="940" t="s">
        <v>436</v>
      </c>
      <c r="O8" s="940" t="s">
        <v>711</v>
      </c>
      <c r="P8" s="941" t="s">
        <v>535</v>
      </c>
    </row>
    <row r="9" spans="1:16">
      <c r="A9" s="942"/>
      <c r="B9" s="943"/>
      <c r="C9" s="932"/>
      <c r="D9" s="944"/>
      <c r="E9" s="944"/>
      <c r="F9" s="944"/>
      <c r="G9" s="944"/>
      <c r="H9" s="932"/>
      <c r="I9" s="944"/>
      <c r="J9" s="944"/>
      <c r="K9" s="944"/>
      <c r="L9" s="944"/>
      <c r="M9" s="944"/>
      <c r="N9" s="944"/>
      <c r="O9" s="944"/>
      <c r="P9" s="945"/>
    </row>
    <row r="10" spans="1:16" ht="18" customHeight="1">
      <c r="A10" s="946" t="s">
        <v>738</v>
      </c>
      <c r="B10" s="947" t="s">
        <v>739</v>
      </c>
      <c r="C10" s="948">
        <f>SUM(D10:G10)</f>
        <v>205</v>
      </c>
      <c r="D10" s="949">
        <f>+'91'!D10+'92'!D10+'93'!D10+'94'!D10+'95'!D10</f>
        <v>132</v>
      </c>
      <c r="E10" s="949">
        <f>+'91'!E10+'92'!E10+'93'!E10+'94'!E10+'95'!E10</f>
        <v>32</v>
      </c>
      <c r="F10" s="949">
        <f>+'91'!F10+'92'!F10+'93'!F10+'94'!F10+'95'!F10</f>
        <v>31</v>
      </c>
      <c r="G10" s="949">
        <f>+'91'!G10+'92'!G10+'93'!G10+'94'!G10+'95'!G10</f>
        <v>10</v>
      </c>
      <c r="H10" s="950">
        <f>SUM(I10:N10)</f>
        <v>195</v>
      </c>
      <c r="I10" s="949">
        <f>+'91'!I10+'92'!I10+'93'!I10+'94'!I10+'95'!I10</f>
        <v>82</v>
      </c>
      <c r="J10" s="949">
        <f>+'91'!J10+'92'!J10+'93'!J10+'94'!J10+'95'!J10</f>
        <v>23</v>
      </c>
      <c r="K10" s="949">
        <f>+'91'!K10+'92'!K10+'93'!K10+'94'!K10+'95'!K10</f>
        <v>14</v>
      </c>
      <c r="L10" s="949">
        <f>+'91'!L10+'92'!L10+'93'!L10+'94'!L10+'95'!L10</f>
        <v>4</v>
      </c>
      <c r="M10" s="949">
        <f>+'91'!M10+'92'!M10+'93'!M10+'94'!M10+'95'!M10</f>
        <v>49</v>
      </c>
      <c r="N10" s="949">
        <f>+'91'!N10+'92'!N10+'93'!N10+'94'!N10+'95'!N10</f>
        <v>23</v>
      </c>
      <c r="O10" s="949">
        <f>+'91'!O10+'92'!O10+'93'!O10+'94'!O10+'95'!O10</f>
        <v>6</v>
      </c>
      <c r="P10" s="951">
        <f>+O10+H10+C10</f>
        <v>406</v>
      </c>
    </row>
    <row r="11" spans="1:16" ht="20.25" customHeight="1">
      <c r="A11" s="946" t="s">
        <v>714</v>
      </c>
      <c r="B11" s="947" t="s">
        <v>715</v>
      </c>
      <c r="C11" s="948">
        <f t="shared" ref="C11:C27" si="0">SUM(D11:G11)</f>
        <v>474</v>
      </c>
      <c r="D11" s="949">
        <f>+'91'!D11+'92'!D11+'93'!D11+'94'!D11+'95'!D11</f>
        <v>300</v>
      </c>
      <c r="E11" s="949">
        <f>+'91'!E11+'92'!E11+'93'!E11+'94'!E11+'95'!E11</f>
        <v>82</v>
      </c>
      <c r="F11" s="949">
        <f>+'91'!F11+'92'!F11+'93'!F11+'94'!F11+'95'!F11</f>
        <v>53</v>
      </c>
      <c r="G11" s="949">
        <f>+'91'!G11+'92'!G11+'93'!G11+'94'!G11+'95'!G11</f>
        <v>39</v>
      </c>
      <c r="H11" s="950">
        <f t="shared" ref="H11:H27" si="1">SUM(I11:N11)</f>
        <v>834</v>
      </c>
      <c r="I11" s="949">
        <f>+'91'!I11+'92'!I11+'93'!I11+'94'!I11+'95'!I11</f>
        <v>391</v>
      </c>
      <c r="J11" s="949">
        <f>+'91'!J11+'92'!J11+'93'!J11+'94'!J11+'95'!J11</f>
        <v>95</v>
      </c>
      <c r="K11" s="949">
        <f>+'91'!K11+'92'!K11+'93'!K11+'94'!K11+'95'!K11</f>
        <v>84</v>
      </c>
      <c r="L11" s="949">
        <f>+'91'!L11+'92'!L11+'93'!L11+'94'!L11+'95'!L11</f>
        <v>44</v>
      </c>
      <c r="M11" s="949">
        <f>+'91'!M11+'92'!M11+'93'!M11+'94'!M11+'95'!M11</f>
        <v>130</v>
      </c>
      <c r="N11" s="949">
        <f>+'91'!N11+'92'!N11+'93'!N11+'94'!N11+'95'!N11</f>
        <v>90</v>
      </c>
      <c r="O11" s="949">
        <f>+'91'!O11+'92'!O11+'93'!O11+'94'!O11+'95'!O11</f>
        <v>12</v>
      </c>
      <c r="P11" s="951">
        <f t="shared" ref="P11:P27" si="2">+O11+H11+C11</f>
        <v>1320</v>
      </c>
    </row>
    <row r="12" spans="1:16" ht="19.5" customHeight="1">
      <c r="A12" s="946" t="s">
        <v>213</v>
      </c>
      <c r="B12" s="947" t="s">
        <v>214</v>
      </c>
      <c r="C12" s="948">
        <f t="shared" si="0"/>
        <v>44</v>
      </c>
      <c r="D12" s="949">
        <f>+'91'!D12+'92'!D12+'93'!D12+'94'!D12+'95'!D12</f>
        <v>37</v>
      </c>
      <c r="E12" s="949">
        <f>+'91'!E12+'92'!E12+'93'!E12+'94'!E12+'95'!E12</f>
        <v>2</v>
      </c>
      <c r="F12" s="949">
        <f>+'91'!F12+'92'!F12+'93'!F12+'94'!F12+'95'!F12</f>
        <v>4</v>
      </c>
      <c r="G12" s="949">
        <f>+'91'!G12+'92'!G12+'93'!G12+'94'!G12+'95'!G12</f>
        <v>1</v>
      </c>
      <c r="H12" s="950">
        <f t="shared" si="1"/>
        <v>87</v>
      </c>
      <c r="I12" s="949">
        <f>+'91'!I12+'92'!I12+'93'!I12+'94'!I12+'95'!I12</f>
        <v>32</v>
      </c>
      <c r="J12" s="949">
        <f>+'91'!J12+'92'!J12+'93'!J12+'94'!J12+'95'!J12</f>
        <v>21</v>
      </c>
      <c r="K12" s="949">
        <f>+'91'!K12+'92'!K12+'93'!K12+'94'!K12+'95'!K12</f>
        <v>7</v>
      </c>
      <c r="L12" s="949">
        <f>+'91'!L12+'92'!L12+'93'!L12+'94'!L12+'95'!L12</f>
        <v>2</v>
      </c>
      <c r="M12" s="949">
        <f>+'91'!M12+'92'!M12+'93'!M12+'94'!M12+'95'!M12</f>
        <v>15</v>
      </c>
      <c r="N12" s="949">
        <f>+'91'!N12+'92'!N12+'93'!N12+'94'!N12+'95'!N12</f>
        <v>10</v>
      </c>
      <c r="O12" s="949">
        <f>+'91'!O12+'92'!O12+'93'!O12+'94'!O12+'95'!O12</f>
        <v>0</v>
      </c>
      <c r="P12" s="951">
        <f t="shared" si="2"/>
        <v>131</v>
      </c>
    </row>
    <row r="13" spans="1:16" ht="20.25" customHeight="1">
      <c r="A13" s="946" t="s">
        <v>742</v>
      </c>
      <c r="B13" s="947" t="s">
        <v>743</v>
      </c>
      <c r="C13" s="948">
        <f t="shared" si="0"/>
        <v>205</v>
      </c>
      <c r="D13" s="949">
        <f>+'91'!D13+'92'!D13+'93'!D13+'94'!D13+'95'!D13</f>
        <v>134</v>
      </c>
      <c r="E13" s="949">
        <f>+'91'!E13+'92'!E13+'93'!E13+'94'!E13+'95'!E13</f>
        <v>25</v>
      </c>
      <c r="F13" s="949">
        <f>+'91'!F13+'92'!F13+'93'!F13+'94'!F13+'95'!F13</f>
        <v>28</v>
      </c>
      <c r="G13" s="949">
        <f>+'91'!G13+'92'!G13+'93'!G13+'94'!G13+'95'!G13</f>
        <v>18</v>
      </c>
      <c r="H13" s="950">
        <f t="shared" si="1"/>
        <v>453</v>
      </c>
      <c r="I13" s="949">
        <f>+'91'!I13+'92'!I13+'93'!I13+'94'!I13+'95'!I13</f>
        <v>218</v>
      </c>
      <c r="J13" s="949">
        <f>+'91'!J13+'92'!J13+'93'!J13+'94'!J13+'95'!J13</f>
        <v>66</v>
      </c>
      <c r="K13" s="949">
        <f>+'91'!K13+'92'!K13+'93'!K13+'94'!K13+'95'!K13</f>
        <v>34</v>
      </c>
      <c r="L13" s="949">
        <f>+'91'!L13+'92'!L13+'93'!L13+'94'!L13+'95'!L13</f>
        <v>8</v>
      </c>
      <c r="M13" s="949">
        <f>+'91'!M13+'92'!M13+'93'!M13+'94'!M13+'95'!M13</f>
        <v>82</v>
      </c>
      <c r="N13" s="949">
        <f>+'91'!N13+'92'!N13+'93'!N13+'94'!N13+'95'!N13</f>
        <v>45</v>
      </c>
      <c r="O13" s="949">
        <f>+'91'!O13+'92'!O13+'93'!O13+'94'!O13+'95'!O13</f>
        <v>62</v>
      </c>
      <c r="P13" s="951">
        <f t="shared" si="2"/>
        <v>720</v>
      </c>
    </row>
    <row r="14" spans="1:16" ht="19.5" customHeight="1">
      <c r="A14" s="946" t="s">
        <v>215</v>
      </c>
      <c r="B14" s="947" t="s">
        <v>216</v>
      </c>
      <c r="C14" s="948">
        <f t="shared" si="0"/>
        <v>185</v>
      </c>
      <c r="D14" s="949">
        <f>+'91'!D14+'92'!D14+'93'!D14+'94'!D14+'95'!D14</f>
        <v>138</v>
      </c>
      <c r="E14" s="949">
        <f>+'91'!E14+'92'!E14+'93'!E14+'94'!E14+'95'!E14</f>
        <v>30</v>
      </c>
      <c r="F14" s="949">
        <f>+'91'!F14+'92'!F14+'93'!F14+'94'!F14+'95'!F14</f>
        <v>10</v>
      </c>
      <c r="G14" s="949">
        <f>+'91'!G14+'92'!G14+'93'!G14+'94'!G14+'95'!G14</f>
        <v>7</v>
      </c>
      <c r="H14" s="950">
        <f t="shared" si="1"/>
        <v>516</v>
      </c>
      <c r="I14" s="949">
        <f>+'91'!I14+'92'!I14+'93'!I14+'94'!I14+'95'!I14</f>
        <v>235</v>
      </c>
      <c r="J14" s="949">
        <f>+'91'!J14+'92'!J14+'93'!J14+'94'!J14+'95'!J14</f>
        <v>154</v>
      </c>
      <c r="K14" s="949">
        <f>+'91'!K14+'92'!K14+'93'!K14+'94'!K14+'95'!K14</f>
        <v>20</v>
      </c>
      <c r="L14" s="949">
        <f>+'91'!L14+'92'!L14+'93'!L14+'94'!L14+'95'!L14</f>
        <v>14</v>
      </c>
      <c r="M14" s="949">
        <f>+'91'!M14+'92'!M14+'93'!M14+'94'!M14+'95'!M14</f>
        <v>55</v>
      </c>
      <c r="N14" s="949">
        <f>+'91'!N14+'92'!N14+'93'!N14+'94'!N14+'95'!N14</f>
        <v>38</v>
      </c>
      <c r="O14" s="949">
        <f>+'91'!O14+'92'!O14+'93'!O14+'94'!O14+'95'!O14</f>
        <v>350</v>
      </c>
      <c r="P14" s="951">
        <f t="shared" si="2"/>
        <v>1051</v>
      </c>
    </row>
    <row r="15" spans="1:16" ht="19.5" customHeight="1">
      <c r="A15" s="946" t="s">
        <v>217</v>
      </c>
      <c r="B15" s="947" t="s">
        <v>218</v>
      </c>
      <c r="C15" s="948">
        <f t="shared" si="0"/>
        <v>122</v>
      </c>
      <c r="D15" s="949">
        <f>+'91'!D15+'92'!D15+'93'!D15+'94'!D15+'95'!D15</f>
        <v>82</v>
      </c>
      <c r="E15" s="949">
        <f>+'91'!E15+'92'!E15+'93'!E15+'94'!E15+'95'!E15</f>
        <v>15</v>
      </c>
      <c r="F15" s="949">
        <f>+'91'!F15+'92'!F15+'93'!F15+'94'!F15+'95'!F15</f>
        <v>11</v>
      </c>
      <c r="G15" s="949">
        <f>+'91'!G15+'92'!G15+'93'!G15+'94'!G15+'95'!G15</f>
        <v>14</v>
      </c>
      <c r="H15" s="950">
        <f t="shared" si="1"/>
        <v>288</v>
      </c>
      <c r="I15" s="949">
        <f>+'91'!I15+'92'!I15+'93'!I15+'94'!I15+'95'!I15</f>
        <v>158</v>
      </c>
      <c r="J15" s="949">
        <f>+'91'!J15+'92'!J15+'93'!J15+'94'!J15+'95'!J15</f>
        <v>27</v>
      </c>
      <c r="K15" s="949">
        <f>+'91'!K15+'92'!K15+'93'!K15+'94'!K15+'95'!K15</f>
        <v>28</v>
      </c>
      <c r="L15" s="949">
        <f>+'91'!L15+'92'!L15+'93'!L15+'94'!L15+'95'!L15</f>
        <v>3</v>
      </c>
      <c r="M15" s="949">
        <f>+'91'!M15+'92'!M15+'93'!M15+'94'!M15+'95'!M15</f>
        <v>35</v>
      </c>
      <c r="N15" s="949">
        <f>+'91'!N15+'92'!N15+'93'!N15+'94'!N15+'95'!N15</f>
        <v>37</v>
      </c>
      <c r="O15" s="949">
        <f>+'91'!O15+'92'!O15+'93'!O15+'94'!O15+'95'!O15</f>
        <v>7</v>
      </c>
      <c r="P15" s="951">
        <f t="shared" si="2"/>
        <v>417</v>
      </c>
    </row>
    <row r="16" spans="1:16" ht="19.5" customHeight="1">
      <c r="A16" s="946" t="s">
        <v>219</v>
      </c>
      <c r="B16" s="947" t="s">
        <v>220</v>
      </c>
      <c r="C16" s="948">
        <f>SUM(D16:G16)</f>
        <v>43</v>
      </c>
      <c r="D16" s="949">
        <f>+'91'!D16+'92'!D16+'93'!D16+'94'!D16+'95'!D16</f>
        <v>26</v>
      </c>
      <c r="E16" s="949">
        <f>+'91'!E16+'92'!E16+'93'!E16+'94'!E16+'95'!E16</f>
        <v>9</v>
      </c>
      <c r="F16" s="949">
        <f>+'91'!F16+'92'!F16+'93'!F16+'94'!F16+'95'!F16</f>
        <v>5</v>
      </c>
      <c r="G16" s="949">
        <f>+'91'!G16+'92'!G16+'93'!G16+'94'!G16+'95'!G16</f>
        <v>3</v>
      </c>
      <c r="H16" s="950">
        <f>SUM(I16:N16)</f>
        <v>65</v>
      </c>
      <c r="I16" s="949">
        <f>+'91'!I16+'92'!I16+'93'!I16+'94'!I16+'95'!I16</f>
        <v>31</v>
      </c>
      <c r="J16" s="949">
        <f>+'91'!J16+'92'!J16+'93'!J16+'94'!J16+'95'!J16</f>
        <v>4</v>
      </c>
      <c r="K16" s="949">
        <f>+'91'!K16+'92'!K16+'93'!K16+'94'!K16+'95'!K16</f>
        <v>8</v>
      </c>
      <c r="L16" s="949">
        <f>+'91'!L16+'92'!L16+'93'!L16+'94'!L16+'95'!L16</f>
        <v>7</v>
      </c>
      <c r="M16" s="949">
        <f>+'91'!M16+'92'!M16+'93'!M16+'94'!M16+'95'!M16</f>
        <v>9</v>
      </c>
      <c r="N16" s="949">
        <f>+'91'!N16+'92'!N16+'93'!N16+'94'!N16+'95'!N16</f>
        <v>6</v>
      </c>
      <c r="O16" s="949">
        <f>+'91'!O16+'92'!O16+'93'!O16+'94'!O16+'95'!O16</f>
        <v>2</v>
      </c>
      <c r="P16" s="951">
        <f>+O16+H16+C16</f>
        <v>110</v>
      </c>
    </row>
    <row r="17" spans="1:16" ht="20.25" customHeight="1">
      <c r="A17" s="946" t="s">
        <v>712</v>
      </c>
      <c r="B17" s="947" t="s">
        <v>713</v>
      </c>
      <c r="C17" s="948">
        <f t="shared" si="0"/>
        <v>730</v>
      </c>
      <c r="D17" s="949">
        <f>+'91'!D17+'92'!D17+'93'!D17+'94'!D17+'95'!D17</f>
        <v>488</v>
      </c>
      <c r="E17" s="949">
        <f>+'91'!E17+'92'!E17+'93'!E17+'94'!E17+'95'!E17</f>
        <v>105</v>
      </c>
      <c r="F17" s="949">
        <f>+'91'!F17+'92'!F17+'93'!F17+'94'!F17+'95'!F17</f>
        <v>74</v>
      </c>
      <c r="G17" s="949">
        <f>+'91'!G17+'92'!G17+'93'!G17+'94'!G17+'95'!G17</f>
        <v>63</v>
      </c>
      <c r="H17" s="950">
        <f t="shared" si="1"/>
        <v>1345</v>
      </c>
      <c r="I17" s="949">
        <f>+'91'!I17+'92'!I17+'93'!I17+'94'!I17+'95'!I17</f>
        <v>640</v>
      </c>
      <c r="J17" s="949">
        <f>+'91'!J17+'92'!J17+'93'!J17+'94'!J17+'95'!J17</f>
        <v>133</v>
      </c>
      <c r="K17" s="949">
        <f>+'91'!K17+'92'!K17+'93'!K17+'94'!K17+'95'!K17</f>
        <v>153</v>
      </c>
      <c r="L17" s="949">
        <f>+'91'!L17+'92'!L17+'93'!L17+'94'!L17+'95'!L17</f>
        <v>57</v>
      </c>
      <c r="M17" s="949">
        <f>+'91'!M17+'92'!M17+'93'!M17+'94'!M17+'95'!M17</f>
        <v>202</v>
      </c>
      <c r="N17" s="949">
        <f>+'91'!N17+'92'!N17+'93'!N17+'94'!N17+'95'!N17</f>
        <v>160</v>
      </c>
      <c r="O17" s="949">
        <f>+'91'!O17+'92'!O17+'93'!O17+'94'!O17+'95'!O17</f>
        <v>37</v>
      </c>
      <c r="P17" s="951">
        <f t="shared" si="2"/>
        <v>2112</v>
      </c>
    </row>
    <row r="18" spans="1:16" ht="19.5" customHeight="1">
      <c r="A18" s="946" t="s">
        <v>716</v>
      </c>
      <c r="B18" s="947" t="s">
        <v>717</v>
      </c>
      <c r="C18" s="948">
        <f t="shared" si="0"/>
        <v>598</v>
      </c>
      <c r="D18" s="949">
        <f>+'91'!D18+'92'!D18+'93'!D18+'94'!D18+'95'!D18</f>
        <v>374</v>
      </c>
      <c r="E18" s="949">
        <f>+'91'!E18+'92'!E18+'93'!E18+'94'!E18+'95'!E18</f>
        <v>92</v>
      </c>
      <c r="F18" s="949">
        <f>+'91'!F18+'92'!F18+'93'!F18+'94'!F18+'95'!F18</f>
        <v>72</v>
      </c>
      <c r="G18" s="949">
        <f>+'91'!G18+'92'!G18+'93'!G18+'94'!G18+'95'!G18</f>
        <v>60</v>
      </c>
      <c r="H18" s="950">
        <f t="shared" si="1"/>
        <v>1474</v>
      </c>
      <c r="I18" s="949">
        <f>+'91'!I18+'92'!I18+'93'!I18+'94'!I18+'95'!I18</f>
        <v>495</v>
      </c>
      <c r="J18" s="949">
        <f>+'91'!J18+'92'!J18+'93'!J18+'94'!J18+'95'!J18</f>
        <v>172</v>
      </c>
      <c r="K18" s="949">
        <f>+'91'!K18+'92'!K18+'93'!K18+'94'!K18+'95'!K18</f>
        <v>99</v>
      </c>
      <c r="L18" s="949">
        <f>+'91'!L18+'92'!L18+'93'!L18+'94'!L18+'95'!L18</f>
        <v>62</v>
      </c>
      <c r="M18" s="949">
        <f>+'91'!M18+'92'!M18+'93'!M18+'94'!M18+'95'!M18</f>
        <v>389</v>
      </c>
      <c r="N18" s="949">
        <f>+'91'!N18+'92'!N18+'93'!N18+'94'!N18+'95'!N18</f>
        <v>257</v>
      </c>
      <c r="O18" s="949">
        <f>+'91'!O18+'92'!O18+'93'!O18+'94'!O18+'95'!O18</f>
        <v>21</v>
      </c>
      <c r="P18" s="951">
        <f t="shared" si="2"/>
        <v>2093</v>
      </c>
    </row>
    <row r="19" spans="1:16" ht="19.5" customHeight="1">
      <c r="A19" s="946" t="s">
        <v>734</v>
      </c>
      <c r="B19" s="947" t="s">
        <v>735</v>
      </c>
      <c r="C19" s="948">
        <f t="shared" si="0"/>
        <v>1315</v>
      </c>
      <c r="D19" s="949">
        <f>+'91'!D19+'92'!D19+'93'!D19+'94'!D19+'95'!D19</f>
        <v>863</v>
      </c>
      <c r="E19" s="949">
        <f>+'91'!E19+'92'!E19+'93'!E19+'94'!E19+'95'!E19</f>
        <v>195</v>
      </c>
      <c r="F19" s="949">
        <f>+'91'!F19+'92'!F19+'93'!F19+'94'!F19+'95'!F19</f>
        <v>132</v>
      </c>
      <c r="G19" s="949">
        <f>+'91'!G19+'92'!G19+'93'!G19+'94'!G19+'95'!G19</f>
        <v>125</v>
      </c>
      <c r="H19" s="950">
        <f t="shared" si="1"/>
        <v>2281</v>
      </c>
      <c r="I19" s="949">
        <f>+'91'!I19+'92'!I19+'93'!I19+'94'!I19+'95'!I19</f>
        <v>1040</v>
      </c>
      <c r="J19" s="949">
        <f>+'91'!J19+'92'!J19+'93'!J19+'94'!J19+'95'!J19</f>
        <v>225</v>
      </c>
      <c r="K19" s="949">
        <f>+'91'!K19+'92'!K19+'93'!K19+'94'!K19+'95'!K19</f>
        <v>350</v>
      </c>
      <c r="L19" s="949">
        <f>+'91'!L19+'92'!L19+'93'!L19+'94'!L19+'95'!L19</f>
        <v>94</v>
      </c>
      <c r="M19" s="949">
        <f>+'91'!M19+'92'!M19+'93'!M19+'94'!M19+'95'!M19</f>
        <v>307</v>
      </c>
      <c r="N19" s="949">
        <f>+'91'!N19+'92'!N19+'93'!N19+'94'!N19+'95'!N19</f>
        <v>265</v>
      </c>
      <c r="O19" s="949">
        <f>+'91'!O19+'92'!O19+'93'!O19+'94'!O19+'95'!O19</f>
        <v>62</v>
      </c>
      <c r="P19" s="951">
        <f t="shared" si="2"/>
        <v>3658</v>
      </c>
    </row>
    <row r="20" spans="1:16" ht="18.75" customHeight="1">
      <c r="A20" s="946" t="s">
        <v>221</v>
      </c>
      <c r="B20" s="947" t="s">
        <v>222</v>
      </c>
      <c r="C20" s="948">
        <f t="shared" si="0"/>
        <v>110</v>
      </c>
      <c r="D20" s="949">
        <f>+'91'!D20+'92'!D20+'93'!D20+'94'!D20+'95'!D20</f>
        <v>78</v>
      </c>
      <c r="E20" s="949">
        <f>+'91'!E20+'92'!E20+'93'!E20+'94'!E20+'95'!E20</f>
        <v>13</v>
      </c>
      <c r="F20" s="949">
        <f>+'91'!F20+'92'!F20+'93'!F20+'94'!F20+'95'!F20</f>
        <v>9</v>
      </c>
      <c r="G20" s="949">
        <f>+'91'!G20+'92'!G20+'93'!G20+'94'!G20+'95'!G20</f>
        <v>10</v>
      </c>
      <c r="H20" s="950">
        <f t="shared" si="1"/>
        <v>267</v>
      </c>
      <c r="I20" s="949">
        <f>+'91'!I20+'92'!I20+'93'!I20+'94'!I20+'95'!I20</f>
        <v>111</v>
      </c>
      <c r="J20" s="949">
        <f>+'91'!J20+'92'!J20+'93'!J20+'94'!J20+'95'!J20</f>
        <v>36</v>
      </c>
      <c r="K20" s="949">
        <f>+'91'!K20+'92'!K20+'93'!K20+'94'!K20+'95'!K20</f>
        <v>11</v>
      </c>
      <c r="L20" s="949">
        <f>+'91'!L20+'92'!L20+'93'!L20+'94'!L20+'95'!L20</f>
        <v>12</v>
      </c>
      <c r="M20" s="949">
        <f>+'91'!M20+'92'!M20+'93'!M20+'94'!M20+'95'!M20</f>
        <v>63</v>
      </c>
      <c r="N20" s="949">
        <f>+'91'!N20+'92'!N20+'93'!N20+'94'!N20+'95'!N20</f>
        <v>34</v>
      </c>
      <c r="O20" s="949">
        <f>+'91'!O20+'92'!O20+'93'!O20+'94'!O20+'95'!O20</f>
        <v>2</v>
      </c>
      <c r="P20" s="951">
        <f t="shared" si="2"/>
        <v>379</v>
      </c>
    </row>
    <row r="21" spans="1:16" ht="19.5" customHeight="1">
      <c r="A21" s="946" t="s">
        <v>223</v>
      </c>
      <c r="B21" s="947" t="s">
        <v>224</v>
      </c>
      <c r="C21" s="948">
        <f t="shared" si="0"/>
        <v>448</v>
      </c>
      <c r="D21" s="949">
        <f>+'91'!D21+'92'!D21+'93'!D21+'94'!D21+'95'!D21</f>
        <v>275</v>
      </c>
      <c r="E21" s="949">
        <f>+'91'!E21+'92'!E21+'93'!E21+'94'!E21+'95'!E21</f>
        <v>80</v>
      </c>
      <c r="F21" s="949">
        <f>+'91'!F21+'92'!F21+'93'!F21+'94'!F21+'95'!F21</f>
        <v>46</v>
      </c>
      <c r="G21" s="949">
        <f>+'91'!G21+'92'!G21+'93'!G21+'94'!G21+'95'!G21</f>
        <v>47</v>
      </c>
      <c r="H21" s="950">
        <f t="shared" si="1"/>
        <v>573</v>
      </c>
      <c r="I21" s="949">
        <f>+'91'!I21+'92'!I21+'93'!I21+'94'!I21+'95'!I21</f>
        <v>265</v>
      </c>
      <c r="J21" s="949">
        <f>+'91'!J21+'92'!J21+'93'!J21+'94'!J21+'95'!J21</f>
        <v>51</v>
      </c>
      <c r="K21" s="949">
        <f>+'91'!K21+'92'!K21+'93'!K21+'94'!K21+'95'!K21</f>
        <v>56</v>
      </c>
      <c r="L21" s="949">
        <f>+'91'!L21+'92'!L21+'93'!L21+'94'!L21+'95'!L21</f>
        <v>28</v>
      </c>
      <c r="M21" s="949">
        <f>+'91'!M21+'92'!M21+'93'!M21+'94'!M21+'95'!M21</f>
        <v>114</v>
      </c>
      <c r="N21" s="949">
        <f>+'91'!N21+'92'!N21+'93'!N21+'94'!N21+'95'!N21</f>
        <v>59</v>
      </c>
      <c r="O21" s="949">
        <f>+'91'!O21+'92'!O21+'93'!O21+'94'!O21+'95'!O21</f>
        <v>12</v>
      </c>
      <c r="P21" s="951">
        <f t="shared" si="2"/>
        <v>1033</v>
      </c>
    </row>
    <row r="22" spans="1:16" ht="19.5" customHeight="1">
      <c r="A22" s="946" t="s">
        <v>736</v>
      </c>
      <c r="B22" s="947" t="s">
        <v>737</v>
      </c>
      <c r="C22" s="948">
        <f t="shared" si="0"/>
        <v>817</v>
      </c>
      <c r="D22" s="949">
        <f>+'91'!D22+'92'!D22+'93'!D22+'94'!D22+'95'!D22</f>
        <v>492</v>
      </c>
      <c r="E22" s="949">
        <f>+'91'!E22+'92'!E22+'93'!E22+'94'!E22+'95'!E22</f>
        <v>155</v>
      </c>
      <c r="F22" s="949">
        <f>+'91'!F22+'92'!F22+'93'!F22+'94'!F22+'95'!F22</f>
        <v>97</v>
      </c>
      <c r="G22" s="949">
        <f>+'91'!G22+'92'!G22+'93'!G22+'94'!G22+'95'!G22</f>
        <v>73</v>
      </c>
      <c r="H22" s="950">
        <f t="shared" si="1"/>
        <v>1423</v>
      </c>
      <c r="I22" s="949">
        <f>+'91'!I22+'92'!I22+'93'!I22+'94'!I22+'95'!I22</f>
        <v>673</v>
      </c>
      <c r="J22" s="949">
        <f>+'91'!J22+'92'!J22+'93'!J22+'94'!J22+'95'!J22</f>
        <v>173</v>
      </c>
      <c r="K22" s="949">
        <f>+'91'!K22+'92'!K22+'93'!K22+'94'!K22+'95'!K22</f>
        <v>138</v>
      </c>
      <c r="L22" s="949">
        <f>+'91'!L22+'92'!L22+'93'!L22+'94'!L22+'95'!L22</f>
        <v>53</v>
      </c>
      <c r="M22" s="949">
        <f>+'91'!M22+'92'!M22+'93'!M22+'94'!M22+'95'!M22</f>
        <v>241</v>
      </c>
      <c r="N22" s="949">
        <f>+'91'!N22+'92'!N22+'93'!N22+'94'!N22+'95'!N22</f>
        <v>145</v>
      </c>
      <c r="O22" s="949">
        <f>+'91'!O22+'92'!O22+'93'!O22+'94'!O22+'95'!O22</f>
        <v>50</v>
      </c>
      <c r="P22" s="951">
        <f t="shared" si="2"/>
        <v>2290</v>
      </c>
    </row>
    <row r="23" spans="1:16" ht="18.75" customHeight="1">
      <c r="A23" s="946" t="s">
        <v>225</v>
      </c>
      <c r="B23" s="947" t="s">
        <v>226</v>
      </c>
      <c r="C23" s="948">
        <f t="shared" si="0"/>
        <v>1979</v>
      </c>
      <c r="D23" s="949">
        <f>+'91'!D23+'92'!D23+'93'!D23+'94'!D23+'95'!D23</f>
        <v>1253</v>
      </c>
      <c r="E23" s="949">
        <f>+'91'!E23+'92'!E23+'93'!E23+'94'!E23+'95'!E23</f>
        <v>289</v>
      </c>
      <c r="F23" s="949">
        <f>+'91'!F23+'92'!F23+'93'!F23+'94'!F23+'95'!F23</f>
        <v>253</v>
      </c>
      <c r="G23" s="949">
        <f>+'91'!G23+'92'!G23+'93'!G23+'94'!G23+'95'!G23</f>
        <v>184</v>
      </c>
      <c r="H23" s="950">
        <f t="shared" si="1"/>
        <v>2772</v>
      </c>
      <c r="I23" s="949">
        <f>+'91'!I23+'92'!I23+'93'!I23+'94'!I23+'95'!I23</f>
        <v>1441</v>
      </c>
      <c r="J23" s="949">
        <f>+'91'!J23+'92'!J23+'93'!J23+'94'!J23+'95'!J23</f>
        <v>209</v>
      </c>
      <c r="K23" s="949">
        <f>+'91'!K23+'92'!K23+'93'!K23+'94'!K23+'95'!K23</f>
        <v>440</v>
      </c>
      <c r="L23" s="949">
        <f>+'91'!L23+'92'!L23+'93'!L23+'94'!L23+'95'!L23</f>
        <v>133</v>
      </c>
      <c r="M23" s="949">
        <f>+'91'!M23+'92'!M23+'93'!M23+'94'!M23+'95'!M23</f>
        <v>298</v>
      </c>
      <c r="N23" s="949">
        <f>+'91'!N23+'92'!N23+'93'!N23+'94'!N23+'95'!N23</f>
        <v>251</v>
      </c>
      <c r="O23" s="949">
        <f>+'91'!O23+'92'!O23+'93'!O23+'94'!O23+'95'!O23</f>
        <v>41</v>
      </c>
      <c r="P23" s="951">
        <f t="shared" si="2"/>
        <v>4792</v>
      </c>
    </row>
    <row r="24" spans="1:16" ht="19.5" customHeight="1">
      <c r="A24" s="946" t="s">
        <v>744</v>
      </c>
      <c r="B24" s="947" t="s">
        <v>745</v>
      </c>
      <c r="C24" s="948">
        <f t="shared" si="0"/>
        <v>355</v>
      </c>
      <c r="D24" s="949">
        <f>+'91'!D24+'92'!D24+'93'!D24+'94'!D24+'95'!D24</f>
        <v>255</v>
      </c>
      <c r="E24" s="949">
        <f>+'91'!E24+'92'!E24+'93'!E24+'94'!E24+'95'!E24</f>
        <v>42</v>
      </c>
      <c r="F24" s="949">
        <f>+'91'!F24+'92'!F24+'93'!F24+'94'!F24+'95'!F24</f>
        <v>24</v>
      </c>
      <c r="G24" s="949">
        <f>+'91'!G24+'92'!G24+'93'!G24+'94'!G24+'95'!G24</f>
        <v>34</v>
      </c>
      <c r="H24" s="950">
        <f t="shared" si="1"/>
        <v>292</v>
      </c>
      <c r="I24" s="949">
        <f>+'91'!I24+'92'!I24+'93'!I24+'94'!I24+'95'!I24</f>
        <v>179</v>
      </c>
      <c r="J24" s="949">
        <f>+'91'!J24+'92'!J24+'93'!J24+'94'!J24+'95'!J24</f>
        <v>27</v>
      </c>
      <c r="K24" s="949">
        <f>+'91'!K24+'92'!K24+'93'!K24+'94'!K24+'95'!K24</f>
        <v>30</v>
      </c>
      <c r="L24" s="949">
        <f>+'91'!L24+'92'!L24+'93'!L24+'94'!L24+'95'!L24</f>
        <v>8</v>
      </c>
      <c r="M24" s="949">
        <f>+'91'!M24+'92'!M24+'93'!M24+'94'!M24+'95'!M24</f>
        <v>23</v>
      </c>
      <c r="N24" s="949">
        <f>+'91'!N24+'92'!N24+'93'!N24+'94'!N24+'95'!N24</f>
        <v>25</v>
      </c>
      <c r="O24" s="949">
        <f>+'91'!O24+'92'!O24+'93'!O24+'94'!O24+'95'!O24</f>
        <v>19</v>
      </c>
      <c r="P24" s="951">
        <f t="shared" si="2"/>
        <v>666</v>
      </c>
    </row>
    <row r="25" spans="1:16" ht="20.25" customHeight="1">
      <c r="A25" s="946" t="s">
        <v>746</v>
      </c>
      <c r="B25" s="947" t="s">
        <v>747</v>
      </c>
      <c r="C25" s="948">
        <f t="shared" si="0"/>
        <v>76</v>
      </c>
      <c r="D25" s="949">
        <f>+'91'!D25+'92'!D25+'93'!D25+'94'!D25+'95'!D25</f>
        <v>55</v>
      </c>
      <c r="E25" s="949">
        <f>+'91'!E25+'92'!E25+'93'!E25+'94'!E25+'95'!E25</f>
        <v>11</v>
      </c>
      <c r="F25" s="949">
        <f>+'91'!F25+'92'!F25+'93'!F25+'94'!F25+'95'!F25</f>
        <v>3</v>
      </c>
      <c r="G25" s="949">
        <f>+'91'!G25+'92'!G25+'93'!G25+'94'!G25+'95'!G25</f>
        <v>7</v>
      </c>
      <c r="H25" s="950">
        <f t="shared" si="1"/>
        <v>144</v>
      </c>
      <c r="I25" s="949">
        <f>+'91'!I25+'92'!I25+'93'!I25+'94'!I25+'95'!I25</f>
        <v>79</v>
      </c>
      <c r="J25" s="949">
        <f>+'91'!J25+'92'!J25+'93'!J25+'94'!J25+'95'!J25</f>
        <v>8</v>
      </c>
      <c r="K25" s="949">
        <f>+'91'!K25+'92'!K25+'93'!K25+'94'!K25+'95'!K25</f>
        <v>24</v>
      </c>
      <c r="L25" s="949">
        <f>+'91'!L25+'92'!L25+'93'!L25+'94'!L25+'95'!L25</f>
        <v>4</v>
      </c>
      <c r="M25" s="949">
        <f>+'91'!M25+'92'!M25+'93'!M25+'94'!M25+'95'!M25</f>
        <v>15</v>
      </c>
      <c r="N25" s="949">
        <f>+'91'!N25+'92'!N25+'93'!N25+'94'!N25+'95'!N25</f>
        <v>14</v>
      </c>
      <c r="O25" s="949">
        <f>+'91'!O25+'92'!O25+'93'!O25+'94'!O25+'95'!O25</f>
        <v>4</v>
      </c>
      <c r="P25" s="951">
        <f t="shared" si="2"/>
        <v>224</v>
      </c>
    </row>
    <row r="26" spans="1:16" ht="21.75" customHeight="1">
      <c r="A26" s="946" t="s">
        <v>740</v>
      </c>
      <c r="B26" s="947" t="s">
        <v>761</v>
      </c>
      <c r="C26" s="948">
        <f t="shared" si="0"/>
        <v>150</v>
      </c>
      <c r="D26" s="949">
        <f>+'91'!D26+'92'!D26+'93'!D26+'94'!D26+'95'!D26</f>
        <v>87</v>
      </c>
      <c r="E26" s="949">
        <f>+'91'!E26+'92'!E26+'93'!E26+'94'!E26+'95'!E26</f>
        <v>30</v>
      </c>
      <c r="F26" s="949">
        <f>+'91'!F26+'92'!F26+'93'!F26+'94'!F26+'95'!F26</f>
        <v>20</v>
      </c>
      <c r="G26" s="949">
        <f>+'91'!G26+'92'!G26+'93'!G26+'94'!G26+'95'!G26</f>
        <v>13</v>
      </c>
      <c r="H26" s="950">
        <f t="shared" si="1"/>
        <v>136</v>
      </c>
      <c r="I26" s="949">
        <f>+'91'!I26+'92'!I26+'93'!I26+'94'!I26+'95'!I26</f>
        <v>37</v>
      </c>
      <c r="J26" s="949">
        <f>+'91'!J26+'92'!J26+'93'!J26+'94'!J26+'95'!J26</f>
        <v>27</v>
      </c>
      <c r="K26" s="949">
        <f>+'91'!K26+'92'!K26+'93'!K26+'94'!K26+'95'!K26</f>
        <v>5</v>
      </c>
      <c r="L26" s="949">
        <f>+'91'!L26+'92'!L26+'93'!L26+'94'!L26+'95'!L26</f>
        <v>2</v>
      </c>
      <c r="M26" s="949">
        <f>+'91'!M26+'92'!M26+'93'!M26+'94'!M26+'95'!M26</f>
        <v>43</v>
      </c>
      <c r="N26" s="949">
        <f>+'91'!N26+'92'!N26+'93'!N26+'94'!N26+'95'!N26</f>
        <v>22</v>
      </c>
      <c r="O26" s="949">
        <f>+'91'!O26+'92'!O26+'93'!O26+'94'!O26+'95'!O26</f>
        <v>5</v>
      </c>
      <c r="P26" s="951">
        <f t="shared" si="2"/>
        <v>291</v>
      </c>
    </row>
    <row r="27" spans="1:16" ht="27.75" customHeight="1">
      <c r="A27" s="946" t="s">
        <v>732</v>
      </c>
      <c r="B27" s="952" t="s">
        <v>227</v>
      </c>
      <c r="C27" s="948">
        <f t="shared" si="0"/>
        <v>695</v>
      </c>
      <c r="D27" s="949">
        <f>+'91'!D27+'92'!D27+'93'!D27+'94'!D27+'95'!D27</f>
        <v>451</v>
      </c>
      <c r="E27" s="949">
        <f>+'91'!E27+'92'!E27+'93'!E27+'94'!E27+'95'!E27</f>
        <v>124</v>
      </c>
      <c r="F27" s="949">
        <f>+'91'!F27+'92'!F27+'93'!F27+'94'!F27+'95'!F27</f>
        <v>61</v>
      </c>
      <c r="G27" s="949">
        <f>+'91'!G27+'92'!G27+'93'!G27+'94'!G27+'95'!G27</f>
        <v>59</v>
      </c>
      <c r="H27" s="950">
        <f t="shared" si="1"/>
        <v>1204</v>
      </c>
      <c r="I27" s="949">
        <f>+'91'!I27+'92'!I27+'93'!I27+'94'!I27+'95'!I27</f>
        <v>534</v>
      </c>
      <c r="J27" s="949">
        <f>+'91'!J27+'92'!J27+'93'!J27+'94'!J27+'95'!J27</f>
        <v>160</v>
      </c>
      <c r="K27" s="949">
        <f>+'91'!K27+'92'!K27+'93'!K27+'94'!K27+'95'!K27</f>
        <v>104</v>
      </c>
      <c r="L27" s="949">
        <f>+'91'!L27+'92'!L27+'93'!L27+'94'!L27+'95'!L27</f>
        <v>50</v>
      </c>
      <c r="M27" s="949">
        <f>+'91'!M27+'92'!M27+'93'!M27+'94'!M27+'95'!M27</f>
        <v>198</v>
      </c>
      <c r="N27" s="949">
        <f>+'91'!N27+'92'!N27+'93'!N27+'94'!N27+'95'!N27</f>
        <v>158</v>
      </c>
      <c r="O27" s="949">
        <f>+'91'!O27+'92'!O27+'93'!O27+'94'!O27+'95'!O27</f>
        <v>73</v>
      </c>
      <c r="P27" s="951">
        <f t="shared" si="2"/>
        <v>1972</v>
      </c>
    </row>
    <row r="28" spans="1:16" ht="21.75" customHeight="1">
      <c r="A28" s="953"/>
      <c r="B28" s="953" t="s">
        <v>863</v>
      </c>
      <c r="C28" s="954">
        <f>SUM(C10:C27)</f>
        <v>8551</v>
      </c>
      <c r="D28" s="955">
        <f t="shared" ref="D28:P28" si="3">SUM(D10:D27)</f>
        <v>5520</v>
      </c>
      <c r="E28" s="955">
        <f t="shared" si="3"/>
        <v>1331</v>
      </c>
      <c r="F28" s="955">
        <f t="shared" si="3"/>
        <v>933</v>
      </c>
      <c r="G28" s="955">
        <f t="shared" si="3"/>
        <v>767</v>
      </c>
      <c r="H28" s="956">
        <f t="shared" si="3"/>
        <v>14349</v>
      </c>
      <c r="I28" s="955">
        <f t="shared" si="3"/>
        <v>6641</v>
      </c>
      <c r="J28" s="955">
        <f t="shared" si="3"/>
        <v>1611</v>
      </c>
      <c r="K28" s="955">
        <f t="shared" si="3"/>
        <v>1605</v>
      </c>
      <c r="L28" s="955">
        <f t="shared" si="3"/>
        <v>585</v>
      </c>
      <c r="M28" s="955">
        <f t="shared" si="3"/>
        <v>2268</v>
      </c>
      <c r="N28" s="955">
        <f t="shared" si="3"/>
        <v>1639</v>
      </c>
      <c r="O28" s="955">
        <f t="shared" si="3"/>
        <v>765</v>
      </c>
      <c r="P28" s="957">
        <f t="shared" si="3"/>
        <v>23665</v>
      </c>
    </row>
    <row r="29" spans="1:16" ht="21.75" customHeight="1">
      <c r="A29" s="958"/>
      <c r="B29" s="958"/>
      <c r="C29" s="958"/>
      <c r="D29" s="959"/>
      <c r="E29" s="959"/>
      <c r="F29" s="959"/>
      <c r="G29" s="959"/>
      <c r="H29" s="959"/>
      <c r="I29" s="959"/>
      <c r="J29" s="959"/>
      <c r="K29" s="959"/>
      <c r="L29" s="959"/>
      <c r="M29" s="959"/>
      <c r="N29" s="959"/>
      <c r="O29" s="959"/>
      <c r="P29" s="960"/>
    </row>
    <row r="30" spans="1:16" ht="21.75" customHeight="1">
      <c r="A30" s="958"/>
      <c r="B30" s="958"/>
      <c r="C30" s="958"/>
      <c r="D30" s="959"/>
      <c r="E30" s="959"/>
      <c r="F30" s="959"/>
      <c r="G30" s="959"/>
      <c r="H30" s="959"/>
      <c r="I30" s="959"/>
      <c r="J30" s="959"/>
      <c r="K30" s="959"/>
      <c r="L30" s="959"/>
      <c r="M30" s="959"/>
      <c r="N30" s="959"/>
      <c r="O30" s="959"/>
      <c r="P30" s="960"/>
    </row>
    <row r="31" spans="1:16" ht="21.75" customHeight="1">
      <c r="A31" s="958"/>
      <c r="B31" s="958"/>
      <c r="C31" s="958"/>
      <c r="D31" s="959"/>
      <c r="E31" s="959"/>
      <c r="F31" s="959"/>
      <c r="G31" s="959"/>
      <c r="H31" s="959"/>
      <c r="I31" s="959"/>
      <c r="J31" s="959"/>
      <c r="K31" s="959"/>
      <c r="L31" s="959"/>
      <c r="M31" s="959"/>
      <c r="N31" s="959"/>
      <c r="O31" s="959"/>
      <c r="P31" s="960"/>
    </row>
    <row r="32" spans="1:16" ht="15.75" customHeight="1">
      <c r="A32" s="958"/>
      <c r="B32" s="958"/>
      <c r="C32" s="958"/>
      <c r="D32" s="959"/>
      <c r="E32" s="959"/>
      <c r="F32" s="959"/>
      <c r="G32" s="959"/>
      <c r="H32" s="959"/>
      <c r="I32" s="959"/>
      <c r="J32" s="959"/>
      <c r="K32" s="959"/>
      <c r="L32" s="959"/>
      <c r="M32" s="959"/>
      <c r="N32" s="959"/>
      <c r="O32" s="959"/>
      <c r="P32" s="960"/>
    </row>
    <row r="33" spans="1:16" ht="18.75" customHeight="1">
      <c r="A33" s="925" t="s">
        <v>228</v>
      </c>
      <c r="B33" s="961"/>
      <c r="C33" s="962"/>
      <c r="D33" s="962"/>
      <c r="E33" s="962"/>
      <c r="F33" s="962"/>
      <c r="G33" s="962"/>
      <c r="H33" s="962"/>
      <c r="I33" s="962"/>
      <c r="J33" s="962"/>
      <c r="K33" s="962"/>
      <c r="L33" s="962"/>
      <c r="M33" s="962"/>
      <c r="N33" s="962"/>
      <c r="O33" s="962"/>
      <c r="P33" s="963"/>
    </row>
    <row r="34" spans="1:16">
      <c r="A34" s="925"/>
      <c r="B34" s="964"/>
      <c r="C34" s="965"/>
      <c r="D34" s="965"/>
      <c r="E34" s="965"/>
      <c r="F34" s="965"/>
      <c r="G34" s="965"/>
      <c r="H34" s="965"/>
      <c r="I34" s="965"/>
      <c r="J34" s="965"/>
      <c r="K34" s="965"/>
      <c r="L34" s="965"/>
      <c r="M34" s="965"/>
      <c r="N34" s="965"/>
      <c r="O34" s="965"/>
      <c r="P34" s="966"/>
    </row>
    <row r="35" spans="1:16">
      <c r="A35" s="925" t="str">
        <f>+A3</f>
        <v>SERVICIO DE SALUD   ACONCAGUA   2015</v>
      </c>
      <c r="B35" s="964"/>
      <c r="C35" s="965"/>
      <c r="D35" s="965"/>
      <c r="E35" s="965"/>
      <c r="F35" s="965"/>
      <c r="G35" s="965"/>
      <c r="H35" s="965"/>
      <c r="I35" s="965"/>
      <c r="J35" s="965"/>
      <c r="K35" s="965"/>
      <c r="L35" s="965"/>
      <c r="M35" s="965"/>
      <c r="N35" s="965"/>
      <c r="O35" s="965"/>
      <c r="P35" s="966"/>
    </row>
    <row r="36" spans="1:16">
      <c r="A36" s="925" t="s">
        <v>700</v>
      </c>
      <c r="B36" s="964"/>
      <c r="C36" s="965"/>
      <c r="D36" s="965"/>
      <c r="E36" s="965"/>
      <c r="F36" s="965"/>
      <c r="G36" s="965"/>
      <c r="H36" s="965"/>
      <c r="I36" s="965"/>
      <c r="J36" s="965"/>
      <c r="K36" s="965"/>
      <c r="L36" s="965"/>
      <c r="M36" s="965"/>
      <c r="N36" s="965"/>
      <c r="O36" s="965"/>
      <c r="P36" s="966"/>
    </row>
    <row r="37" spans="1:16">
      <c r="A37" s="965"/>
      <c r="B37" s="965"/>
      <c r="C37" s="965"/>
      <c r="D37" s="965"/>
      <c r="E37" s="965"/>
      <c r="F37" s="965"/>
      <c r="G37" s="965"/>
      <c r="H37" s="965"/>
      <c r="I37" s="965"/>
      <c r="J37" s="965"/>
      <c r="K37" s="965"/>
      <c r="L37" s="965"/>
      <c r="M37" s="965"/>
      <c r="N37" s="965"/>
      <c r="O37" s="965"/>
      <c r="P37" s="966"/>
    </row>
    <row r="38" spans="1:16">
      <c r="A38" s="967"/>
      <c r="B38" s="967"/>
      <c r="C38" s="967"/>
      <c r="D38" s="967"/>
      <c r="E38" s="967"/>
      <c r="F38" s="967"/>
      <c r="G38" s="967"/>
      <c r="H38" s="967"/>
      <c r="I38" s="967"/>
      <c r="J38" s="967"/>
      <c r="K38" s="967"/>
      <c r="L38" s="967"/>
      <c r="M38" s="967"/>
      <c r="N38" s="967"/>
      <c r="O38" s="967"/>
      <c r="P38" s="966"/>
    </row>
    <row r="39" spans="1:16" ht="21.75" customHeight="1">
      <c r="A39" s="931" t="s">
        <v>701</v>
      </c>
      <c r="B39" s="932"/>
      <c r="C39" s="934" t="s">
        <v>749</v>
      </c>
      <c r="D39" s="934"/>
      <c r="E39" s="934"/>
      <c r="F39" s="934"/>
      <c r="G39" s="934"/>
      <c r="H39" s="934"/>
      <c r="I39" s="934"/>
      <c r="J39" s="934"/>
      <c r="K39" s="934"/>
      <c r="L39" s="934"/>
      <c r="M39" s="968"/>
      <c r="P39" s="928"/>
    </row>
    <row r="40" spans="1:16" ht="23.25" customHeight="1">
      <c r="A40" s="936" t="s">
        <v>703</v>
      </c>
      <c r="B40" s="937" t="s">
        <v>704</v>
      </c>
      <c r="C40" s="940" t="s">
        <v>751</v>
      </c>
      <c r="D40" s="940" t="s">
        <v>752</v>
      </c>
      <c r="E40" s="940" t="s">
        <v>753</v>
      </c>
      <c r="F40" s="940" t="s">
        <v>754</v>
      </c>
      <c r="G40" s="940" t="s">
        <v>755</v>
      </c>
      <c r="H40" s="940" t="s">
        <v>756</v>
      </c>
      <c r="I40" s="940" t="s">
        <v>757</v>
      </c>
      <c r="J40" s="940" t="s">
        <v>758</v>
      </c>
      <c r="K40" s="940" t="s">
        <v>759</v>
      </c>
      <c r="L40" s="940" t="s">
        <v>760</v>
      </c>
      <c r="M40" s="941" t="s">
        <v>535</v>
      </c>
    </row>
    <row r="41" spans="1:16">
      <c r="A41" s="942"/>
      <c r="B41" s="943"/>
      <c r="C41" s="944"/>
      <c r="D41" s="944"/>
      <c r="E41" s="944"/>
      <c r="F41" s="944"/>
      <c r="G41" s="944"/>
      <c r="H41" s="944"/>
      <c r="I41" s="944"/>
      <c r="J41" s="944"/>
      <c r="K41" s="944"/>
      <c r="L41" s="944"/>
      <c r="M41" s="969"/>
      <c r="P41" s="966"/>
    </row>
    <row r="42" spans="1:16" ht="20.25" customHeight="1">
      <c r="A42" s="946" t="s">
        <v>738</v>
      </c>
      <c r="B42" s="947" t="s">
        <v>739</v>
      </c>
      <c r="C42" s="949">
        <f>+'91'!C41+'92'!C41+'93'!C42+'94'!C42+'95'!C39</f>
        <v>0</v>
      </c>
      <c r="D42" s="949">
        <f>+'91'!D41+'92'!D41+'93'!D42+'94'!D42+'95'!D39</f>
        <v>0</v>
      </c>
      <c r="E42" s="949">
        <f>+'91'!E41+'92'!E41+'93'!E42+'94'!E42+'95'!E39</f>
        <v>19</v>
      </c>
      <c r="F42" s="949">
        <f>+'91'!F41+'92'!F41+'93'!F42+'94'!F42+'95'!F39</f>
        <v>78</v>
      </c>
      <c r="G42" s="949">
        <f>+'91'!G41+'92'!G41+'93'!G42+'94'!G42+'95'!G39</f>
        <v>24</v>
      </c>
      <c r="H42" s="949">
        <f>+'91'!H41+'92'!H41+'93'!H42+'94'!H42+'95'!H39</f>
        <v>20</v>
      </c>
      <c r="I42" s="949">
        <f>+'91'!I41+'92'!I41+'93'!I42+'94'!I42+'95'!I39</f>
        <v>14</v>
      </c>
      <c r="J42" s="949">
        <f>+'91'!J41+'92'!J41+'93'!J42+'94'!J42+'95'!J39</f>
        <v>51</v>
      </c>
      <c r="K42" s="949">
        <f>+'91'!K41+'92'!K41+'93'!K42+'94'!K42+'95'!K39</f>
        <v>61</v>
      </c>
      <c r="L42" s="949">
        <f>+'91'!L41+'92'!L41+'93'!L42+'94'!L42+'95'!L39</f>
        <v>139</v>
      </c>
      <c r="M42" s="951">
        <f>+'91'!M41+'92'!M41+'93'!M42+'94'!M42+'95'!M39</f>
        <v>406</v>
      </c>
    </row>
    <row r="43" spans="1:16" ht="19.5" customHeight="1">
      <c r="A43" s="946" t="s">
        <v>714</v>
      </c>
      <c r="B43" s="947" t="s">
        <v>715</v>
      </c>
      <c r="C43" s="949">
        <f>+'91'!C42+'92'!C42+'93'!C43+'94'!C43+'95'!C40</f>
        <v>0</v>
      </c>
      <c r="D43" s="949">
        <f>+'91'!D42+'92'!D42+'93'!D43+'94'!D43+'95'!D40</f>
        <v>0</v>
      </c>
      <c r="E43" s="949">
        <f>+'91'!E42+'92'!E42+'93'!E43+'94'!E43+'95'!E40</f>
        <v>1</v>
      </c>
      <c r="F43" s="949">
        <f>+'91'!F42+'92'!F42+'93'!F43+'94'!F43+'95'!F40</f>
        <v>13</v>
      </c>
      <c r="G43" s="949">
        <f>+'91'!G42+'92'!G42+'93'!G43+'94'!G43+'95'!G40</f>
        <v>15</v>
      </c>
      <c r="H43" s="949">
        <f>+'91'!H42+'92'!H42+'93'!H43+'94'!H43+'95'!H40</f>
        <v>12</v>
      </c>
      <c r="I43" s="949">
        <f>+'91'!I42+'92'!I42+'93'!I43+'94'!I43+'95'!I40</f>
        <v>17</v>
      </c>
      <c r="J43" s="949">
        <f>+'91'!J42+'92'!J42+'93'!J43+'94'!J43+'95'!J40</f>
        <v>261</v>
      </c>
      <c r="K43" s="949">
        <f>+'91'!K42+'92'!K42+'93'!K43+'94'!K43+'95'!K40</f>
        <v>529</v>
      </c>
      <c r="L43" s="949">
        <f>+'91'!L42+'92'!L42+'93'!L43+'94'!L43+'95'!L40</f>
        <v>472</v>
      </c>
      <c r="M43" s="951">
        <f>+'91'!M42+'92'!M42+'93'!M43+'94'!M43+'95'!M40</f>
        <v>1320</v>
      </c>
    </row>
    <row r="44" spans="1:16" ht="18" customHeight="1">
      <c r="A44" s="946" t="s">
        <v>213</v>
      </c>
      <c r="B44" s="947" t="s">
        <v>214</v>
      </c>
      <c r="C44" s="949">
        <f>+'91'!C43+'92'!C43+'93'!C44+'94'!C44+'95'!C41</f>
        <v>0</v>
      </c>
      <c r="D44" s="949">
        <f>+'91'!D43+'92'!D43+'93'!D44+'94'!D44+'95'!D41</f>
        <v>0</v>
      </c>
      <c r="E44" s="949">
        <f>+'91'!E43+'92'!E43+'93'!E44+'94'!E44+'95'!E41</f>
        <v>1</v>
      </c>
      <c r="F44" s="949">
        <f>+'91'!F43+'92'!F43+'93'!F44+'94'!F44+'95'!F41</f>
        <v>18</v>
      </c>
      <c r="G44" s="949">
        <f>+'91'!G43+'92'!G43+'93'!G44+'94'!G44+'95'!G41</f>
        <v>16</v>
      </c>
      <c r="H44" s="949">
        <f>+'91'!H43+'92'!H43+'93'!H44+'94'!H44+'95'!H41</f>
        <v>6</v>
      </c>
      <c r="I44" s="949">
        <f>+'91'!I43+'92'!I43+'93'!I44+'94'!I44+'95'!I41</f>
        <v>2</v>
      </c>
      <c r="J44" s="949">
        <f>+'91'!J43+'92'!J43+'93'!J44+'94'!J44+'95'!J41</f>
        <v>22</v>
      </c>
      <c r="K44" s="949">
        <f>+'91'!K43+'92'!K43+'93'!K44+'94'!K44+'95'!K41</f>
        <v>25</v>
      </c>
      <c r="L44" s="949">
        <f>+'91'!L43+'92'!L43+'93'!L44+'94'!L44+'95'!L41</f>
        <v>41</v>
      </c>
      <c r="M44" s="951">
        <f>+'91'!M43+'92'!M43+'93'!M44+'94'!M44+'95'!M41</f>
        <v>131</v>
      </c>
    </row>
    <row r="45" spans="1:16" ht="19.5" customHeight="1">
      <c r="A45" s="946" t="s">
        <v>742</v>
      </c>
      <c r="B45" s="947" t="s">
        <v>743</v>
      </c>
      <c r="C45" s="949">
        <f>+'91'!C44+'92'!C44+'93'!C45+'94'!C45+'95'!C42</f>
        <v>0</v>
      </c>
      <c r="D45" s="949">
        <f>+'91'!D44+'92'!D44+'93'!D45+'94'!D45+'95'!D42</f>
        <v>0</v>
      </c>
      <c r="E45" s="949">
        <f>+'91'!E44+'92'!E44+'93'!E45+'94'!E45+'95'!E42</f>
        <v>8</v>
      </c>
      <c r="F45" s="949">
        <f>+'91'!F44+'92'!F44+'93'!F45+'94'!F45+'95'!F42</f>
        <v>4</v>
      </c>
      <c r="G45" s="949">
        <f>+'91'!G44+'92'!G44+'93'!G45+'94'!G45+'95'!G42</f>
        <v>19</v>
      </c>
      <c r="H45" s="949">
        <f>+'91'!H44+'92'!H44+'93'!H45+'94'!H45+'95'!H42</f>
        <v>28</v>
      </c>
      <c r="I45" s="949">
        <f>+'91'!I44+'92'!I44+'93'!I45+'94'!I45+'95'!I42</f>
        <v>18</v>
      </c>
      <c r="J45" s="949">
        <f>+'91'!J44+'92'!J44+'93'!J45+'94'!J45+'95'!J42</f>
        <v>210</v>
      </c>
      <c r="K45" s="949">
        <f>+'91'!K44+'92'!K44+'93'!K45+'94'!K45+'95'!K42</f>
        <v>228</v>
      </c>
      <c r="L45" s="949">
        <f>+'91'!L44+'92'!L44+'93'!L45+'94'!L45+'95'!L42</f>
        <v>205</v>
      </c>
      <c r="M45" s="951">
        <f>+'91'!M44+'92'!M44+'93'!M45+'94'!M45+'95'!M42</f>
        <v>720</v>
      </c>
    </row>
    <row r="46" spans="1:16" ht="19.5" customHeight="1">
      <c r="A46" s="946" t="s">
        <v>215</v>
      </c>
      <c r="B46" s="947" t="s">
        <v>216</v>
      </c>
      <c r="C46" s="949">
        <f>+'91'!C45+'92'!C45+'93'!C46+'94'!C46+'95'!C43</f>
        <v>0</v>
      </c>
      <c r="D46" s="949">
        <f>+'91'!D45+'92'!D45+'93'!D46+'94'!D46+'95'!D43</f>
        <v>0</v>
      </c>
      <c r="E46" s="949">
        <f>+'91'!E45+'92'!E45+'93'!E46+'94'!E46+'95'!E43</f>
        <v>2</v>
      </c>
      <c r="F46" s="949">
        <f>+'91'!F45+'92'!F45+'93'!F46+'94'!F46+'95'!F43</f>
        <v>23</v>
      </c>
      <c r="G46" s="949">
        <f>+'91'!G45+'92'!G45+'93'!G46+'94'!G46+'95'!G43</f>
        <v>3</v>
      </c>
      <c r="H46" s="949">
        <f>+'91'!H45+'92'!H45+'93'!H46+'94'!H46+'95'!H43</f>
        <v>8</v>
      </c>
      <c r="I46" s="949">
        <f>+'91'!I45+'92'!I45+'93'!I46+'94'!I46+'95'!I43</f>
        <v>137</v>
      </c>
      <c r="J46" s="949">
        <f>+'91'!J45+'92'!J45+'93'!J46+'94'!J46+'95'!J43</f>
        <v>466</v>
      </c>
      <c r="K46" s="949">
        <f>+'91'!K45+'92'!K45+'93'!K46+'94'!K46+'95'!K43</f>
        <v>341</v>
      </c>
      <c r="L46" s="949">
        <f>+'91'!L45+'92'!L45+'93'!L46+'94'!L46+'95'!L43</f>
        <v>71</v>
      </c>
      <c r="M46" s="1247">
        <f>+'91'!M45+'92'!M45+'93'!M46+'94'!M46+'95'!M43</f>
        <v>1051</v>
      </c>
    </row>
    <row r="47" spans="1:16" ht="19.5" customHeight="1">
      <c r="A47" s="946" t="s">
        <v>217</v>
      </c>
      <c r="B47" s="947" t="s">
        <v>218</v>
      </c>
      <c r="C47" s="949">
        <f>+'91'!C46+'92'!C46+'93'!C47+'94'!C47+'95'!C44</f>
        <v>0</v>
      </c>
      <c r="D47" s="949">
        <f>+'91'!D46+'92'!D46+'93'!D47+'94'!D47+'95'!D44</f>
        <v>0</v>
      </c>
      <c r="E47" s="949">
        <f>+'91'!E46+'92'!E46+'93'!E47+'94'!E47+'95'!E44</f>
        <v>15</v>
      </c>
      <c r="F47" s="949">
        <f>+'91'!F46+'92'!F46+'93'!F47+'94'!F47+'95'!F44</f>
        <v>45</v>
      </c>
      <c r="G47" s="949">
        <f>+'91'!G46+'92'!G46+'93'!G47+'94'!G47+'95'!G44</f>
        <v>19</v>
      </c>
      <c r="H47" s="949">
        <f>+'91'!H46+'92'!H46+'93'!H47+'94'!H47+'95'!H44</f>
        <v>24</v>
      </c>
      <c r="I47" s="949">
        <f>+'91'!I46+'92'!I46+'93'!I47+'94'!I47+'95'!I44</f>
        <v>21</v>
      </c>
      <c r="J47" s="949">
        <f>+'91'!J46+'92'!J46+'93'!J47+'94'!J47+'95'!J44</f>
        <v>79</v>
      </c>
      <c r="K47" s="949">
        <f>+'91'!K46+'92'!K46+'93'!K47+'94'!K47+'95'!K44</f>
        <v>92</v>
      </c>
      <c r="L47" s="949">
        <f>+'91'!L46+'92'!L46+'93'!L47+'94'!L47+'95'!L44</f>
        <v>122</v>
      </c>
      <c r="M47" s="951">
        <f>+'91'!M46+'92'!M46+'93'!M47+'94'!M47+'95'!M44</f>
        <v>417</v>
      </c>
    </row>
    <row r="48" spans="1:16" ht="19.5" customHeight="1">
      <c r="A48" s="946" t="s">
        <v>219</v>
      </c>
      <c r="B48" s="947" t="s">
        <v>220</v>
      </c>
      <c r="C48" s="949">
        <f>+'91'!C47+'92'!C47+'93'!C48+'94'!C48+'95'!C45</f>
        <v>0</v>
      </c>
      <c r="D48" s="949">
        <f>+'91'!D47+'92'!D47+'93'!D48+'94'!D48+'95'!D45</f>
        <v>0</v>
      </c>
      <c r="E48" s="949">
        <f>+'91'!E47+'92'!E47+'93'!E48+'94'!E48+'95'!E45</f>
        <v>0</v>
      </c>
      <c r="F48" s="949">
        <f>+'91'!F47+'92'!F47+'93'!F48+'94'!F48+'95'!F45</f>
        <v>13</v>
      </c>
      <c r="G48" s="949">
        <f>+'91'!G47+'92'!G47+'93'!G48+'94'!G48+'95'!G45</f>
        <v>6</v>
      </c>
      <c r="H48" s="949">
        <f>+'91'!H47+'92'!H47+'93'!H48+'94'!H48+'95'!H45</f>
        <v>8</v>
      </c>
      <c r="I48" s="949">
        <f>+'91'!I47+'92'!I47+'93'!I48+'94'!I48+'95'!I45</f>
        <v>5</v>
      </c>
      <c r="J48" s="949">
        <f>+'91'!J47+'92'!J47+'93'!J48+'94'!J48+'95'!J45</f>
        <v>15</v>
      </c>
      <c r="K48" s="949">
        <f>+'91'!K47+'92'!K47+'93'!K48+'94'!K48+'95'!K45</f>
        <v>39</v>
      </c>
      <c r="L48" s="949">
        <f>+'91'!L47+'92'!L47+'93'!L48+'94'!L48+'95'!L45</f>
        <v>24</v>
      </c>
      <c r="M48" s="1247">
        <f>+'91'!M47+'92'!M47+'93'!M48+'94'!M48+'95'!M45</f>
        <v>110</v>
      </c>
    </row>
    <row r="49" spans="1:13" ht="18" customHeight="1">
      <c r="A49" s="946" t="s">
        <v>712</v>
      </c>
      <c r="B49" s="947" t="s">
        <v>713</v>
      </c>
      <c r="C49" s="949">
        <f>+'91'!C48+'92'!C48+'93'!C49+'94'!C49+'95'!C46</f>
        <v>0</v>
      </c>
      <c r="D49" s="949">
        <f>+'91'!D48+'92'!D48+'93'!D49+'94'!D49+'95'!D46</f>
        <v>0</v>
      </c>
      <c r="E49" s="949">
        <f>+'91'!E48+'92'!E48+'93'!E49+'94'!E49+'95'!E46</f>
        <v>3</v>
      </c>
      <c r="F49" s="949">
        <f>+'91'!F48+'92'!F48+'93'!F49+'94'!F49+'95'!F46</f>
        <v>9</v>
      </c>
      <c r="G49" s="949">
        <f>+'91'!G48+'92'!G48+'93'!G49+'94'!G49+'95'!G46</f>
        <v>10</v>
      </c>
      <c r="H49" s="949">
        <f>+'91'!H48+'92'!H48+'93'!H49+'94'!H49+'95'!H46</f>
        <v>11</v>
      </c>
      <c r="I49" s="949">
        <f>+'91'!I48+'92'!I48+'93'!I49+'94'!I49+'95'!I46</f>
        <v>19</v>
      </c>
      <c r="J49" s="949">
        <f>+'91'!J48+'92'!J48+'93'!J49+'94'!J49+'95'!J46</f>
        <v>136</v>
      </c>
      <c r="K49" s="949">
        <f>+'91'!K48+'92'!K48+'93'!K49+'94'!K49+'95'!K46</f>
        <v>635</v>
      </c>
      <c r="L49" s="949">
        <f>+'91'!L48+'92'!L48+'93'!L49+'94'!L49+'95'!L46</f>
        <v>1289</v>
      </c>
      <c r="M49" s="951">
        <f>+'91'!M48+'92'!M48+'93'!M49+'94'!M49+'95'!M46</f>
        <v>2112</v>
      </c>
    </row>
    <row r="50" spans="1:13" ht="18.75" customHeight="1">
      <c r="A50" s="946" t="s">
        <v>716</v>
      </c>
      <c r="B50" s="947" t="s">
        <v>717</v>
      </c>
      <c r="C50" s="949">
        <f>+'91'!C49+'92'!C49+'93'!C50+'94'!C50+'95'!C47</f>
        <v>1</v>
      </c>
      <c r="D50" s="949">
        <f>+'91'!D49+'92'!D49+'93'!D50+'94'!D50+'95'!D47</f>
        <v>1</v>
      </c>
      <c r="E50" s="949">
        <f>+'91'!E49+'92'!E49+'93'!E50+'94'!E50+'95'!E47</f>
        <v>199</v>
      </c>
      <c r="F50" s="949">
        <f>+'91'!F49+'92'!F49+'93'!F50+'94'!F50+'95'!F47</f>
        <v>286</v>
      </c>
      <c r="G50" s="949">
        <f>+'91'!G49+'92'!G49+'93'!G50+'94'!G50+'95'!G47</f>
        <v>152</v>
      </c>
      <c r="H50" s="949">
        <f>+'91'!H49+'92'!H49+'93'!H50+'94'!H50+'95'!H47</f>
        <v>35</v>
      </c>
      <c r="I50" s="949">
        <f>+'91'!I49+'92'!I49+'93'!I50+'94'!I50+'95'!I47</f>
        <v>35</v>
      </c>
      <c r="J50" s="949">
        <f>+'91'!J49+'92'!J49+'93'!J50+'94'!J50+'95'!J47</f>
        <v>214</v>
      </c>
      <c r="K50" s="949">
        <f>+'91'!K49+'92'!K49+'93'!K50+'94'!K50+'95'!K47</f>
        <v>266</v>
      </c>
      <c r="L50" s="949">
        <f>+'91'!L49+'92'!L49+'93'!L50+'94'!L50+'95'!L47</f>
        <v>904</v>
      </c>
      <c r="M50" s="951">
        <f>+'91'!M49+'92'!M49+'93'!M50+'94'!M50+'95'!M47</f>
        <v>2093</v>
      </c>
    </row>
    <row r="51" spans="1:13" ht="19.5" customHeight="1">
      <c r="A51" s="946" t="s">
        <v>734</v>
      </c>
      <c r="B51" s="947" t="s">
        <v>735</v>
      </c>
      <c r="C51" s="949">
        <f>+'91'!C50+'92'!C50+'93'!C51+'94'!C51+'95'!C48</f>
        <v>0</v>
      </c>
      <c r="D51" s="949">
        <f>+'91'!D50+'92'!D50+'93'!D51+'94'!D51+'95'!D48</f>
        <v>0</v>
      </c>
      <c r="E51" s="949">
        <f>+'91'!E50+'92'!E50+'93'!E51+'94'!E51+'95'!E48</f>
        <v>25</v>
      </c>
      <c r="F51" s="949">
        <f>+'91'!F50+'92'!F50+'93'!F51+'94'!F51+'95'!F48</f>
        <v>45</v>
      </c>
      <c r="G51" s="949">
        <f>+'91'!G50+'92'!G50+'93'!G51+'94'!G51+'95'!G48</f>
        <v>62</v>
      </c>
      <c r="H51" s="949">
        <f>+'91'!H50+'92'!H50+'93'!H51+'94'!H51+'95'!H48</f>
        <v>103</v>
      </c>
      <c r="I51" s="949">
        <f>+'91'!I50+'92'!I50+'93'!I51+'94'!I51+'95'!I48</f>
        <v>151</v>
      </c>
      <c r="J51" s="949">
        <f>+'91'!J50+'92'!J50+'93'!J51+'94'!J51+'95'!J48</f>
        <v>1089</v>
      </c>
      <c r="K51" s="949">
        <f>+'91'!K50+'92'!K50+'93'!K51+'94'!K51+'95'!K48</f>
        <v>1248</v>
      </c>
      <c r="L51" s="949">
        <f>+'91'!L50+'92'!L50+'93'!L51+'94'!L51+'95'!L48</f>
        <v>935</v>
      </c>
      <c r="M51" s="951">
        <f>+'91'!M50+'92'!M50+'93'!M51+'94'!M51+'95'!M48</f>
        <v>3658</v>
      </c>
    </row>
    <row r="52" spans="1:13" ht="18" customHeight="1">
      <c r="A52" s="946" t="s">
        <v>221</v>
      </c>
      <c r="B52" s="947" t="s">
        <v>222</v>
      </c>
      <c r="C52" s="949">
        <f>+'91'!C51+'92'!C51+'93'!C52+'94'!C52+'95'!C49</f>
        <v>0</v>
      </c>
      <c r="D52" s="949">
        <f>+'91'!D51+'92'!D51+'93'!D52+'94'!D52+'95'!D49</f>
        <v>0</v>
      </c>
      <c r="E52" s="949">
        <f>+'91'!E51+'92'!E51+'93'!E52+'94'!E52+'95'!E49</f>
        <v>1</v>
      </c>
      <c r="F52" s="949">
        <f>+'91'!F51+'92'!F51+'93'!F52+'94'!F52+'95'!F49</f>
        <v>14</v>
      </c>
      <c r="G52" s="949">
        <f>+'91'!G51+'92'!G51+'93'!G52+'94'!G52+'95'!G49</f>
        <v>12</v>
      </c>
      <c r="H52" s="949">
        <f>+'91'!H51+'92'!H51+'93'!H52+'94'!H52+'95'!H49</f>
        <v>12</v>
      </c>
      <c r="I52" s="949">
        <f>+'91'!I51+'92'!I51+'93'!I52+'94'!I52+'95'!I49</f>
        <v>19</v>
      </c>
      <c r="J52" s="949">
        <f>+'91'!J51+'92'!J51+'93'!J52+'94'!J52+'95'!J49</f>
        <v>81</v>
      </c>
      <c r="K52" s="949">
        <f>+'91'!K51+'92'!K51+'93'!K52+'94'!K52+'95'!K49</f>
        <v>102</v>
      </c>
      <c r="L52" s="949">
        <f>+'91'!L51+'92'!L51+'93'!L52+'94'!L52+'95'!L49</f>
        <v>138</v>
      </c>
      <c r="M52" s="951">
        <f>+'91'!M51+'92'!M51+'93'!M52+'94'!M52+'95'!M49</f>
        <v>379</v>
      </c>
    </row>
    <row r="53" spans="1:13" ht="19.5" customHeight="1">
      <c r="A53" s="946" t="s">
        <v>223</v>
      </c>
      <c r="B53" s="947" t="s">
        <v>224</v>
      </c>
      <c r="C53" s="949">
        <f>+'91'!C52+'92'!C52+'93'!C53+'94'!C53+'95'!C50</f>
        <v>0</v>
      </c>
      <c r="D53" s="949">
        <f>+'91'!D52+'92'!D52+'93'!D53+'94'!D53+'95'!D50</f>
        <v>0</v>
      </c>
      <c r="E53" s="949">
        <f>+'91'!E52+'92'!E52+'93'!E53+'94'!E53+'95'!E50</f>
        <v>1</v>
      </c>
      <c r="F53" s="949">
        <f>+'91'!F52+'92'!F52+'93'!F53+'94'!F53+'95'!F50</f>
        <v>13</v>
      </c>
      <c r="G53" s="949">
        <f>+'91'!G52+'92'!G52+'93'!G53+'94'!G53+'95'!G50</f>
        <v>19</v>
      </c>
      <c r="H53" s="949">
        <f>+'91'!H52+'92'!H52+'93'!H53+'94'!H53+'95'!H50</f>
        <v>45</v>
      </c>
      <c r="I53" s="949">
        <f>+'91'!I52+'92'!I52+'93'!I53+'94'!I53+'95'!I50</f>
        <v>33</v>
      </c>
      <c r="J53" s="949">
        <f>+'91'!J52+'92'!J52+'93'!J53+'94'!J53+'95'!J50</f>
        <v>235</v>
      </c>
      <c r="K53" s="949">
        <f>+'91'!K52+'92'!K52+'93'!K53+'94'!K53+'95'!K50</f>
        <v>430</v>
      </c>
      <c r="L53" s="949">
        <f>+'91'!L52+'92'!L52+'93'!L53+'94'!L53+'95'!L50</f>
        <v>257</v>
      </c>
      <c r="M53" s="951">
        <f>+'91'!M52+'92'!M52+'93'!M53+'94'!M53+'95'!M50</f>
        <v>1033</v>
      </c>
    </row>
    <row r="54" spans="1:13" ht="18.75" customHeight="1">
      <c r="A54" s="946" t="s">
        <v>736</v>
      </c>
      <c r="B54" s="947" t="s">
        <v>737</v>
      </c>
      <c r="C54" s="949">
        <f>+'91'!C53+'92'!C53+'93'!C54+'94'!C54+'95'!C51</f>
        <v>0</v>
      </c>
      <c r="D54" s="949">
        <f>+'91'!D53+'92'!D53+'93'!D54+'94'!D54+'95'!D51</f>
        <v>0</v>
      </c>
      <c r="E54" s="949">
        <f>+'91'!E53+'92'!E53+'93'!E54+'94'!E54+'95'!E51</f>
        <v>42</v>
      </c>
      <c r="F54" s="949">
        <f>+'91'!F53+'92'!F53+'93'!F54+'94'!F54+'95'!F51</f>
        <v>79</v>
      </c>
      <c r="G54" s="949">
        <f>+'91'!G53+'92'!G53+'93'!G54+'94'!G54+'95'!G51</f>
        <v>73</v>
      </c>
      <c r="H54" s="949">
        <f>+'91'!H53+'92'!H53+'93'!H54+'94'!H54+'95'!H51</f>
        <v>39</v>
      </c>
      <c r="I54" s="949">
        <f>+'91'!I53+'92'!I53+'93'!I54+'94'!I54+'95'!I51</f>
        <v>72</v>
      </c>
      <c r="J54" s="949">
        <f>+'91'!J53+'92'!J53+'93'!J54+'94'!J54+'95'!J51</f>
        <v>621</v>
      </c>
      <c r="K54" s="949">
        <f>+'91'!K53+'92'!K53+'93'!K54+'94'!K54+'95'!K51</f>
        <v>642</v>
      </c>
      <c r="L54" s="949">
        <f>+'91'!L53+'92'!L53+'93'!L54+'94'!L54+'95'!L51</f>
        <v>722</v>
      </c>
      <c r="M54" s="951">
        <f>+'91'!M53+'92'!M53+'93'!M54+'94'!M54+'95'!M51</f>
        <v>2290</v>
      </c>
    </row>
    <row r="55" spans="1:13" ht="18.75" customHeight="1">
      <c r="A55" s="946" t="s">
        <v>225</v>
      </c>
      <c r="B55" s="947" t="s">
        <v>226</v>
      </c>
      <c r="C55" s="949">
        <f>+'91'!C54+'92'!C54+'93'!C55+'94'!C55+'95'!C52</f>
        <v>0</v>
      </c>
      <c r="D55" s="949">
        <f>+'91'!D54+'92'!D54+'93'!D55+'94'!D55+'95'!D52</f>
        <v>0</v>
      </c>
      <c r="E55" s="949">
        <f>+'91'!E54+'92'!E54+'93'!E55+'94'!E55+'95'!E52</f>
        <v>0</v>
      </c>
      <c r="F55" s="949">
        <f>+'91'!F54+'92'!F54+'93'!F55+'94'!F55+'95'!F52</f>
        <v>0</v>
      </c>
      <c r="G55" s="949">
        <f>+'91'!G54+'92'!G54+'93'!G55+'94'!G55+'95'!G52</f>
        <v>0</v>
      </c>
      <c r="H55" s="949">
        <f>+'91'!H54+'92'!H54+'93'!H55+'94'!H55+'95'!H52</f>
        <v>21</v>
      </c>
      <c r="I55" s="949">
        <f>+'91'!I54+'92'!I54+'93'!I55+'94'!I55+'95'!I52</f>
        <v>602</v>
      </c>
      <c r="J55" s="949">
        <f>+'91'!J54+'92'!J54+'93'!J55+'94'!J55+'95'!J52</f>
        <v>4151</v>
      </c>
      <c r="K55" s="949">
        <f>+'91'!K54+'92'!K54+'93'!K55+'94'!K55+'95'!K52</f>
        <v>18</v>
      </c>
      <c r="L55" s="1121">
        <f>+'91'!L54+'92'!L54+'93'!L55+'94'!L55+'95'!L52</f>
        <v>0</v>
      </c>
      <c r="M55" s="951">
        <f>+'91'!M54+'92'!M54+'93'!M55+'94'!M55+'95'!M52</f>
        <v>4792</v>
      </c>
    </row>
    <row r="56" spans="1:13" ht="18" customHeight="1">
      <c r="A56" s="946" t="s">
        <v>744</v>
      </c>
      <c r="B56" s="947" t="s">
        <v>745</v>
      </c>
      <c r="C56" s="949">
        <f>+'91'!C55+'92'!C55+'93'!C56+'94'!C56+'95'!C53</f>
        <v>255</v>
      </c>
      <c r="D56" s="949">
        <f>+'91'!D55+'92'!D55+'93'!D56+'94'!D56+'95'!D53</f>
        <v>137</v>
      </c>
      <c r="E56" s="1122">
        <f>+'91'!E55+'92'!E55+'93'!E56+'94'!E56+'95'!E53</f>
        <v>274</v>
      </c>
      <c r="F56" s="1121">
        <f>+'91'!F55+'92'!F55+'93'!F56+'94'!F56+'95'!F53</f>
        <v>0</v>
      </c>
      <c r="G56" s="949">
        <f>+'91'!G55+'92'!G55+'93'!G56+'94'!G56+'95'!G53</f>
        <v>0</v>
      </c>
      <c r="H56" s="949">
        <f>+'91'!H55+'92'!H55+'93'!H56+'94'!H56+'95'!H53</f>
        <v>0</v>
      </c>
      <c r="I56" s="949">
        <f>+'91'!I55+'92'!I55+'93'!I56+'94'!I56+'95'!I53</f>
        <v>0</v>
      </c>
      <c r="J56" s="970">
        <f>+'91'!J55+'92'!J55+'93'!J56+'94'!J56+'95'!J53</f>
        <v>0</v>
      </c>
      <c r="K56" s="949">
        <f>+'91'!K55+'92'!K55+'93'!K56+'94'!K56+'95'!K53</f>
        <v>0</v>
      </c>
      <c r="L56" s="949">
        <f>+'91'!L55+'92'!L55+'93'!L56+'94'!L56+'95'!L53</f>
        <v>0</v>
      </c>
      <c r="M56" s="951">
        <f>+'91'!M55+'92'!M55+'93'!M56+'94'!M56+'95'!M53</f>
        <v>666</v>
      </c>
    </row>
    <row r="57" spans="1:13" ht="20.25" customHeight="1">
      <c r="A57" s="946" t="s">
        <v>746</v>
      </c>
      <c r="B57" s="947" t="s">
        <v>747</v>
      </c>
      <c r="C57" s="949">
        <f>+'91'!C56+'92'!C56+'93'!C57+'94'!C57+'95'!C54</f>
        <v>3</v>
      </c>
      <c r="D57" s="949">
        <f>+'91'!D56+'92'!D56+'93'!D57+'94'!D57+'95'!D54</f>
        <v>3</v>
      </c>
      <c r="E57" s="949">
        <f>+'91'!E56+'92'!E56+'93'!E57+'94'!E57+'95'!E54</f>
        <v>59</v>
      </c>
      <c r="F57" s="949">
        <f>+'91'!F56+'92'!F56+'93'!F57+'94'!F57+'95'!F54</f>
        <v>68</v>
      </c>
      <c r="G57" s="949">
        <f>+'91'!G56+'92'!G56+'93'!G57+'94'!G57+'95'!G54</f>
        <v>43</v>
      </c>
      <c r="H57" s="949">
        <f>+'91'!H56+'92'!H56+'93'!H57+'94'!H57+'95'!H54</f>
        <v>14</v>
      </c>
      <c r="I57" s="949">
        <f>+'91'!I56+'92'!I56+'93'!I57+'94'!I57+'95'!I54</f>
        <v>5</v>
      </c>
      <c r="J57" s="949">
        <f>+'91'!J56+'92'!J56+'93'!J57+'94'!J57+'95'!J54</f>
        <v>12</v>
      </c>
      <c r="K57" s="949">
        <f>+'91'!K56+'92'!K56+'93'!K57+'94'!K57+'95'!K54</f>
        <v>12</v>
      </c>
      <c r="L57" s="949">
        <f>+'91'!L56+'92'!L56+'93'!L57+'94'!L57+'95'!L54</f>
        <v>5</v>
      </c>
      <c r="M57" s="951">
        <f>+'91'!M56+'92'!M56+'93'!M57+'94'!M57+'95'!M54</f>
        <v>224</v>
      </c>
    </row>
    <row r="58" spans="1:13" ht="19.5" customHeight="1">
      <c r="A58" s="946" t="s">
        <v>740</v>
      </c>
      <c r="B58" s="947" t="s">
        <v>761</v>
      </c>
      <c r="C58" s="949">
        <f>+'91'!C57+'92'!C57+'93'!C58+'94'!C58+'95'!C55</f>
        <v>1</v>
      </c>
      <c r="D58" s="949">
        <f>+'91'!D57+'92'!D57+'93'!D58+'94'!D58+'95'!D55</f>
        <v>0</v>
      </c>
      <c r="E58" s="949">
        <f>+'91'!E57+'92'!E57+'93'!E58+'94'!E58+'95'!E55</f>
        <v>3</v>
      </c>
      <c r="F58" s="949">
        <f>+'91'!F57+'92'!F57+'93'!F58+'94'!F58+'95'!F55</f>
        <v>38</v>
      </c>
      <c r="G58" s="949">
        <f>+'91'!G57+'92'!G57+'93'!G58+'94'!G58+'95'!G55</f>
        <v>12</v>
      </c>
      <c r="H58" s="949">
        <f>+'91'!H57+'92'!H57+'93'!H58+'94'!H58+'95'!H55</f>
        <v>14</v>
      </c>
      <c r="I58" s="949">
        <f>+'91'!I57+'92'!I57+'93'!I58+'94'!I58+'95'!I55</f>
        <v>9</v>
      </c>
      <c r="J58" s="949">
        <f>+'91'!J57+'92'!J57+'93'!J58+'94'!J58+'95'!J55</f>
        <v>42</v>
      </c>
      <c r="K58" s="949">
        <f>+'91'!K57+'92'!K57+'93'!K58+'94'!K58+'95'!K55</f>
        <v>70</v>
      </c>
      <c r="L58" s="949">
        <f>+'91'!L57+'92'!L57+'93'!L58+'94'!L58+'95'!L55</f>
        <v>102</v>
      </c>
      <c r="M58" s="951">
        <f>+'91'!M57+'92'!M57+'93'!M58+'94'!M58+'95'!M55</f>
        <v>291</v>
      </c>
    </row>
    <row r="59" spans="1:13" ht="28.5" customHeight="1">
      <c r="A59" s="946" t="s">
        <v>732</v>
      </c>
      <c r="B59" s="952" t="s">
        <v>227</v>
      </c>
      <c r="C59" s="949">
        <f>+'91'!C58+'92'!C58+'93'!C59+'94'!C59+'95'!C56</f>
        <v>0</v>
      </c>
      <c r="D59" s="949">
        <f>+'91'!D58+'92'!D58+'93'!D59+'94'!D59+'95'!D56</f>
        <v>0</v>
      </c>
      <c r="E59" s="949">
        <f>+'91'!E58+'92'!E58+'93'!E59+'94'!E59+'95'!E56</f>
        <v>5</v>
      </c>
      <c r="F59" s="949">
        <f>+'91'!F58+'92'!F58+'93'!F59+'94'!F59+'95'!F56</f>
        <v>120</v>
      </c>
      <c r="G59" s="949">
        <f>+'91'!G58+'92'!G58+'93'!G59+'94'!G59+'95'!G56</f>
        <v>97</v>
      </c>
      <c r="H59" s="949">
        <f>+'91'!H58+'92'!H58+'93'!H59+'94'!H59+'95'!H56</f>
        <v>112</v>
      </c>
      <c r="I59" s="949">
        <f>+'91'!I58+'92'!I58+'93'!I59+'94'!I59+'95'!I56</f>
        <v>109</v>
      </c>
      <c r="J59" s="949">
        <f>+'91'!J58+'92'!J58+'93'!J59+'94'!J59+'95'!J56</f>
        <v>683</v>
      </c>
      <c r="K59" s="949">
        <f>+'91'!K58+'92'!K58+'93'!K59+'94'!K59+'95'!K56</f>
        <v>422</v>
      </c>
      <c r="L59" s="949">
        <f>+'91'!L58+'92'!L58+'93'!L59+'94'!L59+'95'!L56</f>
        <v>424</v>
      </c>
      <c r="M59" s="951">
        <f>+'91'!M58+'92'!M58+'93'!M59+'94'!M59+'95'!M56</f>
        <v>1972</v>
      </c>
    </row>
    <row r="60" spans="1:13" ht="19.5" customHeight="1">
      <c r="A60" s="953"/>
      <c r="B60" s="953" t="s">
        <v>863</v>
      </c>
      <c r="C60" s="955">
        <f t="shared" ref="C60:M60" si="4">SUM(C42:C59)</f>
        <v>260</v>
      </c>
      <c r="D60" s="955">
        <f t="shared" si="4"/>
        <v>141</v>
      </c>
      <c r="E60" s="955">
        <f t="shared" si="4"/>
        <v>658</v>
      </c>
      <c r="F60" s="955">
        <f t="shared" si="4"/>
        <v>866</v>
      </c>
      <c r="G60" s="955">
        <f t="shared" si="4"/>
        <v>582</v>
      </c>
      <c r="H60" s="955">
        <f t="shared" si="4"/>
        <v>512</v>
      </c>
      <c r="I60" s="955">
        <f t="shared" si="4"/>
        <v>1268</v>
      </c>
      <c r="J60" s="955">
        <f t="shared" si="4"/>
        <v>8368</v>
      </c>
      <c r="K60" s="955">
        <f t="shared" si="4"/>
        <v>5160</v>
      </c>
      <c r="L60" s="955">
        <f t="shared" si="4"/>
        <v>5850</v>
      </c>
      <c r="M60" s="957">
        <f t="shared" si="4"/>
        <v>23665</v>
      </c>
    </row>
  </sheetData>
  <phoneticPr fontId="19" type="noConversion"/>
  <pageMargins left="1.1811023622047245" right="0.78740157480314965" top="1.1811023622047245" bottom="0.39370078740157483" header="0.51181102362204722" footer="0.51181102362204722"/>
  <pageSetup paperSize="5" scale="85"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1"/>
  <sheetViews>
    <sheetView topLeftCell="A19" workbookViewId="0">
      <selection activeCell="D20" sqref="D20"/>
    </sheetView>
  </sheetViews>
  <sheetFormatPr baseColWidth="10" defaultRowHeight="12.75"/>
  <cols>
    <col min="1" max="1" width="6.28515625" customWidth="1"/>
    <col min="2" max="2" width="10.140625" customWidth="1"/>
    <col min="3" max="3" width="9.140625" customWidth="1"/>
    <col min="4" max="4" width="10.85546875" customWidth="1"/>
    <col min="5" max="5" width="9.7109375" customWidth="1"/>
    <col min="6" max="6" width="9.5703125" customWidth="1"/>
    <col min="7" max="7" width="9.42578125" customWidth="1"/>
    <col min="8" max="8" width="9.5703125" customWidth="1"/>
    <col min="9" max="9" width="9.7109375" customWidth="1"/>
    <col min="10" max="10" width="9" customWidth="1"/>
    <col min="11" max="11" width="9.28515625" customWidth="1"/>
    <col min="12" max="12" width="8.7109375" customWidth="1"/>
    <col min="13" max="14" width="9.7109375" customWidth="1"/>
    <col min="15" max="15" width="9" customWidth="1"/>
    <col min="16" max="16" width="8.5703125" customWidth="1"/>
  </cols>
  <sheetData>
    <row r="1" spans="1:18">
      <c r="A1" s="117" t="s">
        <v>657</v>
      </c>
      <c r="B1" s="117"/>
      <c r="C1" s="117"/>
      <c r="D1" s="117"/>
      <c r="E1" s="117"/>
      <c r="F1" s="117"/>
      <c r="G1" s="117"/>
      <c r="H1" s="117"/>
      <c r="I1" s="82"/>
      <c r="J1" s="116"/>
      <c r="K1" s="116"/>
      <c r="L1" s="116"/>
      <c r="M1" s="116"/>
      <c r="N1" s="116"/>
      <c r="O1" s="116"/>
      <c r="P1" s="116"/>
    </row>
    <row r="2" spans="1:18">
      <c r="A2" s="117"/>
      <c r="B2" s="117"/>
      <c r="C2" s="117"/>
      <c r="D2" s="117"/>
      <c r="E2" s="117"/>
      <c r="F2" s="117"/>
      <c r="G2" s="117"/>
      <c r="H2" s="117"/>
      <c r="I2" s="82"/>
      <c r="J2" s="116"/>
      <c r="K2" s="116"/>
      <c r="L2" s="116"/>
      <c r="M2" s="116"/>
      <c r="N2" s="116"/>
      <c r="O2" s="116"/>
      <c r="P2" s="116"/>
    </row>
    <row r="3" spans="1:18">
      <c r="A3" s="117" t="s">
        <v>1361</v>
      </c>
      <c r="B3" s="117"/>
      <c r="C3" s="117"/>
      <c r="D3" s="117"/>
      <c r="E3" s="117"/>
      <c r="F3" s="117"/>
      <c r="G3" s="117"/>
      <c r="H3" s="117"/>
      <c r="I3" s="82"/>
      <c r="J3" s="116"/>
      <c r="K3" s="116"/>
      <c r="L3" s="116"/>
      <c r="M3" s="116"/>
      <c r="N3" s="116"/>
      <c r="O3" s="116"/>
      <c r="P3" s="116"/>
    </row>
    <row r="4" spans="1:18">
      <c r="A4" s="184"/>
      <c r="B4" s="184"/>
      <c r="C4" s="184"/>
      <c r="D4" s="184"/>
      <c r="E4" s="184"/>
      <c r="F4" s="184"/>
      <c r="G4" s="184"/>
      <c r="H4" s="184"/>
      <c r="I4" s="116"/>
      <c r="J4" s="116"/>
      <c r="K4" s="116"/>
      <c r="L4" s="116"/>
      <c r="M4" s="116"/>
      <c r="N4" s="116"/>
      <c r="O4" s="116"/>
      <c r="P4" s="116"/>
    </row>
    <row r="5" spans="1:18">
      <c r="A5" s="1"/>
      <c r="B5" s="116"/>
      <c r="C5" s="116"/>
      <c r="D5" s="116"/>
      <c r="E5" s="116"/>
      <c r="F5" s="116"/>
      <c r="G5" s="116"/>
      <c r="H5" s="116"/>
      <c r="I5" s="116"/>
      <c r="J5" s="116"/>
      <c r="K5" s="116"/>
      <c r="L5" s="116"/>
      <c r="M5" s="116"/>
      <c r="N5" s="116"/>
      <c r="O5" s="116"/>
      <c r="P5" s="116"/>
    </row>
    <row r="6" spans="1:18" ht="22.5" customHeight="1">
      <c r="A6" s="185"/>
      <c r="B6" s="186"/>
      <c r="C6" s="186"/>
      <c r="D6" s="186"/>
      <c r="E6" s="187"/>
      <c r="F6" s="121" t="s">
        <v>658</v>
      </c>
      <c r="G6" s="121"/>
      <c r="H6" s="121"/>
      <c r="I6" s="121"/>
      <c r="J6" s="121"/>
      <c r="K6" s="121"/>
      <c r="L6" s="121"/>
      <c r="M6" s="121"/>
      <c r="N6" s="121"/>
      <c r="O6" s="121"/>
      <c r="P6" s="188"/>
    </row>
    <row r="7" spans="1:18">
      <c r="A7" s="189" t="s">
        <v>659</v>
      </c>
      <c r="B7" s="190" t="s">
        <v>664</v>
      </c>
      <c r="C7" s="190" t="s">
        <v>665</v>
      </c>
      <c r="D7" s="191" t="s">
        <v>666</v>
      </c>
      <c r="E7" s="192" t="s">
        <v>667</v>
      </c>
      <c r="F7" s="182"/>
      <c r="G7" s="193"/>
      <c r="H7" s="193"/>
      <c r="I7" s="193"/>
      <c r="J7" s="192" t="s">
        <v>667</v>
      </c>
      <c r="K7" s="193"/>
      <c r="L7" s="193"/>
      <c r="M7" s="193"/>
      <c r="N7" s="193"/>
      <c r="O7" s="193"/>
      <c r="P7" s="194"/>
    </row>
    <row r="8" spans="1:18">
      <c r="A8" s="195"/>
      <c r="B8" s="196"/>
      <c r="C8" s="196"/>
      <c r="D8" s="191" t="s">
        <v>668</v>
      </c>
      <c r="E8" s="189" t="s">
        <v>649</v>
      </c>
      <c r="F8" s="190" t="s">
        <v>649</v>
      </c>
      <c r="G8" s="190" t="s">
        <v>669</v>
      </c>
      <c r="H8" s="190" t="s">
        <v>670</v>
      </c>
      <c r="I8" s="190" t="s">
        <v>447</v>
      </c>
      <c r="J8" s="190" t="s">
        <v>671</v>
      </c>
      <c r="K8" s="190" t="s">
        <v>671</v>
      </c>
      <c r="L8" s="190" t="s">
        <v>411</v>
      </c>
      <c r="M8" s="190" t="s">
        <v>429</v>
      </c>
      <c r="N8" s="190" t="s">
        <v>434</v>
      </c>
      <c r="O8" s="190" t="s">
        <v>672</v>
      </c>
      <c r="P8" s="189" t="s">
        <v>436</v>
      </c>
    </row>
    <row r="9" spans="1:18">
      <c r="A9" s="189"/>
      <c r="B9" s="190"/>
      <c r="C9" s="190"/>
      <c r="D9" s="197"/>
      <c r="E9" s="198"/>
      <c r="F9" s="199"/>
      <c r="G9" s="199"/>
      <c r="H9" s="199"/>
      <c r="I9" s="199"/>
      <c r="J9" s="199"/>
      <c r="K9" s="199"/>
      <c r="L9" s="199"/>
      <c r="M9" s="199"/>
      <c r="N9" s="199"/>
      <c r="O9" s="199"/>
      <c r="P9" s="183"/>
    </row>
    <row r="10" spans="1:18">
      <c r="A10" s="193"/>
      <c r="B10" s="59"/>
      <c r="C10" s="200"/>
      <c r="D10" s="201"/>
      <c r="E10" s="201"/>
      <c r="F10" s="194"/>
      <c r="G10" s="202"/>
      <c r="H10" s="194"/>
      <c r="I10" s="202"/>
      <c r="J10" s="193"/>
      <c r="K10" s="194"/>
      <c r="L10" s="202"/>
      <c r="M10" s="194"/>
      <c r="N10" s="202"/>
      <c r="O10" s="194"/>
      <c r="P10" s="194"/>
    </row>
    <row r="11" spans="1:18" s="6" customFormat="1" ht="25.5" customHeight="1">
      <c r="A11" s="203">
        <v>2006</v>
      </c>
      <c r="B11" s="204">
        <v>16432674</v>
      </c>
      <c r="C11" s="205">
        <v>1682005</v>
      </c>
      <c r="D11" s="206">
        <f t="shared" ref="D11:D20" si="0">+F11+G11+H11+I11+K11+L11+M11+N11+O11+P11</f>
        <v>248714</v>
      </c>
      <c r="E11" s="206">
        <v>103515</v>
      </c>
      <c r="F11" s="204">
        <v>68904</v>
      </c>
      <c r="G11" s="207">
        <v>16212</v>
      </c>
      <c r="H11" s="204">
        <v>10924</v>
      </c>
      <c r="I11" s="207">
        <v>7475</v>
      </c>
      <c r="J11" s="206">
        <v>145199</v>
      </c>
      <c r="K11" s="204">
        <v>72077</v>
      </c>
      <c r="L11" s="207">
        <v>16141</v>
      </c>
      <c r="M11" s="204">
        <v>13936</v>
      </c>
      <c r="N11" s="207">
        <v>7148</v>
      </c>
      <c r="O11" s="204">
        <v>22979</v>
      </c>
      <c r="P11" s="204">
        <v>12918</v>
      </c>
      <c r="R11" s="208"/>
    </row>
    <row r="12" spans="1:18" s="6" customFormat="1" ht="25.5" customHeight="1">
      <c r="A12" s="203">
        <v>2007</v>
      </c>
      <c r="B12" s="204">
        <v>16598074</v>
      </c>
      <c r="C12" s="205">
        <v>1701293</v>
      </c>
      <c r="D12" s="206">
        <f t="shared" si="0"/>
        <v>252006</v>
      </c>
      <c r="E12" s="206">
        <v>105143</v>
      </c>
      <c r="F12" s="204">
        <v>70127</v>
      </c>
      <c r="G12" s="207">
        <v>16467</v>
      </c>
      <c r="H12" s="204">
        <v>10967</v>
      </c>
      <c r="I12" s="207">
        <v>7582</v>
      </c>
      <c r="J12" s="206">
        <v>146863</v>
      </c>
      <c r="K12" s="204">
        <v>73159</v>
      </c>
      <c r="L12" s="207">
        <v>16340</v>
      </c>
      <c r="M12" s="204">
        <v>14052</v>
      </c>
      <c r="N12" s="207">
        <v>7220</v>
      </c>
      <c r="O12" s="204">
        <v>23099</v>
      </c>
      <c r="P12" s="204">
        <v>12993</v>
      </c>
      <c r="R12" s="208"/>
    </row>
    <row r="13" spans="1:18" s="6" customFormat="1" ht="25.5" customHeight="1">
      <c r="A13" s="203">
        <v>2008</v>
      </c>
      <c r="B13" s="204">
        <v>16763470</v>
      </c>
      <c r="C13" s="205">
        <v>1720588</v>
      </c>
      <c r="D13" s="206">
        <f t="shared" si="0"/>
        <v>255306</v>
      </c>
      <c r="E13" s="206">
        <v>106764</v>
      </c>
      <c r="F13" s="204">
        <v>71349</v>
      </c>
      <c r="G13" s="207">
        <v>16723</v>
      </c>
      <c r="H13" s="204">
        <v>10994</v>
      </c>
      <c r="I13" s="207">
        <v>7698</v>
      </c>
      <c r="J13" s="206">
        <v>148542</v>
      </c>
      <c r="K13" s="204">
        <v>74237</v>
      </c>
      <c r="L13" s="207">
        <v>16541</v>
      </c>
      <c r="M13" s="204">
        <v>14176</v>
      </c>
      <c r="N13" s="207">
        <v>7292</v>
      </c>
      <c r="O13" s="204">
        <v>23222</v>
      </c>
      <c r="P13" s="204">
        <v>13074</v>
      </c>
      <c r="R13" s="208"/>
    </row>
    <row r="14" spans="1:18" s="6" customFormat="1" ht="25.5" customHeight="1">
      <c r="A14" s="203">
        <v>2009</v>
      </c>
      <c r="B14" s="204">
        <v>16928873</v>
      </c>
      <c r="C14" s="205">
        <v>1739876</v>
      </c>
      <c r="D14" s="206">
        <f t="shared" si="0"/>
        <v>258573</v>
      </c>
      <c r="E14" s="206">
        <v>108360</v>
      </c>
      <c r="F14" s="204">
        <v>72563</v>
      </c>
      <c r="G14" s="207">
        <v>16966</v>
      </c>
      <c r="H14" s="204">
        <v>11031</v>
      </c>
      <c r="I14" s="207">
        <v>7800</v>
      </c>
      <c r="J14" s="206">
        <v>150213</v>
      </c>
      <c r="K14" s="204">
        <v>75302</v>
      </c>
      <c r="L14" s="207">
        <v>16745</v>
      </c>
      <c r="M14" s="204">
        <v>14322</v>
      </c>
      <c r="N14" s="207">
        <v>7355</v>
      </c>
      <c r="O14" s="204">
        <v>23346</v>
      </c>
      <c r="P14" s="204">
        <v>13143</v>
      </c>
      <c r="R14" s="208"/>
    </row>
    <row r="15" spans="1:18" s="6" customFormat="1" ht="25.5" customHeight="1">
      <c r="A15" s="203">
        <v>2010</v>
      </c>
      <c r="B15" s="204">
        <v>17094270</v>
      </c>
      <c r="C15" s="205">
        <v>1759167</v>
      </c>
      <c r="D15" s="206">
        <f t="shared" si="0"/>
        <v>261886</v>
      </c>
      <c r="E15" s="206">
        <v>109991</v>
      </c>
      <c r="F15" s="204">
        <v>73797</v>
      </c>
      <c r="G15" s="207">
        <v>17218</v>
      </c>
      <c r="H15" s="204">
        <v>11066</v>
      </c>
      <c r="I15" s="207">
        <v>7910</v>
      </c>
      <c r="J15" s="206">
        <v>151895</v>
      </c>
      <c r="K15" s="204">
        <v>76380</v>
      </c>
      <c r="L15" s="207">
        <v>16956</v>
      </c>
      <c r="M15" s="204">
        <v>14436</v>
      </c>
      <c r="N15" s="207">
        <v>7431</v>
      </c>
      <c r="O15" s="204">
        <v>23473</v>
      </c>
      <c r="P15" s="204">
        <v>13219</v>
      </c>
      <c r="R15" s="208"/>
    </row>
    <row r="16" spans="1:18" s="6" customFormat="1" ht="25.5" customHeight="1">
      <c r="A16" s="203">
        <v>2011</v>
      </c>
      <c r="B16" s="204">
        <v>17248450</v>
      </c>
      <c r="C16" s="205">
        <v>1777470</v>
      </c>
      <c r="D16" s="206">
        <f t="shared" si="0"/>
        <v>264902</v>
      </c>
      <c r="E16" s="206">
        <v>111485</v>
      </c>
      <c r="F16" s="204">
        <v>74959</v>
      </c>
      <c r="G16" s="207">
        <v>17447</v>
      </c>
      <c r="H16" s="204">
        <v>11078</v>
      </c>
      <c r="I16" s="207">
        <v>8001</v>
      </c>
      <c r="J16" s="206">
        <v>153417</v>
      </c>
      <c r="K16" s="204">
        <v>77394</v>
      </c>
      <c r="L16" s="207">
        <v>17147</v>
      </c>
      <c r="M16" s="204">
        <v>14544</v>
      </c>
      <c r="N16" s="207">
        <v>7493</v>
      </c>
      <c r="O16" s="204">
        <v>23559</v>
      </c>
      <c r="P16" s="204">
        <v>13280</v>
      </c>
      <c r="R16" s="208"/>
    </row>
    <row r="17" spans="1:18" s="6" customFormat="1" ht="25.5" customHeight="1">
      <c r="A17" s="203">
        <v>2012</v>
      </c>
      <c r="B17" s="204">
        <v>17402630</v>
      </c>
      <c r="C17" s="205">
        <v>1795765</v>
      </c>
      <c r="D17" s="206">
        <f t="shared" si="0"/>
        <v>267912</v>
      </c>
      <c r="E17" s="206">
        <v>112982</v>
      </c>
      <c r="F17" s="204">
        <v>76130</v>
      </c>
      <c r="G17" s="207">
        <v>17677</v>
      </c>
      <c r="H17" s="204">
        <v>11091</v>
      </c>
      <c r="I17" s="207">
        <v>8084</v>
      </c>
      <c r="J17" s="206">
        <v>154930</v>
      </c>
      <c r="K17" s="204">
        <v>78428</v>
      </c>
      <c r="L17" s="207">
        <v>17336</v>
      </c>
      <c r="M17" s="204">
        <v>14652</v>
      </c>
      <c r="N17" s="207">
        <v>7556</v>
      </c>
      <c r="O17" s="204">
        <v>23638</v>
      </c>
      <c r="P17" s="204">
        <v>13320</v>
      </c>
      <c r="R17" s="208"/>
    </row>
    <row r="18" spans="1:18" s="6" customFormat="1" ht="25.5" customHeight="1">
      <c r="A18" s="203">
        <v>2013</v>
      </c>
      <c r="B18" s="204">
        <v>17556815</v>
      </c>
      <c r="C18" s="205">
        <v>1814079</v>
      </c>
      <c r="D18" s="206">
        <f t="shared" si="0"/>
        <v>270947</v>
      </c>
      <c r="E18" s="206">
        <v>114496</v>
      </c>
      <c r="F18" s="204">
        <v>77305</v>
      </c>
      <c r="G18" s="207">
        <v>17905</v>
      </c>
      <c r="H18" s="204">
        <v>11107</v>
      </c>
      <c r="I18" s="207">
        <v>8179</v>
      </c>
      <c r="J18" s="206">
        <v>156451</v>
      </c>
      <c r="K18" s="204">
        <v>79454</v>
      </c>
      <c r="L18" s="207">
        <v>17525</v>
      </c>
      <c r="M18" s="204">
        <v>14753</v>
      </c>
      <c r="N18" s="207">
        <v>7617</v>
      </c>
      <c r="O18" s="204">
        <v>23728</v>
      </c>
      <c r="P18" s="204">
        <v>13374</v>
      </c>
      <c r="R18" s="208"/>
    </row>
    <row r="19" spans="1:18" s="6" customFormat="1" ht="25.5" customHeight="1">
      <c r="A19" s="203">
        <v>2014</v>
      </c>
      <c r="B19" s="204">
        <v>17711004</v>
      </c>
      <c r="C19" s="205">
        <v>1832379</v>
      </c>
      <c r="D19" s="206">
        <f t="shared" si="0"/>
        <v>273968</v>
      </c>
      <c r="E19" s="206">
        <v>115998</v>
      </c>
      <c r="F19" s="204">
        <v>78473</v>
      </c>
      <c r="G19" s="207">
        <v>18141</v>
      </c>
      <c r="H19" s="204">
        <v>11112</v>
      </c>
      <c r="I19" s="207">
        <v>8272</v>
      </c>
      <c r="J19" s="206">
        <v>157970</v>
      </c>
      <c r="K19" s="204">
        <v>80479</v>
      </c>
      <c r="L19" s="207">
        <v>17716</v>
      </c>
      <c r="M19" s="204">
        <v>14864</v>
      </c>
      <c r="N19" s="207">
        <v>7682</v>
      </c>
      <c r="O19" s="204">
        <v>23810</v>
      </c>
      <c r="P19" s="204">
        <v>13419</v>
      </c>
      <c r="R19" s="208"/>
    </row>
    <row r="20" spans="1:18" s="6" customFormat="1" ht="25.5" customHeight="1">
      <c r="A20" s="203">
        <v>2015</v>
      </c>
      <c r="B20" s="204">
        <v>17865185</v>
      </c>
      <c r="C20" s="205">
        <v>1850676</v>
      </c>
      <c r="D20" s="206">
        <f t="shared" si="0"/>
        <v>276985</v>
      </c>
      <c r="E20" s="206">
        <f>SUM(F20:I20)</f>
        <v>117496</v>
      </c>
      <c r="F20" s="204">
        <f>+'8'!B9</f>
        <v>79637</v>
      </c>
      <c r="G20" s="207">
        <f>+'8'!B17</f>
        <v>18363</v>
      </c>
      <c r="H20" s="204">
        <f>+'8'!B25</f>
        <v>11130</v>
      </c>
      <c r="I20" s="207">
        <f>+'8'!B29</f>
        <v>8366</v>
      </c>
      <c r="J20" s="206">
        <f>SUM(K20:P20)</f>
        <v>159489</v>
      </c>
      <c r="K20" s="204">
        <f>+'8'!B37</f>
        <v>81500</v>
      </c>
      <c r="L20" s="207">
        <f>+'8'!B43</f>
        <v>17906</v>
      </c>
      <c r="M20" s="204">
        <f>+'8'!B56</f>
        <v>14972</v>
      </c>
      <c r="N20" s="207">
        <f>+'8'!B61</f>
        <v>7743</v>
      </c>
      <c r="O20" s="204">
        <f>+'8'!B67</f>
        <v>23892</v>
      </c>
      <c r="P20" s="204">
        <f>+'8'!B73</f>
        <v>13476</v>
      </c>
      <c r="R20" s="208"/>
    </row>
    <row r="21" spans="1:18">
      <c r="A21" s="209"/>
      <c r="B21" s="210"/>
      <c r="C21" s="211"/>
      <c r="D21" s="212"/>
      <c r="E21" s="212"/>
      <c r="F21" s="213"/>
      <c r="G21" s="214"/>
      <c r="H21" s="213"/>
      <c r="I21" s="214"/>
      <c r="J21" s="215"/>
      <c r="K21" s="213"/>
      <c r="L21" s="214"/>
      <c r="M21" s="213"/>
      <c r="N21" s="214"/>
      <c r="O21" s="213"/>
      <c r="P21" s="213"/>
      <c r="R21" s="208"/>
    </row>
    <row r="22" spans="1:18">
      <c r="A22" s="216"/>
      <c r="B22" s="216"/>
      <c r="C22" s="216"/>
      <c r="D22" s="216"/>
      <c r="E22" s="216"/>
      <c r="F22" s="216"/>
      <c r="G22" s="216"/>
      <c r="H22" s="216"/>
      <c r="I22" s="216"/>
      <c r="J22" s="216"/>
      <c r="K22" s="216"/>
      <c r="L22" s="216"/>
      <c r="M22" s="216"/>
      <c r="N22" s="216"/>
      <c r="O22" s="216"/>
      <c r="P22" s="216"/>
    </row>
    <row r="23" spans="1:18">
      <c r="A23" s="217" t="s">
        <v>673</v>
      </c>
      <c r="B23" s="218"/>
      <c r="C23" s="216"/>
      <c r="D23" s="216"/>
      <c r="E23" s="216"/>
      <c r="F23" s="216"/>
      <c r="G23" s="216"/>
      <c r="H23" s="216"/>
      <c r="I23" s="216"/>
      <c r="J23" s="216"/>
      <c r="K23" s="216"/>
      <c r="L23" s="216"/>
      <c r="M23" s="216"/>
      <c r="N23" s="216"/>
      <c r="O23" s="216"/>
      <c r="P23" s="216"/>
    </row>
    <row r="24" spans="1:18">
      <c r="A24" s="216"/>
      <c r="B24" s="219"/>
      <c r="C24" s="220"/>
      <c r="D24" s="216"/>
      <c r="E24" s="216"/>
      <c r="F24" s="216"/>
      <c r="G24" s="216"/>
      <c r="H24" s="216"/>
      <c r="I24" s="216"/>
      <c r="J24" s="216"/>
      <c r="K24" s="216"/>
      <c r="L24" s="216"/>
      <c r="M24" s="216"/>
      <c r="N24" s="216"/>
      <c r="O24" s="216"/>
      <c r="P24" s="216"/>
    </row>
    <row r="25" spans="1:18">
      <c r="A25" s="216"/>
      <c r="B25" s="216"/>
      <c r="C25" s="216"/>
      <c r="D25" s="216"/>
      <c r="E25" s="216"/>
      <c r="F25" s="216"/>
      <c r="G25" s="216"/>
      <c r="H25" s="216"/>
      <c r="I25" s="216"/>
      <c r="J25" s="216"/>
      <c r="K25" s="216"/>
      <c r="L25" s="216"/>
      <c r="M25" s="216"/>
      <c r="N25" s="216"/>
      <c r="O25" s="216"/>
      <c r="P25" s="216"/>
    </row>
    <row r="26" spans="1:18">
      <c r="A26" s="220"/>
      <c r="B26" s="220"/>
      <c r="C26" s="220"/>
      <c r="D26" s="220"/>
      <c r="E26" s="220"/>
      <c r="F26" s="220"/>
      <c r="G26" s="220"/>
      <c r="H26" s="220"/>
      <c r="I26" s="220"/>
      <c r="J26" s="220"/>
      <c r="K26" s="220"/>
      <c r="L26" s="220"/>
      <c r="M26" s="220"/>
      <c r="N26" s="220"/>
      <c r="O26" s="220"/>
      <c r="P26" s="220"/>
    </row>
    <row r="27" spans="1:18">
      <c r="A27" s="220"/>
      <c r="B27" s="220"/>
      <c r="C27" s="220"/>
      <c r="D27" s="220"/>
      <c r="E27" s="220"/>
      <c r="F27" s="220"/>
      <c r="G27" s="220"/>
      <c r="H27" s="220"/>
      <c r="I27" s="220"/>
      <c r="J27" s="220"/>
      <c r="K27" s="220"/>
      <c r="L27" s="220"/>
      <c r="M27" s="220"/>
      <c r="N27" s="220"/>
      <c r="O27" s="220"/>
      <c r="P27" s="220"/>
    </row>
    <row r="28" spans="1:18">
      <c r="A28" s="220"/>
      <c r="B28" s="220"/>
      <c r="C28" s="220"/>
      <c r="D28" s="220"/>
      <c r="E28" s="220"/>
      <c r="F28" s="220"/>
      <c r="G28" s="220"/>
      <c r="H28" s="220"/>
      <c r="I28" s="220"/>
      <c r="J28" s="220"/>
      <c r="K28" s="220"/>
      <c r="L28" s="220"/>
      <c r="M28" s="220"/>
      <c r="N28" s="220"/>
      <c r="O28" s="220"/>
      <c r="P28" s="220"/>
    </row>
    <row r="29" spans="1:18">
      <c r="A29" s="220"/>
      <c r="B29" s="220"/>
      <c r="C29" s="220"/>
      <c r="D29" s="220"/>
      <c r="E29" s="220"/>
      <c r="F29" s="220"/>
      <c r="G29" s="220"/>
      <c r="H29" s="220"/>
      <c r="I29" s="220"/>
      <c r="J29" s="220"/>
      <c r="K29" s="220"/>
      <c r="L29" s="220"/>
      <c r="M29" s="220"/>
      <c r="N29" s="220"/>
      <c r="O29" s="220"/>
      <c r="P29" s="220"/>
    </row>
    <row r="30" spans="1:18">
      <c r="A30" s="220"/>
      <c r="B30" s="220"/>
      <c r="C30" s="220"/>
      <c r="D30" s="220"/>
      <c r="E30" s="220"/>
      <c r="F30" s="220"/>
      <c r="G30" s="220"/>
      <c r="H30" s="220"/>
      <c r="I30" s="220"/>
      <c r="J30" s="220"/>
      <c r="K30" s="220"/>
      <c r="L30" s="220"/>
      <c r="M30" s="220"/>
      <c r="N30" s="220"/>
      <c r="O30" s="220"/>
      <c r="P30" s="220"/>
    </row>
    <row r="31" spans="1:18">
      <c r="A31" s="220"/>
      <c r="B31" s="220"/>
      <c r="C31" s="220"/>
      <c r="D31" s="220"/>
      <c r="E31" s="220"/>
      <c r="F31" s="220"/>
      <c r="G31" s="220"/>
      <c r="H31" s="220"/>
      <c r="I31" s="220"/>
      <c r="J31" s="220"/>
      <c r="K31" s="220"/>
      <c r="L31" s="220"/>
      <c r="M31" s="220"/>
      <c r="N31" s="220"/>
      <c r="O31" s="220"/>
      <c r="P31" s="220"/>
    </row>
    <row r="32" spans="1:18">
      <c r="A32" s="220"/>
      <c r="B32" s="220"/>
      <c r="C32" s="220"/>
      <c r="D32" s="220"/>
      <c r="E32" s="220"/>
      <c r="F32" s="220"/>
      <c r="G32" s="220"/>
      <c r="H32" s="220"/>
      <c r="I32" s="220"/>
      <c r="J32" s="220"/>
      <c r="K32" s="220"/>
      <c r="L32" s="220"/>
      <c r="M32" s="220"/>
      <c r="N32" s="220"/>
      <c r="O32" s="220"/>
      <c r="P32" s="220"/>
    </row>
    <row r="33" spans="1:16">
      <c r="A33" s="220"/>
      <c r="B33" s="220"/>
      <c r="C33" s="220"/>
      <c r="D33" s="220"/>
      <c r="E33" s="220"/>
      <c r="F33" s="220"/>
      <c r="G33" s="220"/>
      <c r="H33" s="220"/>
      <c r="I33" s="220"/>
      <c r="J33" s="220"/>
      <c r="K33" s="220"/>
      <c r="L33" s="220"/>
      <c r="M33" s="220"/>
      <c r="N33" s="220"/>
      <c r="O33" s="220"/>
      <c r="P33" s="220"/>
    </row>
    <row r="34" spans="1:16">
      <c r="A34" s="220"/>
      <c r="B34" s="220"/>
      <c r="C34" s="220"/>
      <c r="D34" s="220"/>
      <c r="E34" s="220"/>
      <c r="F34" s="220"/>
      <c r="G34" s="220"/>
      <c r="H34" s="220"/>
      <c r="I34" s="220"/>
      <c r="J34" s="220"/>
      <c r="K34" s="220"/>
      <c r="L34" s="220"/>
      <c r="M34" s="220"/>
      <c r="N34" s="220"/>
      <c r="O34" s="220"/>
      <c r="P34" s="220"/>
    </row>
    <row r="35" spans="1:16">
      <c r="A35" s="220"/>
      <c r="B35" s="220"/>
      <c r="C35" s="220"/>
      <c r="D35" s="220"/>
      <c r="E35" s="220"/>
      <c r="F35" s="220"/>
      <c r="G35" s="220"/>
      <c r="H35" s="220"/>
      <c r="I35" s="220"/>
      <c r="J35" s="220"/>
      <c r="K35" s="220"/>
      <c r="L35" s="220"/>
      <c r="M35" s="220"/>
      <c r="N35" s="220"/>
      <c r="O35" s="220"/>
      <c r="P35" s="220"/>
    </row>
    <row r="36" spans="1:16">
      <c r="A36" s="220"/>
      <c r="B36" s="220"/>
      <c r="C36" s="220"/>
      <c r="D36" s="220"/>
      <c r="E36" s="220"/>
      <c r="F36" s="220"/>
      <c r="G36" s="220"/>
      <c r="H36" s="220"/>
      <c r="I36" s="220"/>
      <c r="J36" s="220"/>
      <c r="K36" s="220"/>
      <c r="L36" s="220"/>
      <c r="M36" s="220"/>
      <c r="N36" s="220"/>
      <c r="O36" s="220"/>
      <c r="P36" s="220"/>
    </row>
    <row r="37" spans="1:16">
      <c r="A37" s="220"/>
      <c r="B37" s="220"/>
      <c r="C37" s="220"/>
      <c r="D37" s="220"/>
      <c r="E37" s="220"/>
      <c r="F37" s="220"/>
      <c r="G37" s="220"/>
      <c r="H37" s="220"/>
      <c r="I37" s="220"/>
      <c r="J37" s="220"/>
      <c r="K37" s="220"/>
      <c r="L37" s="220"/>
      <c r="M37" s="220"/>
      <c r="N37" s="220"/>
      <c r="O37" s="220"/>
      <c r="P37" s="220"/>
    </row>
    <row r="38" spans="1:16">
      <c r="A38" s="220"/>
      <c r="B38" s="220"/>
      <c r="C38" s="220"/>
      <c r="D38" s="220"/>
      <c r="E38" s="220"/>
      <c r="F38" s="220"/>
      <c r="G38" s="220"/>
      <c r="H38" s="220"/>
      <c r="I38" s="220"/>
      <c r="J38" s="220"/>
      <c r="K38" s="220"/>
      <c r="L38" s="220"/>
      <c r="M38" s="220"/>
      <c r="N38" s="220"/>
      <c r="O38" s="220"/>
      <c r="P38" s="220"/>
    </row>
    <row r="39" spans="1:16">
      <c r="A39" s="220"/>
      <c r="B39" s="220"/>
      <c r="C39" s="220"/>
      <c r="D39" s="220"/>
      <c r="E39" s="220"/>
      <c r="F39" s="220"/>
      <c r="G39" s="220"/>
      <c r="H39" s="220"/>
      <c r="I39" s="220"/>
      <c r="J39" s="220"/>
      <c r="K39" s="220"/>
      <c r="L39" s="220"/>
      <c r="M39" s="220"/>
      <c r="N39" s="220"/>
      <c r="O39" s="220"/>
      <c r="P39" s="220"/>
    </row>
    <row r="40" spans="1:16">
      <c r="A40" s="220"/>
      <c r="B40" s="220"/>
      <c r="C40" s="220"/>
      <c r="D40" s="220"/>
      <c r="E40" s="220"/>
      <c r="F40" s="220"/>
      <c r="G40" s="220"/>
      <c r="H40" s="220"/>
      <c r="I40" s="220"/>
      <c r="J40" s="220"/>
      <c r="K40" s="220"/>
      <c r="L40" s="220"/>
      <c r="M40" s="220"/>
      <c r="N40" s="220"/>
      <c r="O40" s="220"/>
      <c r="P40" s="220"/>
    </row>
    <row r="41" spans="1:16">
      <c r="A41" s="220"/>
      <c r="B41" s="220"/>
      <c r="C41" s="220"/>
      <c r="D41" s="220"/>
      <c r="E41" s="220"/>
      <c r="F41" s="220"/>
      <c r="G41" s="220"/>
      <c r="H41" s="220"/>
      <c r="I41" s="220"/>
      <c r="J41" s="220"/>
      <c r="K41" s="220"/>
      <c r="L41" s="220"/>
      <c r="M41" s="220"/>
      <c r="N41" s="220"/>
      <c r="O41" s="220"/>
      <c r="P41" s="220"/>
    </row>
    <row r="42" spans="1:16">
      <c r="A42" s="220"/>
      <c r="B42" s="220"/>
      <c r="C42" s="220"/>
      <c r="D42" s="220"/>
      <c r="E42" s="220"/>
      <c r="F42" s="220"/>
      <c r="G42" s="220"/>
      <c r="H42" s="220"/>
      <c r="I42" s="220"/>
      <c r="J42" s="220"/>
      <c r="K42" s="220"/>
      <c r="L42" s="220"/>
      <c r="M42" s="220"/>
      <c r="N42" s="220"/>
      <c r="O42" s="220"/>
      <c r="P42" s="220"/>
    </row>
    <row r="43" spans="1:16">
      <c r="A43" s="220"/>
      <c r="B43" s="220"/>
      <c r="C43" s="220"/>
      <c r="D43" s="220"/>
      <c r="E43" s="220"/>
      <c r="F43" s="220"/>
      <c r="G43" s="220"/>
      <c r="H43" s="220"/>
      <c r="I43" s="220"/>
      <c r="J43" s="220"/>
      <c r="K43" s="220"/>
      <c r="L43" s="220"/>
      <c r="M43" s="220"/>
      <c r="N43" s="220"/>
      <c r="O43" s="220"/>
      <c r="P43" s="220"/>
    </row>
    <row r="44" spans="1:16">
      <c r="A44" s="220"/>
      <c r="B44" s="220"/>
      <c r="C44" s="220"/>
      <c r="D44" s="220"/>
      <c r="E44" s="220"/>
      <c r="F44" s="220"/>
      <c r="G44" s="220"/>
      <c r="H44" s="220"/>
      <c r="I44" s="220"/>
      <c r="J44" s="220"/>
      <c r="K44" s="220"/>
      <c r="L44" s="220"/>
      <c r="M44" s="220"/>
      <c r="N44" s="220"/>
      <c r="O44" s="220"/>
      <c r="P44" s="220"/>
    </row>
    <row r="45" spans="1:16">
      <c r="A45" s="220"/>
      <c r="B45" s="220"/>
      <c r="C45" s="220"/>
      <c r="D45" s="220"/>
      <c r="E45" s="220"/>
      <c r="F45" s="220"/>
      <c r="G45" s="220"/>
      <c r="H45" s="220"/>
      <c r="I45" s="220"/>
      <c r="J45" s="220"/>
      <c r="K45" s="220"/>
      <c r="L45" s="220"/>
      <c r="M45" s="220"/>
      <c r="N45" s="220"/>
      <c r="O45" s="220"/>
      <c r="P45" s="220"/>
    </row>
    <row r="46" spans="1:16">
      <c r="A46" s="220"/>
      <c r="B46" s="220"/>
      <c r="C46" s="220"/>
      <c r="D46" s="220"/>
      <c r="E46" s="220"/>
      <c r="F46" s="220"/>
      <c r="G46" s="220"/>
      <c r="H46" s="220"/>
      <c r="I46" s="220"/>
      <c r="J46" s="220"/>
      <c r="K46" s="220"/>
      <c r="L46" s="220"/>
      <c r="M46" s="220"/>
      <c r="N46" s="220"/>
      <c r="O46" s="220"/>
      <c r="P46" s="220"/>
    </row>
    <row r="47" spans="1:16">
      <c r="A47" s="220"/>
      <c r="B47" s="220"/>
      <c r="C47" s="220"/>
      <c r="D47" s="220"/>
      <c r="E47" s="220"/>
      <c r="F47" s="220"/>
      <c r="G47" s="220"/>
      <c r="H47" s="220"/>
      <c r="I47" s="220"/>
      <c r="J47" s="220"/>
      <c r="K47" s="220"/>
      <c r="L47" s="220"/>
      <c r="M47" s="220"/>
      <c r="N47" s="220"/>
      <c r="O47" s="220"/>
      <c r="P47" s="220"/>
    </row>
    <row r="48" spans="1:16">
      <c r="A48" s="220"/>
      <c r="B48" s="220"/>
      <c r="C48" s="220"/>
      <c r="D48" s="220"/>
      <c r="E48" s="220"/>
      <c r="F48" s="220"/>
      <c r="G48" s="220"/>
      <c r="H48" s="220"/>
      <c r="I48" s="220"/>
      <c r="J48" s="220"/>
      <c r="K48" s="220"/>
      <c r="L48" s="220"/>
      <c r="M48" s="220"/>
      <c r="N48" s="220"/>
      <c r="O48" s="220"/>
      <c r="P48" s="220"/>
    </row>
    <row r="49" spans="1:16">
      <c r="A49" s="220"/>
      <c r="B49" s="220"/>
      <c r="C49" s="220"/>
      <c r="D49" s="220"/>
      <c r="E49" s="220"/>
      <c r="F49" s="220"/>
      <c r="G49" s="220"/>
      <c r="H49" s="220"/>
      <c r="I49" s="220"/>
      <c r="J49" s="220"/>
      <c r="K49" s="220"/>
      <c r="L49" s="220"/>
      <c r="M49" s="220"/>
      <c r="N49" s="220"/>
      <c r="O49" s="220"/>
      <c r="P49" s="220"/>
    </row>
    <row r="50" spans="1:16">
      <c r="A50" s="220"/>
      <c r="B50" s="220"/>
      <c r="C50" s="220"/>
      <c r="D50" s="220"/>
      <c r="E50" s="220"/>
      <c r="F50" s="220"/>
      <c r="G50" s="220"/>
      <c r="H50" s="220"/>
      <c r="I50" s="220"/>
      <c r="J50" s="220"/>
      <c r="K50" s="220"/>
      <c r="L50" s="220"/>
      <c r="M50" s="220"/>
      <c r="N50" s="220"/>
      <c r="O50" s="220"/>
      <c r="P50" s="220"/>
    </row>
    <row r="51" spans="1:16">
      <c r="A51" s="220"/>
      <c r="B51" s="220"/>
      <c r="C51" s="220"/>
      <c r="D51" s="220"/>
      <c r="E51" s="220"/>
      <c r="F51" s="220"/>
      <c r="G51" s="220"/>
      <c r="H51" s="220"/>
      <c r="I51" s="220"/>
      <c r="J51" s="220"/>
      <c r="K51" s="220"/>
      <c r="L51" s="220"/>
      <c r="M51" s="220"/>
      <c r="N51" s="220"/>
      <c r="O51" s="220"/>
      <c r="P51" s="220"/>
    </row>
    <row r="52" spans="1:16">
      <c r="A52" s="220"/>
      <c r="B52" s="220"/>
      <c r="C52" s="220"/>
      <c r="D52" s="220"/>
      <c r="E52" s="220"/>
      <c r="F52" s="220"/>
      <c r="G52" s="220"/>
      <c r="H52" s="220"/>
      <c r="I52" s="220"/>
      <c r="J52" s="220"/>
      <c r="K52" s="220"/>
      <c r="L52" s="220"/>
      <c r="M52" s="220"/>
      <c r="N52" s="220"/>
      <c r="O52" s="220"/>
      <c r="P52" s="220"/>
    </row>
    <row r="53" spans="1:16">
      <c r="A53" s="220"/>
      <c r="B53" s="220"/>
      <c r="C53" s="220"/>
      <c r="D53" s="220"/>
      <c r="E53" s="220"/>
      <c r="F53" s="220"/>
      <c r="G53" s="220"/>
      <c r="H53" s="220"/>
      <c r="I53" s="220"/>
      <c r="J53" s="220"/>
      <c r="K53" s="220"/>
      <c r="L53" s="220"/>
      <c r="M53" s="220"/>
      <c r="N53" s="220"/>
      <c r="O53" s="220"/>
      <c r="P53" s="220"/>
    </row>
    <row r="54" spans="1:16">
      <c r="A54" s="220"/>
      <c r="B54" s="220"/>
      <c r="C54" s="220"/>
      <c r="D54" s="220"/>
      <c r="E54" s="220"/>
      <c r="F54" s="220"/>
      <c r="G54" s="220"/>
      <c r="H54" s="220"/>
      <c r="I54" s="220"/>
      <c r="J54" s="220"/>
      <c r="K54" s="220"/>
      <c r="L54" s="220"/>
      <c r="M54" s="220"/>
      <c r="N54" s="220"/>
      <c r="O54" s="220"/>
      <c r="P54" s="220"/>
    </row>
    <row r="55" spans="1:16">
      <c r="A55" s="220"/>
      <c r="B55" s="220"/>
      <c r="C55" s="220"/>
      <c r="D55" s="220"/>
      <c r="E55" s="220"/>
      <c r="F55" s="220"/>
      <c r="G55" s="220"/>
      <c r="H55" s="220"/>
      <c r="I55" s="220"/>
      <c r="J55" s="220"/>
      <c r="K55" s="220"/>
      <c r="L55" s="220"/>
      <c r="M55" s="220"/>
      <c r="N55" s="220"/>
      <c r="O55" s="220"/>
      <c r="P55" s="220"/>
    </row>
    <row r="56" spans="1:16">
      <c r="A56" s="220"/>
      <c r="B56" s="220"/>
      <c r="C56" s="220"/>
      <c r="D56" s="220"/>
      <c r="E56" s="220"/>
      <c r="F56" s="220"/>
      <c r="G56" s="220"/>
      <c r="H56" s="220"/>
      <c r="I56" s="220"/>
      <c r="J56" s="220"/>
      <c r="K56" s="220"/>
      <c r="L56" s="220"/>
      <c r="M56" s="220"/>
      <c r="N56" s="220"/>
      <c r="O56" s="220"/>
      <c r="P56" s="220"/>
    </row>
    <row r="57" spans="1:16">
      <c r="A57" s="220"/>
      <c r="B57" s="220"/>
      <c r="C57" s="220"/>
      <c r="D57" s="220"/>
      <c r="E57" s="220"/>
      <c r="F57" s="220"/>
      <c r="G57" s="220"/>
      <c r="H57" s="220"/>
      <c r="I57" s="220"/>
      <c r="J57" s="220"/>
      <c r="K57" s="220"/>
      <c r="L57" s="220"/>
      <c r="M57" s="220"/>
      <c r="N57" s="220"/>
      <c r="O57" s="220"/>
      <c r="P57" s="220"/>
    </row>
    <row r="58" spans="1:16">
      <c r="A58" s="220"/>
      <c r="B58" s="220"/>
      <c r="C58" s="220"/>
      <c r="D58" s="220"/>
      <c r="E58" s="220"/>
      <c r="F58" s="220"/>
      <c r="G58" s="220"/>
      <c r="H58" s="220"/>
      <c r="I58" s="220"/>
      <c r="J58" s="220"/>
      <c r="K58" s="220"/>
      <c r="L58" s="220"/>
      <c r="M58" s="220"/>
      <c r="N58" s="220"/>
      <c r="O58" s="220"/>
      <c r="P58" s="220"/>
    </row>
    <row r="59" spans="1:16">
      <c r="A59" s="220"/>
      <c r="B59" s="220"/>
      <c r="C59" s="220"/>
      <c r="D59" s="220"/>
      <c r="E59" s="220"/>
      <c r="F59" s="220"/>
      <c r="G59" s="220"/>
      <c r="H59" s="220"/>
      <c r="I59" s="220"/>
      <c r="J59" s="220"/>
      <c r="K59" s="220"/>
      <c r="L59" s="220"/>
      <c r="M59" s="220"/>
      <c r="N59" s="220"/>
      <c r="O59" s="220"/>
      <c r="P59" s="220"/>
    </row>
    <row r="60" spans="1:16">
      <c r="A60" s="220"/>
      <c r="B60" s="220"/>
      <c r="C60" s="220"/>
      <c r="D60" s="220"/>
      <c r="E60" s="220"/>
      <c r="F60" s="220"/>
      <c r="G60" s="220"/>
      <c r="H60" s="220"/>
      <c r="I60" s="220"/>
      <c r="J60" s="220"/>
      <c r="K60" s="220"/>
      <c r="L60" s="220"/>
      <c r="M60" s="220"/>
      <c r="N60" s="220"/>
      <c r="O60" s="220"/>
      <c r="P60" s="220"/>
    </row>
    <row r="61" spans="1:16">
      <c r="A61" s="220"/>
      <c r="B61" s="220"/>
      <c r="C61" s="220"/>
      <c r="D61" s="220"/>
      <c r="E61" s="220"/>
      <c r="F61" s="220"/>
      <c r="G61" s="220"/>
      <c r="H61" s="220"/>
      <c r="I61" s="220"/>
      <c r="J61" s="220"/>
      <c r="K61" s="220"/>
      <c r="L61" s="220"/>
      <c r="M61" s="220"/>
      <c r="N61" s="220"/>
      <c r="O61" s="220"/>
      <c r="P61" s="220"/>
    </row>
    <row r="62" spans="1:16">
      <c r="A62" s="220"/>
      <c r="B62" s="220"/>
      <c r="C62" s="220"/>
      <c r="D62" s="220"/>
      <c r="E62" s="220"/>
      <c r="F62" s="220"/>
      <c r="G62" s="220"/>
      <c r="H62" s="220"/>
      <c r="I62" s="220"/>
      <c r="J62" s="220"/>
      <c r="K62" s="220"/>
      <c r="L62" s="220"/>
      <c r="M62" s="220"/>
      <c r="N62" s="220"/>
      <c r="O62" s="220"/>
      <c r="P62" s="220"/>
    </row>
    <row r="63" spans="1:16">
      <c r="A63" s="220"/>
      <c r="B63" s="220"/>
      <c r="C63" s="220"/>
      <c r="D63" s="220"/>
      <c r="E63" s="220"/>
      <c r="F63" s="220"/>
      <c r="G63" s="220"/>
      <c r="H63" s="220"/>
      <c r="I63" s="220"/>
      <c r="J63" s="220"/>
      <c r="K63" s="220"/>
      <c r="L63" s="220"/>
      <c r="M63" s="220"/>
      <c r="N63" s="220"/>
      <c r="O63" s="220"/>
      <c r="P63" s="220"/>
    </row>
    <row r="64" spans="1:16">
      <c r="A64" s="220"/>
      <c r="B64" s="220"/>
      <c r="C64" s="220"/>
      <c r="D64" s="220"/>
      <c r="E64" s="220"/>
      <c r="F64" s="220"/>
      <c r="G64" s="220"/>
      <c r="H64" s="220"/>
      <c r="I64" s="220"/>
      <c r="J64" s="220"/>
      <c r="K64" s="220"/>
      <c r="L64" s="220"/>
      <c r="M64" s="220"/>
      <c r="N64" s="220"/>
      <c r="O64" s="220"/>
      <c r="P64" s="220"/>
    </row>
    <row r="65" spans="1:16">
      <c r="A65" s="220"/>
      <c r="B65" s="220"/>
      <c r="C65" s="220"/>
      <c r="D65" s="220"/>
      <c r="E65" s="220"/>
      <c r="F65" s="220"/>
      <c r="G65" s="220"/>
      <c r="H65" s="220"/>
      <c r="I65" s="220"/>
      <c r="J65" s="220"/>
      <c r="K65" s="220"/>
      <c r="L65" s="220"/>
      <c r="M65" s="220"/>
      <c r="N65" s="220"/>
      <c r="O65" s="220"/>
      <c r="P65" s="220"/>
    </row>
    <row r="66" spans="1:16">
      <c r="A66" s="220"/>
      <c r="B66" s="220"/>
      <c r="C66" s="220"/>
      <c r="D66" s="220"/>
      <c r="E66" s="220"/>
      <c r="F66" s="220"/>
      <c r="G66" s="220"/>
      <c r="H66" s="220"/>
      <c r="I66" s="220"/>
      <c r="J66" s="220"/>
      <c r="K66" s="220"/>
      <c r="L66" s="220"/>
      <c r="M66" s="220"/>
      <c r="N66" s="220"/>
      <c r="O66" s="220"/>
      <c r="P66" s="220"/>
    </row>
    <row r="67" spans="1:16">
      <c r="A67" s="220"/>
      <c r="B67" s="220"/>
      <c r="C67" s="220"/>
      <c r="D67" s="220"/>
      <c r="E67" s="220"/>
      <c r="F67" s="220"/>
      <c r="G67" s="220"/>
      <c r="H67" s="220"/>
      <c r="I67" s="220"/>
      <c r="J67" s="220"/>
      <c r="K67" s="220"/>
      <c r="L67" s="220"/>
      <c r="M67" s="220"/>
      <c r="N67" s="220"/>
      <c r="O67" s="220"/>
      <c r="P67" s="220"/>
    </row>
    <row r="68" spans="1:16">
      <c r="A68" s="220"/>
      <c r="B68" s="220"/>
      <c r="C68" s="220"/>
      <c r="D68" s="220"/>
      <c r="E68" s="220"/>
      <c r="F68" s="220"/>
      <c r="G68" s="220"/>
      <c r="H68" s="220"/>
      <c r="I68" s="220"/>
      <c r="J68" s="220"/>
      <c r="K68" s="220"/>
      <c r="L68" s="220"/>
      <c r="M68" s="220"/>
      <c r="N68" s="220"/>
      <c r="O68" s="220"/>
      <c r="P68" s="220"/>
    </row>
    <row r="69" spans="1:16">
      <c r="A69" s="220"/>
      <c r="B69" s="220"/>
      <c r="C69" s="220"/>
      <c r="D69" s="220"/>
      <c r="E69" s="220"/>
      <c r="F69" s="220"/>
      <c r="G69" s="220"/>
      <c r="H69" s="220"/>
      <c r="I69" s="220"/>
      <c r="J69" s="220"/>
      <c r="K69" s="220"/>
      <c r="L69" s="220"/>
      <c r="M69" s="220"/>
      <c r="N69" s="220"/>
      <c r="O69" s="220"/>
      <c r="P69" s="220"/>
    </row>
    <row r="70" spans="1:16">
      <c r="A70" s="220"/>
      <c r="B70" s="220"/>
      <c r="C70" s="220"/>
      <c r="D70" s="220"/>
      <c r="E70" s="220"/>
      <c r="F70" s="220"/>
      <c r="G70" s="220"/>
      <c r="H70" s="220"/>
      <c r="I70" s="220"/>
      <c r="J70" s="220"/>
      <c r="K70" s="220"/>
      <c r="L70" s="220"/>
      <c r="M70" s="220"/>
      <c r="N70" s="220"/>
      <c r="O70" s="220"/>
      <c r="P70" s="220"/>
    </row>
    <row r="71" spans="1:16">
      <c r="A71" s="220"/>
      <c r="B71" s="220"/>
      <c r="C71" s="220"/>
      <c r="D71" s="220"/>
      <c r="E71" s="220"/>
      <c r="F71" s="220"/>
      <c r="G71" s="220"/>
      <c r="H71" s="220"/>
      <c r="I71" s="220"/>
      <c r="J71" s="220"/>
      <c r="K71" s="220"/>
      <c r="L71" s="220"/>
      <c r="M71" s="220"/>
      <c r="N71" s="220"/>
      <c r="O71" s="220"/>
      <c r="P71" s="220"/>
    </row>
    <row r="72" spans="1:16">
      <c r="A72" s="220"/>
      <c r="B72" s="220"/>
      <c r="C72" s="220"/>
      <c r="D72" s="220"/>
      <c r="E72" s="220"/>
      <c r="F72" s="220"/>
      <c r="G72" s="220"/>
      <c r="H72" s="220"/>
      <c r="I72" s="220"/>
      <c r="J72" s="220"/>
      <c r="K72" s="220"/>
      <c r="L72" s="220"/>
      <c r="M72" s="220"/>
      <c r="N72" s="220"/>
      <c r="O72" s="220"/>
      <c r="P72" s="220"/>
    </row>
    <row r="73" spans="1:16">
      <c r="A73" s="220"/>
      <c r="B73" s="220"/>
      <c r="C73" s="220"/>
      <c r="D73" s="220"/>
      <c r="E73" s="220"/>
      <c r="F73" s="220"/>
      <c r="G73" s="220"/>
      <c r="H73" s="220"/>
      <c r="I73" s="220"/>
      <c r="J73" s="220"/>
      <c r="K73" s="220"/>
      <c r="L73" s="220"/>
      <c r="M73" s="220"/>
      <c r="N73" s="220"/>
      <c r="O73" s="220"/>
      <c r="P73" s="220"/>
    </row>
    <row r="74" spans="1:16">
      <c r="A74" s="220"/>
      <c r="B74" s="220"/>
      <c r="C74" s="220"/>
      <c r="D74" s="220"/>
      <c r="E74" s="220"/>
      <c r="F74" s="220"/>
      <c r="G74" s="220"/>
      <c r="H74" s="220"/>
      <c r="I74" s="220"/>
      <c r="J74" s="220"/>
      <c r="K74" s="220"/>
      <c r="L74" s="220"/>
      <c r="M74" s="220"/>
      <c r="N74" s="220"/>
      <c r="O74" s="220"/>
      <c r="P74" s="220"/>
    </row>
    <row r="75" spans="1:16">
      <c r="A75" s="220"/>
      <c r="B75" s="220"/>
      <c r="C75" s="220"/>
      <c r="D75" s="220"/>
      <c r="E75" s="220"/>
      <c r="F75" s="220"/>
      <c r="G75" s="220"/>
      <c r="H75" s="220"/>
      <c r="I75" s="220"/>
      <c r="J75" s="220"/>
      <c r="K75" s="220"/>
      <c r="L75" s="220"/>
      <c r="M75" s="220"/>
      <c r="N75" s="220"/>
      <c r="O75" s="220"/>
      <c r="P75" s="220"/>
    </row>
    <row r="76" spans="1:16">
      <c r="A76" s="220"/>
      <c r="B76" s="220"/>
      <c r="C76" s="220"/>
      <c r="D76" s="220"/>
      <c r="E76" s="220"/>
      <c r="F76" s="220"/>
      <c r="G76" s="220"/>
      <c r="H76" s="220"/>
      <c r="I76" s="220"/>
      <c r="J76" s="220"/>
      <c r="K76" s="220"/>
      <c r="L76" s="220"/>
      <c r="M76" s="220"/>
      <c r="N76" s="220"/>
      <c r="O76" s="220"/>
      <c r="P76" s="220"/>
    </row>
    <row r="77" spans="1:16">
      <c r="A77" s="220"/>
      <c r="B77" s="220"/>
      <c r="C77" s="220"/>
      <c r="D77" s="220"/>
      <c r="E77" s="220"/>
      <c r="F77" s="220"/>
      <c r="G77" s="220"/>
      <c r="H77" s="220"/>
      <c r="I77" s="220"/>
      <c r="J77" s="220"/>
      <c r="K77" s="220"/>
      <c r="L77" s="220"/>
      <c r="M77" s="220"/>
      <c r="N77" s="220"/>
      <c r="O77" s="220"/>
      <c r="P77" s="220"/>
    </row>
    <row r="78" spans="1:16">
      <c r="A78" s="220"/>
      <c r="B78" s="220"/>
      <c r="C78" s="220"/>
      <c r="D78" s="220"/>
      <c r="E78" s="220"/>
      <c r="F78" s="220"/>
      <c r="G78" s="220"/>
      <c r="H78" s="220"/>
      <c r="I78" s="220"/>
      <c r="J78" s="220"/>
      <c r="K78" s="220"/>
      <c r="L78" s="220"/>
      <c r="M78" s="220"/>
      <c r="N78" s="220"/>
      <c r="O78" s="220"/>
      <c r="P78" s="220"/>
    </row>
    <row r="79" spans="1:16">
      <c r="A79" s="220"/>
      <c r="B79" s="220"/>
      <c r="C79" s="220"/>
      <c r="D79" s="220"/>
      <c r="E79" s="220"/>
      <c r="F79" s="220"/>
      <c r="G79" s="220"/>
      <c r="H79" s="220"/>
      <c r="I79" s="220"/>
      <c r="J79" s="220"/>
      <c r="K79" s="220"/>
      <c r="L79" s="220"/>
      <c r="M79" s="220"/>
      <c r="N79" s="220"/>
      <c r="O79" s="220"/>
      <c r="P79" s="220"/>
    </row>
    <row r="80" spans="1:16">
      <c r="A80" s="220"/>
      <c r="B80" s="220"/>
      <c r="C80" s="220"/>
      <c r="D80" s="220"/>
      <c r="E80" s="220"/>
      <c r="F80" s="220"/>
      <c r="G80" s="220"/>
      <c r="H80" s="220"/>
      <c r="I80" s="220"/>
      <c r="J80" s="220"/>
      <c r="K80" s="220"/>
      <c r="L80" s="220"/>
      <c r="M80" s="220"/>
      <c r="N80" s="220"/>
      <c r="O80" s="220"/>
      <c r="P80" s="220"/>
    </row>
    <row r="81" spans="1:16">
      <c r="A81" s="220"/>
      <c r="B81" s="220"/>
      <c r="C81" s="220"/>
      <c r="D81" s="220"/>
      <c r="E81" s="220"/>
      <c r="F81" s="220"/>
      <c r="G81" s="220"/>
      <c r="H81" s="220"/>
      <c r="I81" s="220"/>
      <c r="J81" s="220"/>
      <c r="K81" s="220"/>
      <c r="L81" s="220"/>
      <c r="M81" s="220"/>
      <c r="N81" s="220"/>
      <c r="O81" s="220"/>
      <c r="P81" s="220"/>
    </row>
  </sheetData>
  <phoneticPr fontId="19" type="noConversion"/>
  <pageMargins left="1.1811023622047245" right="0.59055118110236227" top="1.3779527559055118" bottom="0.59055118110236227" header="0.51181102362204722" footer="0.51181102362204722"/>
  <pageSetup paperSize="5" scale="95" orientation="landscape" horizontalDpi="300" verticalDpi="300"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topLeftCell="A7" zoomScale="75" workbookViewId="0">
      <selection activeCell="J23" sqref="J23"/>
    </sheetView>
  </sheetViews>
  <sheetFormatPr baseColWidth="10" defaultColWidth="11.42578125" defaultRowHeight="12.75"/>
  <cols>
    <col min="1" max="1" width="9.42578125" style="928" customWidth="1"/>
    <col min="2" max="2" width="26.85546875" style="928" customWidth="1"/>
    <col min="3" max="3" width="13.28515625" style="928" customWidth="1"/>
    <col min="4" max="4" width="12.85546875" style="928" customWidth="1"/>
    <col min="5" max="5" width="12.7109375" style="928" customWidth="1"/>
    <col min="6" max="6" width="11.5703125" style="928" customWidth="1"/>
    <col min="7" max="7" width="11.7109375" style="928" customWidth="1"/>
    <col min="8" max="8" width="10.140625" style="928" customWidth="1"/>
    <col min="9" max="9" width="11.42578125" style="928"/>
    <col min="10" max="10" width="19.5703125" style="928" customWidth="1"/>
    <col min="11" max="16384" width="11.42578125" style="928"/>
  </cols>
  <sheetData>
    <row r="1" spans="1:10" ht="30" customHeight="1">
      <c r="A1" s="1029" t="s">
        <v>1547</v>
      </c>
      <c r="B1" s="971"/>
      <c r="C1" s="926"/>
      <c r="D1" s="926"/>
      <c r="E1" s="926"/>
      <c r="F1" s="926"/>
      <c r="G1" s="926"/>
      <c r="H1" s="926"/>
      <c r="I1" s="926"/>
      <c r="J1" s="926"/>
    </row>
    <row r="2" spans="1:10">
      <c r="A2" s="925"/>
      <c r="B2" s="971"/>
      <c r="C2" s="926"/>
      <c r="D2" s="926"/>
      <c r="E2" s="926"/>
      <c r="F2" s="926"/>
      <c r="G2" s="926"/>
      <c r="H2" s="926"/>
      <c r="I2" s="926"/>
      <c r="J2" s="926"/>
    </row>
    <row r="3" spans="1:10">
      <c r="A3" s="925" t="str">
        <f>+'95'!A3</f>
        <v>SERVICIO DE SALUD   ACONCAGUA   2015</v>
      </c>
      <c r="B3" s="971"/>
      <c r="C3" s="926"/>
      <c r="D3" s="926"/>
      <c r="E3" s="926"/>
      <c r="F3" s="926"/>
      <c r="G3" s="926"/>
      <c r="H3" s="926"/>
      <c r="I3" s="926"/>
      <c r="J3" s="926"/>
    </row>
    <row r="4" spans="1:10">
      <c r="A4" s="972"/>
      <c r="B4" s="971"/>
      <c r="C4" s="926"/>
      <c r="D4" s="926"/>
      <c r="E4" s="926"/>
      <c r="F4" s="926"/>
      <c r="G4" s="926"/>
      <c r="H4" s="926"/>
      <c r="I4" s="926"/>
      <c r="J4" s="926"/>
    </row>
    <row r="5" spans="1:10">
      <c r="A5" s="929"/>
    </row>
    <row r="6" spans="1:10">
      <c r="A6" s="929"/>
    </row>
    <row r="7" spans="1:10" ht="21" customHeight="1">
      <c r="A7" s="931" t="s">
        <v>701</v>
      </c>
      <c r="B7" s="932"/>
      <c r="C7" s="934" t="s">
        <v>229</v>
      </c>
      <c r="D7" s="934"/>
      <c r="E7" s="934"/>
      <c r="F7" s="934"/>
      <c r="G7" s="934"/>
      <c r="H7" s="968"/>
      <c r="J7" s="973" t="s">
        <v>230</v>
      </c>
    </row>
    <row r="8" spans="1:10" ht="23.25" customHeight="1">
      <c r="A8" s="936" t="s">
        <v>703</v>
      </c>
      <c r="B8" s="937" t="s">
        <v>704</v>
      </c>
      <c r="C8" s="939" t="s">
        <v>432</v>
      </c>
      <c r="D8" s="940" t="s">
        <v>649</v>
      </c>
      <c r="E8" s="940" t="s">
        <v>929</v>
      </c>
      <c r="F8" s="940" t="s">
        <v>411</v>
      </c>
      <c r="G8" s="940" t="s">
        <v>412</v>
      </c>
      <c r="H8" s="941" t="s">
        <v>535</v>
      </c>
      <c r="J8" s="974" t="s">
        <v>231</v>
      </c>
    </row>
    <row r="9" spans="1:10">
      <c r="A9" s="942"/>
      <c r="B9" s="943"/>
      <c r="C9" s="944"/>
      <c r="D9" s="944"/>
      <c r="E9" s="944"/>
      <c r="F9" s="944"/>
      <c r="G9" s="944"/>
      <c r="H9" s="969"/>
      <c r="J9" s="947"/>
    </row>
    <row r="10" spans="1:10" ht="17.25" customHeight="1">
      <c r="A10" s="946" t="s">
        <v>738</v>
      </c>
      <c r="B10" s="947" t="s">
        <v>739</v>
      </c>
      <c r="C10" s="949">
        <f>+'91'!P10</f>
        <v>127</v>
      </c>
      <c r="D10" s="949">
        <f>+'92'!P10</f>
        <v>203</v>
      </c>
      <c r="E10" s="949">
        <f>+'93'!P10</f>
        <v>57</v>
      </c>
      <c r="F10" s="949">
        <f>+'94'!P10</f>
        <v>19</v>
      </c>
      <c r="G10" s="975">
        <f>+'95'!P10</f>
        <v>0</v>
      </c>
      <c r="H10" s="951">
        <f t="shared" ref="H10:H27" si="0">SUM(C10:G10)</f>
        <v>406</v>
      </c>
      <c r="I10" s="976"/>
      <c r="J10" s="977">
        <f>+H10/H28*100</f>
        <v>1.7156137756180012</v>
      </c>
    </row>
    <row r="11" spans="1:10" ht="16.5" customHeight="1">
      <c r="A11" s="946" t="s">
        <v>714</v>
      </c>
      <c r="B11" s="947" t="s">
        <v>715</v>
      </c>
      <c r="C11" s="949">
        <f>+'91'!P11</f>
        <v>691</v>
      </c>
      <c r="D11" s="949">
        <f>+'92'!P11</f>
        <v>571</v>
      </c>
      <c r="E11" s="949">
        <f>+'93'!P11</f>
        <v>47</v>
      </c>
      <c r="F11" s="949">
        <f>+'94'!P11</f>
        <v>11</v>
      </c>
      <c r="G11" s="975">
        <f>+'95'!P11</f>
        <v>0</v>
      </c>
      <c r="H11" s="951">
        <f t="shared" si="0"/>
        <v>1320</v>
      </c>
      <c r="I11" s="976"/>
      <c r="J11" s="977">
        <f>+H11/H28*100</f>
        <v>5.577857595605324</v>
      </c>
    </row>
    <row r="12" spans="1:10" ht="15.75" customHeight="1">
      <c r="A12" s="946" t="s">
        <v>213</v>
      </c>
      <c r="B12" s="947" t="s">
        <v>214</v>
      </c>
      <c r="C12" s="949">
        <f>+'91'!P12</f>
        <v>86</v>
      </c>
      <c r="D12" s="949">
        <f>+'92'!P12</f>
        <v>31</v>
      </c>
      <c r="E12" s="949">
        <f>+'93'!P12</f>
        <v>10</v>
      </c>
      <c r="F12" s="949">
        <f>+'94'!P12</f>
        <v>4</v>
      </c>
      <c r="G12" s="975">
        <f>+'95'!P12</f>
        <v>0</v>
      </c>
      <c r="H12" s="951">
        <f t="shared" si="0"/>
        <v>131</v>
      </c>
      <c r="I12" s="976"/>
      <c r="J12" s="977">
        <f>+H12/H28*100</f>
        <v>0.55356010986689208</v>
      </c>
    </row>
    <row r="13" spans="1:10" ht="16.5" customHeight="1">
      <c r="A13" s="946" t="s">
        <v>742</v>
      </c>
      <c r="B13" s="947" t="s">
        <v>743</v>
      </c>
      <c r="C13" s="949">
        <f>+'91'!P13</f>
        <v>431</v>
      </c>
      <c r="D13" s="949">
        <f>+'92'!P13</f>
        <v>180</v>
      </c>
      <c r="E13" s="949">
        <f>+'93'!P13</f>
        <v>77</v>
      </c>
      <c r="F13" s="949">
        <f>+'94'!P13</f>
        <v>32</v>
      </c>
      <c r="G13" s="975">
        <f>+'95'!P13</f>
        <v>0</v>
      </c>
      <c r="H13" s="951">
        <f t="shared" si="0"/>
        <v>720</v>
      </c>
      <c r="I13" s="976"/>
      <c r="J13" s="977">
        <f>+H13/H28*100</f>
        <v>3.0424677794210861</v>
      </c>
    </row>
    <row r="14" spans="1:10" ht="17.25" customHeight="1">
      <c r="A14" s="946" t="s">
        <v>215</v>
      </c>
      <c r="B14" s="947" t="s">
        <v>216</v>
      </c>
      <c r="C14" s="949">
        <f>+'91'!P14</f>
        <v>69</v>
      </c>
      <c r="D14" s="949">
        <f>+'92'!P14</f>
        <v>28</v>
      </c>
      <c r="E14" s="949">
        <f>+'93'!P14</f>
        <v>43</v>
      </c>
      <c r="F14" s="949">
        <f>+'94'!P14</f>
        <v>39</v>
      </c>
      <c r="G14" s="975">
        <f>+'95'!P14</f>
        <v>872</v>
      </c>
      <c r="H14" s="951">
        <f t="shared" si="0"/>
        <v>1051</v>
      </c>
      <c r="I14" s="976"/>
      <c r="J14" s="977">
        <f>+H14/H28*100</f>
        <v>4.441157828016058</v>
      </c>
    </row>
    <row r="15" spans="1:10" ht="18" customHeight="1">
      <c r="A15" s="946" t="s">
        <v>217</v>
      </c>
      <c r="B15" s="947" t="s">
        <v>218</v>
      </c>
      <c r="C15" s="949">
        <f>+'91'!P15</f>
        <v>304</v>
      </c>
      <c r="D15" s="949">
        <f>+'92'!P15</f>
        <v>84</v>
      </c>
      <c r="E15" s="949">
        <f>+'93'!P15</f>
        <v>18</v>
      </c>
      <c r="F15" s="949">
        <f>+'94'!P15</f>
        <v>11</v>
      </c>
      <c r="G15" s="975">
        <f>+'95'!P15</f>
        <v>0</v>
      </c>
      <c r="H15" s="951">
        <f t="shared" si="0"/>
        <v>417</v>
      </c>
      <c r="I15" s="976"/>
      <c r="J15" s="977">
        <f>+H15/H28*100</f>
        <v>1.7620959222480457</v>
      </c>
    </row>
    <row r="16" spans="1:10" ht="18" customHeight="1">
      <c r="A16" s="946" t="s">
        <v>219</v>
      </c>
      <c r="B16" s="947" t="s">
        <v>220</v>
      </c>
      <c r="C16" s="949">
        <f>+'91'!P16</f>
        <v>85</v>
      </c>
      <c r="D16" s="949">
        <f>+'92'!P16</f>
        <v>15</v>
      </c>
      <c r="E16" s="949">
        <f>+'93'!P16</f>
        <v>8</v>
      </c>
      <c r="F16" s="949">
        <f>+'94'!P16</f>
        <v>2</v>
      </c>
      <c r="G16" s="975">
        <f>+'95'!P16</f>
        <v>0</v>
      </c>
      <c r="H16" s="951">
        <f>SUM(C16:G16)</f>
        <v>110</v>
      </c>
      <c r="I16" s="976"/>
      <c r="J16" s="977">
        <f>+H16/H28*100</f>
        <v>0.46482146630044374</v>
      </c>
    </row>
    <row r="17" spans="1:10" ht="17.25" customHeight="1">
      <c r="A17" s="946" t="s">
        <v>712</v>
      </c>
      <c r="B17" s="947" t="s">
        <v>713</v>
      </c>
      <c r="C17" s="949">
        <f>+'91'!P17</f>
        <v>1202</v>
      </c>
      <c r="D17" s="949">
        <f>+'92'!P17</f>
        <v>694</v>
      </c>
      <c r="E17" s="949">
        <f>+'93'!P17</f>
        <v>134</v>
      </c>
      <c r="F17" s="949">
        <f>+'94'!P17</f>
        <v>82</v>
      </c>
      <c r="G17" s="975">
        <f>+'95'!P17</f>
        <v>0</v>
      </c>
      <c r="H17" s="951">
        <f t="shared" si="0"/>
        <v>2112</v>
      </c>
      <c r="I17" s="976"/>
      <c r="J17" s="977">
        <f>+H17/H28*100</f>
        <v>8.9245721529685191</v>
      </c>
    </row>
    <row r="18" spans="1:10" ht="17.25" customHeight="1">
      <c r="A18" s="946" t="s">
        <v>716</v>
      </c>
      <c r="B18" s="947" t="s">
        <v>717</v>
      </c>
      <c r="C18" s="949">
        <f>+'91'!P18</f>
        <v>992</v>
      </c>
      <c r="D18" s="949">
        <f>+'92'!P18</f>
        <v>466</v>
      </c>
      <c r="E18" s="949">
        <f>+'93'!P18</f>
        <v>511</v>
      </c>
      <c r="F18" s="949">
        <f>+'94'!P18</f>
        <v>124</v>
      </c>
      <c r="G18" s="975">
        <f>+'95'!P18</f>
        <v>0</v>
      </c>
      <c r="H18" s="951">
        <f t="shared" si="0"/>
        <v>2093</v>
      </c>
      <c r="I18" s="976"/>
      <c r="J18" s="977">
        <f>+H18/H28*100</f>
        <v>8.844284808789352</v>
      </c>
    </row>
    <row r="19" spans="1:10" ht="16.5" customHeight="1">
      <c r="A19" s="946" t="s">
        <v>734</v>
      </c>
      <c r="B19" s="947" t="s">
        <v>735</v>
      </c>
      <c r="C19" s="949">
        <f>+'91'!P19</f>
        <v>2191</v>
      </c>
      <c r="D19" s="949">
        <f>+'92'!P19</f>
        <v>1310</v>
      </c>
      <c r="E19" s="949">
        <f>+'93'!P19</f>
        <v>97</v>
      </c>
      <c r="F19" s="949">
        <f>+'94'!P19</f>
        <v>60</v>
      </c>
      <c r="G19" s="975">
        <f>+'95'!P19</f>
        <v>0</v>
      </c>
      <c r="H19" s="951">
        <f t="shared" si="0"/>
        <v>3658</v>
      </c>
      <c r="I19" s="976"/>
      <c r="J19" s="977">
        <f>+H19/H28*100</f>
        <v>15.457426579336571</v>
      </c>
    </row>
    <row r="20" spans="1:10" ht="17.25" customHeight="1">
      <c r="A20" s="946" t="s">
        <v>221</v>
      </c>
      <c r="B20" s="947" t="s">
        <v>222</v>
      </c>
      <c r="C20" s="949">
        <f>+'91'!P20</f>
        <v>155</v>
      </c>
      <c r="D20" s="949">
        <f>+'92'!P20</f>
        <v>116</v>
      </c>
      <c r="E20" s="949">
        <f>+'93'!P20</f>
        <v>77</v>
      </c>
      <c r="F20" s="949">
        <f>+'94'!P20</f>
        <v>31</v>
      </c>
      <c r="G20" s="975">
        <f>+'95'!P20</f>
        <v>0</v>
      </c>
      <c r="H20" s="951">
        <f t="shared" si="0"/>
        <v>379</v>
      </c>
      <c r="I20" s="976"/>
      <c r="J20" s="977">
        <f>+H20/H28*100</f>
        <v>1.6015212338897107</v>
      </c>
    </row>
    <row r="21" spans="1:10" ht="17.25" customHeight="1">
      <c r="A21" s="946" t="s">
        <v>223</v>
      </c>
      <c r="B21" s="947" t="s">
        <v>224</v>
      </c>
      <c r="C21" s="949">
        <f>+'91'!P21</f>
        <v>161</v>
      </c>
      <c r="D21" s="949">
        <f>+'92'!P21</f>
        <v>845</v>
      </c>
      <c r="E21" s="949">
        <f>+'93'!P21</f>
        <v>22</v>
      </c>
      <c r="F21" s="949">
        <f>+'94'!P21</f>
        <v>5</v>
      </c>
      <c r="G21" s="975">
        <f>+'95'!P21</f>
        <v>0</v>
      </c>
      <c r="H21" s="951">
        <f t="shared" si="0"/>
        <v>1033</v>
      </c>
      <c r="I21" s="976"/>
      <c r="J21" s="977">
        <f>+H21/H28*100</f>
        <v>4.3650961335305309</v>
      </c>
    </row>
    <row r="22" spans="1:10" ht="16.5" customHeight="1">
      <c r="A22" s="946" t="s">
        <v>736</v>
      </c>
      <c r="B22" s="947" t="s">
        <v>737</v>
      </c>
      <c r="C22" s="949">
        <f>+'91'!P22</f>
        <v>1002</v>
      </c>
      <c r="D22" s="949">
        <f>+'92'!P22</f>
        <v>1067</v>
      </c>
      <c r="E22" s="949">
        <f>+'93'!P22</f>
        <v>155</v>
      </c>
      <c r="F22" s="949">
        <f>+'94'!P22</f>
        <v>66</v>
      </c>
      <c r="G22" s="975">
        <f>+'95'!P22</f>
        <v>0</v>
      </c>
      <c r="H22" s="951">
        <f t="shared" si="0"/>
        <v>2290</v>
      </c>
      <c r="I22" s="976"/>
      <c r="J22" s="977">
        <f>+H22/H28*100</f>
        <v>9.6767377984365091</v>
      </c>
    </row>
    <row r="23" spans="1:10" ht="17.25" customHeight="1">
      <c r="A23" s="946" t="s">
        <v>225</v>
      </c>
      <c r="B23" s="947" t="s">
        <v>226</v>
      </c>
      <c r="C23" s="949">
        <f>+'91'!P23</f>
        <v>2859</v>
      </c>
      <c r="D23" s="949">
        <f>+'92'!P23</f>
        <v>1931</v>
      </c>
      <c r="E23" s="949">
        <f>+'93'!P23</f>
        <v>2</v>
      </c>
      <c r="F23" s="949">
        <f>+'94'!P23</f>
        <v>0</v>
      </c>
      <c r="G23" s="975">
        <f>+'95'!P23</f>
        <v>0</v>
      </c>
      <c r="H23" s="951">
        <f t="shared" si="0"/>
        <v>4792</v>
      </c>
      <c r="I23" s="976"/>
      <c r="J23" s="977">
        <f>+H23/H28*100</f>
        <v>20.249313331924785</v>
      </c>
    </row>
    <row r="24" spans="1:10" ht="17.25" customHeight="1">
      <c r="A24" s="946" t="s">
        <v>744</v>
      </c>
      <c r="B24" s="947" t="s">
        <v>745</v>
      </c>
      <c r="C24" s="949">
        <f>+'91'!P24</f>
        <v>360</v>
      </c>
      <c r="D24" s="949">
        <f>+'92'!P24</f>
        <v>306</v>
      </c>
      <c r="E24" s="949">
        <f>+'93'!P24</f>
        <v>0</v>
      </c>
      <c r="F24" s="949">
        <f>+'94'!P24</f>
        <v>0</v>
      </c>
      <c r="G24" s="975">
        <f>+'95'!P24</f>
        <v>0</v>
      </c>
      <c r="H24" s="951">
        <f t="shared" si="0"/>
        <v>666</v>
      </c>
      <c r="I24" s="976"/>
      <c r="J24" s="977">
        <f>+H24/H28*100</f>
        <v>2.8142826959645046</v>
      </c>
    </row>
    <row r="25" spans="1:10" ht="18" customHeight="1">
      <c r="A25" s="946" t="s">
        <v>746</v>
      </c>
      <c r="B25" s="947" t="s">
        <v>747</v>
      </c>
      <c r="C25" s="949">
        <f>+'91'!P25</f>
        <v>162</v>
      </c>
      <c r="D25" s="949">
        <f>+'92'!P25</f>
        <v>62</v>
      </c>
      <c r="E25" s="949">
        <f>+'93'!P25</f>
        <v>0</v>
      </c>
      <c r="F25" s="949">
        <f>+'94'!P25</f>
        <v>0</v>
      </c>
      <c r="G25" s="975">
        <f>+'95'!P25</f>
        <v>0</v>
      </c>
      <c r="H25" s="951">
        <f t="shared" si="0"/>
        <v>224</v>
      </c>
      <c r="I25" s="976"/>
      <c r="J25" s="977">
        <f>+H25/H28*100</f>
        <v>0.94654553137544906</v>
      </c>
    </row>
    <row r="26" spans="1:10" ht="18" customHeight="1">
      <c r="A26" s="946" t="s">
        <v>740</v>
      </c>
      <c r="B26" s="947" t="s">
        <v>761</v>
      </c>
      <c r="C26" s="949">
        <f>+'91'!P26</f>
        <v>40</v>
      </c>
      <c r="D26" s="949">
        <f>+'92'!P26</f>
        <v>169</v>
      </c>
      <c r="E26" s="949">
        <f>+'93'!P26</f>
        <v>57</v>
      </c>
      <c r="F26" s="949">
        <f>+'94'!P26</f>
        <v>25</v>
      </c>
      <c r="G26" s="975">
        <f>+'95'!P26</f>
        <v>0</v>
      </c>
      <c r="H26" s="951">
        <f t="shared" si="0"/>
        <v>291</v>
      </c>
      <c r="I26" s="976"/>
      <c r="J26" s="977">
        <f>+H26/H28*100</f>
        <v>1.2296640608493554</v>
      </c>
    </row>
    <row r="27" spans="1:10" ht="28.5" customHeight="1">
      <c r="A27" s="946" t="s">
        <v>732</v>
      </c>
      <c r="B27" s="952" t="s">
        <v>227</v>
      </c>
      <c r="C27" s="949">
        <f>+'91'!P27</f>
        <v>504</v>
      </c>
      <c r="D27" s="949">
        <f>+'92'!P27</f>
        <v>1283</v>
      </c>
      <c r="E27" s="949">
        <f>+'93'!P27</f>
        <v>127</v>
      </c>
      <c r="F27" s="949">
        <f>+'94'!P27</f>
        <v>57</v>
      </c>
      <c r="G27" s="975">
        <f>+'95'!P27</f>
        <v>1</v>
      </c>
      <c r="H27" s="951">
        <f t="shared" si="0"/>
        <v>1972</v>
      </c>
      <c r="I27" s="976"/>
      <c r="J27" s="977">
        <f>+H27/H28*100</f>
        <v>8.3329811958588635</v>
      </c>
    </row>
    <row r="28" spans="1:10" ht="21.75" customHeight="1">
      <c r="A28" s="953"/>
      <c r="B28" s="953" t="s">
        <v>535</v>
      </c>
      <c r="C28" s="955">
        <f t="shared" ref="C28:H28" si="1">SUM(C10:C27)</f>
        <v>11421</v>
      </c>
      <c r="D28" s="955">
        <f t="shared" si="1"/>
        <v>9361</v>
      </c>
      <c r="E28" s="955">
        <f t="shared" si="1"/>
        <v>1442</v>
      </c>
      <c r="F28" s="955">
        <f t="shared" si="1"/>
        <v>568</v>
      </c>
      <c r="G28" s="955">
        <f t="shared" si="1"/>
        <v>873</v>
      </c>
      <c r="H28" s="957">
        <f t="shared" si="1"/>
        <v>23665</v>
      </c>
      <c r="I28" s="976"/>
      <c r="J28" s="978">
        <f>SUM(J10:J27)</f>
        <v>100</v>
      </c>
    </row>
    <row r="35" ht="18.75" customHeight="1"/>
    <row r="36" ht="23.25" customHeight="1"/>
  </sheetData>
  <phoneticPr fontId="19" type="noConversion"/>
  <pageMargins left="1.7716535433070868" right="0.78740157480314965" top="0.78740157480314965" bottom="0.59055118110236227" header="0.51181102362204722" footer="0.51181102362204722"/>
  <pageSetup paperSize="5" scale="95" orientation="landscape" horizontalDpi="300" verticalDpi="300"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1"/>
  <sheetViews>
    <sheetView zoomScale="75" workbookViewId="0">
      <selection activeCell="A54" sqref="A54:B54"/>
    </sheetView>
  </sheetViews>
  <sheetFormatPr baseColWidth="10" defaultColWidth="11.42578125" defaultRowHeight="12.75"/>
  <cols>
    <col min="1" max="1" width="9.42578125" style="967" customWidth="1"/>
    <col min="2" max="2" width="26.85546875" style="967" customWidth="1"/>
    <col min="3" max="3" width="11.42578125" style="967"/>
    <col min="4" max="4" width="9.85546875" style="967" customWidth="1"/>
    <col min="5" max="5" width="10.85546875" style="967" customWidth="1"/>
    <col min="6" max="6" width="9.28515625" style="967" customWidth="1"/>
    <col min="7" max="8" width="9.5703125" style="967" customWidth="1"/>
    <col min="9" max="10" width="9.28515625" style="967" customWidth="1"/>
    <col min="11" max="12" width="9.7109375" style="967" customWidth="1"/>
    <col min="13" max="13" width="10" style="967" customWidth="1"/>
    <col min="14" max="16" width="8.5703125" style="967" customWidth="1"/>
    <col min="17" max="24" width="8.140625" style="967" customWidth="1"/>
    <col min="25" max="16384" width="11.42578125" style="967"/>
  </cols>
  <sheetData>
    <row r="1" spans="1:18">
      <c r="A1" s="979" t="s">
        <v>212</v>
      </c>
      <c r="B1" s="979"/>
      <c r="C1" s="965"/>
      <c r="D1" s="965"/>
      <c r="E1" s="965"/>
      <c r="F1" s="965"/>
      <c r="G1" s="965"/>
      <c r="H1" s="965"/>
      <c r="I1" s="965"/>
      <c r="J1" s="965"/>
      <c r="K1" s="965"/>
      <c r="L1" s="965"/>
      <c r="M1" s="965"/>
      <c r="N1" s="965"/>
      <c r="O1" s="965"/>
      <c r="P1" s="965"/>
    </row>
    <row r="2" spans="1:18">
      <c r="A2" s="979"/>
      <c r="B2" s="979"/>
      <c r="C2" s="965"/>
      <c r="D2" s="965"/>
      <c r="E2" s="965"/>
      <c r="F2" s="965"/>
      <c r="G2" s="965"/>
      <c r="H2" s="965"/>
      <c r="I2" s="965"/>
      <c r="J2" s="965"/>
      <c r="K2" s="965"/>
      <c r="L2" s="965"/>
      <c r="M2" s="965"/>
      <c r="N2" s="965"/>
      <c r="O2" s="965"/>
      <c r="P2" s="965"/>
    </row>
    <row r="3" spans="1:18">
      <c r="A3" s="979" t="str">
        <f>+'89'!A3</f>
        <v>SERVICIO DE SALUD   ACONCAGUA   2015</v>
      </c>
      <c r="B3" s="979"/>
      <c r="C3" s="965"/>
      <c r="D3" s="965"/>
      <c r="E3" s="965"/>
      <c r="F3" s="965"/>
      <c r="G3" s="965"/>
      <c r="H3" s="965"/>
      <c r="I3" s="965"/>
      <c r="J3" s="965"/>
      <c r="K3" s="965"/>
      <c r="L3" s="965"/>
      <c r="M3" s="965"/>
      <c r="N3" s="965"/>
      <c r="O3" s="965"/>
      <c r="P3" s="965"/>
    </row>
    <row r="4" spans="1:18">
      <c r="A4" s="979"/>
      <c r="B4" s="979"/>
      <c r="C4" s="965"/>
      <c r="D4" s="965"/>
      <c r="E4" s="965"/>
      <c r="F4" s="965"/>
      <c r="G4" s="965"/>
      <c r="H4" s="965"/>
      <c r="I4" s="965"/>
      <c r="J4" s="965"/>
      <c r="K4" s="965"/>
      <c r="L4" s="965"/>
      <c r="M4" s="965"/>
      <c r="N4" s="965"/>
      <c r="O4" s="965"/>
      <c r="P4" s="965"/>
    </row>
    <row r="5" spans="1:18">
      <c r="A5" s="979" t="s">
        <v>232</v>
      </c>
      <c r="B5" s="979"/>
      <c r="C5" s="965"/>
      <c r="D5" s="965"/>
      <c r="E5" s="965"/>
      <c r="F5" s="965"/>
      <c r="G5" s="965"/>
      <c r="H5" s="965"/>
      <c r="I5" s="965"/>
      <c r="J5" s="965"/>
      <c r="K5" s="965"/>
      <c r="L5" s="965"/>
      <c r="M5" s="965"/>
      <c r="N5" s="965"/>
      <c r="O5" s="965"/>
      <c r="P5" s="965"/>
    </row>
    <row r="6" spans="1:18">
      <c r="A6" s="980"/>
    </row>
    <row r="7" spans="1:18" ht="18.75" customHeight="1">
      <c r="A7" s="981" t="s">
        <v>701</v>
      </c>
      <c r="B7" s="932"/>
      <c r="C7" s="933"/>
      <c r="D7" s="934" t="s">
        <v>702</v>
      </c>
      <c r="E7" s="934"/>
      <c r="F7" s="934"/>
      <c r="G7" s="934"/>
      <c r="H7" s="934"/>
      <c r="I7" s="934"/>
      <c r="J7" s="934"/>
      <c r="K7" s="934"/>
      <c r="L7" s="934"/>
      <c r="M7" s="934"/>
      <c r="N7" s="934"/>
      <c r="O7" s="934"/>
      <c r="P7" s="935"/>
    </row>
    <row r="8" spans="1:18" ht="23.25" customHeight="1">
      <c r="A8" s="982" t="s">
        <v>703</v>
      </c>
      <c r="B8" s="983" t="s">
        <v>704</v>
      </c>
      <c r="C8" s="984" t="s">
        <v>705</v>
      </c>
      <c r="D8" s="939" t="s">
        <v>649</v>
      </c>
      <c r="E8" s="940" t="s">
        <v>706</v>
      </c>
      <c r="F8" s="940" t="s">
        <v>707</v>
      </c>
      <c r="G8" s="940" t="s">
        <v>447</v>
      </c>
      <c r="H8" s="984" t="s">
        <v>708</v>
      </c>
      <c r="I8" s="940" t="s">
        <v>709</v>
      </c>
      <c r="J8" s="940" t="s">
        <v>411</v>
      </c>
      <c r="K8" s="940" t="s">
        <v>429</v>
      </c>
      <c r="L8" s="940" t="s">
        <v>434</v>
      </c>
      <c r="M8" s="940" t="s">
        <v>710</v>
      </c>
      <c r="N8" s="940" t="s">
        <v>436</v>
      </c>
      <c r="O8" s="940" t="s">
        <v>711</v>
      </c>
      <c r="P8" s="941" t="s">
        <v>535</v>
      </c>
    </row>
    <row r="9" spans="1:18">
      <c r="A9" s="942"/>
      <c r="B9" s="943"/>
      <c r="C9" s="932"/>
      <c r="D9" s="985"/>
      <c r="E9" s="985"/>
      <c r="F9" s="985"/>
      <c r="G9" s="985"/>
      <c r="H9" s="986"/>
      <c r="I9" s="985"/>
      <c r="J9" s="985"/>
      <c r="K9" s="985"/>
      <c r="L9" s="985"/>
      <c r="M9" s="985"/>
      <c r="N9" s="985"/>
      <c r="O9" s="985"/>
      <c r="P9" s="969"/>
    </row>
    <row r="10" spans="1:18" ht="18" customHeight="1">
      <c r="A10" s="946" t="s">
        <v>738</v>
      </c>
      <c r="B10" s="947" t="s">
        <v>739</v>
      </c>
      <c r="C10" s="948">
        <f>SUM(D10:G10)</f>
        <v>15</v>
      </c>
      <c r="D10" s="987">
        <v>9</v>
      </c>
      <c r="E10" s="987">
        <v>1</v>
      </c>
      <c r="F10" s="987">
        <v>3</v>
      </c>
      <c r="G10" s="987">
        <v>2</v>
      </c>
      <c r="H10" s="988">
        <f>SUM(I10:N10)</f>
        <v>110</v>
      </c>
      <c r="I10" s="989">
        <v>76</v>
      </c>
      <c r="J10" s="989">
        <v>6</v>
      </c>
      <c r="K10" s="989">
        <v>8</v>
      </c>
      <c r="L10" s="989">
        <v>4</v>
      </c>
      <c r="M10" s="989">
        <v>9</v>
      </c>
      <c r="N10" s="989">
        <v>7</v>
      </c>
      <c r="O10" s="989">
        <v>2</v>
      </c>
      <c r="P10" s="951">
        <f>+O10+H10+C10</f>
        <v>127</v>
      </c>
    </row>
    <row r="11" spans="1:18" ht="20.25" customHeight="1">
      <c r="A11" s="946" t="s">
        <v>714</v>
      </c>
      <c r="B11" s="947" t="s">
        <v>715</v>
      </c>
      <c r="C11" s="948">
        <f t="shared" ref="C11:C27" si="0">SUM(D11:G11)</f>
        <v>29</v>
      </c>
      <c r="D11" s="987">
        <v>19</v>
      </c>
      <c r="E11" s="987">
        <v>5</v>
      </c>
      <c r="F11" s="987">
        <v>4</v>
      </c>
      <c r="G11" s="987">
        <v>1</v>
      </c>
      <c r="H11" s="988">
        <f>SUM(I11:N11)</f>
        <v>654</v>
      </c>
      <c r="I11" s="989">
        <v>340</v>
      </c>
      <c r="J11" s="989">
        <v>71</v>
      </c>
      <c r="K11" s="989">
        <v>72</v>
      </c>
      <c r="L11" s="989">
        <v>39</v>
      </c>
      <c r="M11" s="989">
        <v>74</v>
      </c>
      <c r="N11" s="989">
        <v>58</v>
      </c>
      <c r="O11" s="989">
        <v>8</v>
      </c>
      <c r="P11" s="951">
        <f t="shared" ref="P11:P27" si="1">+O11+H11+C11</f>
        <v>691</v>
      </c>
      <c r="Q11" s="966"/>
      <c r="R11" s="966"/>
    </row>
    <row r="12" spans="1:18" ht="19.5" customHeight="1">
      <c r="A12" s="946" t="s">
        <v>213</v>
      </c>
      <c r="B12" s="947" t="s">
        <v>214</v>
      </c>
      <c r="C12" s="948">
        <f t="shared" si="0"/>
        <v>14</v>
      </c>
      <c r="D12" s="987">
        <v>13</v>
      </c>
      <c r="E12" s="987">
        <v>1</v>
      </c>
      <c r="F12" s="987"/>
      <c r="G12" s="987"/>
      <c r="H12" s="988">
        <f>SUM(I12:N12)</f>
        <v>72</v>
      </c>
      <c r="I12" s="989">
        <v>31</v>
      </c>
      <c r="J12" s="989">
        <v>18</v>
      </c>
      <c r="K12" s="989">
        <v>7</v>
      </c>
      <c r="L12" s="989">
        <v>2</v>
      </c>
      <c r="M12" s="989">
        <v>10</v>
      </c>
      <c r="N12" s="989">
        <v>4</v>
      </c>
      <c r="O12" s="989"/>
      <c r="P12" s="951">
        <f t="shared" si="1"/>
        <v>86</v>
      </c>
      <c r="Q12" s="966"/>
    </row>
    <row r="13" spans="1:18" ht="20.25" customHeight="1">
      <c r="A13" s="946" t="s">
        <v>742</v>
      </c>
      <c r="B13" s="947" t="s">
        <v>743</v>
      </c>
      <c r="C13" s="948">
        <f t="shared" si="0"/>
        <v>46</v>
      </c>
      <c r="D13" s="987">
        <v>24</v>
      </c>
      <c r="E13" s="987">
        <v>4</v>
      </c>
      <c r="F13" s="987">
        <v>13</v>
      </c>
      <c r="G13" s="987">
        <v>5</v>
      </c>
      <c r="H13" s="988">
        <f>SUM(I13:N13)</f>
        <v>330</v>
      </c>
      <c r="I13" s="989">
        <v>208</v>
      </c>
      <c r="J13" s="989">
        <v>33</v>
      </c>
      <c r="K13" s="989">
        <v>30</v>
      </c>
      <c r="L13" s="989">
        <v>8</v>
      </c>
      <c r="M13" s="989">
        <v>35</v>
      </c>
      <c r="N13" s="989">
        <v>16</v>
      </c>
      <c r="O13" s="989">
        <v>55</v>
      </c>
      <c r="P13" s="951">
        <f t="shared" si="1"/>
        <v>431</v>
      </c>
      <c r="Q13" s="966"/>
    </row>
    <row r="14" spans="1:18" ht="19.5" customHeight="1">
      <c r="A14" s="946" t="s">
        <v>215</v>
      </c>
      <c r="B14" s="947" t="s">
        <v>216</v>
      </c>
      <c r="C14" s="948">
        <f t="shared" si="0"/>
        <v>7</v>
      </c>
      <c r="D14" s="989">
        <v>3</v>
      </c>
      <c r="E14" s="989">
        <v>2</v>
      </c>
      <c r="F14" s="989"/>
      <c r="G14" s="989">
        <v>2</v>
      </c>
      <c r="H14" s="948">
        <f t="shared" ref="H14:H27" si="2">SUM(I14:N14)</f>
        <v>62</v>
      </c>
      <c r="I14" s="989">
        <v>40</v>
      </c>
      <c r="J14" s="989">
        <v>2</v>
      </c>
      <c r="K14" s="989">
        <v>3</v>
      </c>
      <c r="L14" s="989">
        <v>4</v>
      </c>
      <c r="M14" s="989">
        <v>4</v>
      </c>
      <c r="N14" s="989">
        <v>9</v>
      </c>
      <c r="O14" s="989"/>
      <c r="P14" s="951">
        <f t="shared" si="1"/>
        <v>69</v>
      </c>
      <c r="Q14" s="966"/>
    </row>
    <row r="15" spans="1:18" ht="19.5" customHeight="1">
      <c r="A15" s="946" t="s">
        <v>217</v>
      </c>
      <c r="B15" s="947" t="s">
        <v>218</v>
      </c>
      <c r="C15" s="948">
        <f t="shared" si="0"/>
        <v>52</v>
      </c>
      <c r="D15" s="989">
        <v>33</v>
      </c>
      <c r="E15" s="989">
        <v>9</v>
      </c>
      <c r="F15" s="989">
        <v>5</v>
      </c>
      <c r="G15" s="989">
        <v>5</v>
      </c>
      <c r="H15" s="948">
        <f t="shared" si="2"/>
        <v>245</v>
      </c>
      <c r="I15" s="989">
        <v>148</v>
      </c>
      <c r="J15" s="989">
        <v>17</v>
      </c>
      <c r="K15" s="989">
        <v>27</v>
      </c>
      <c r="L15" s="989">
        <v>2</v>
      </c>
      <c r="M15" s="989">
        <v>20</v>
      </c>
      <c r="N15" s="989">
        <v>31</v>
      </c>
      <c r="O15" s="989">
        <v>7</v>
      </c>
      <c r="P15" s="951">
        <f t="shared" si="1"/>
        <v>304</v>
      </c>
      <c r="Q15" s="966"/>
    </row>
    <row r="16" spans="1:18" ht="19.5" customHeight="1">
      <c r="A16" s="946" t="s">
        <v>219</v>
      </c>
      <c r="B16" s="947" t="s">
        <v>220</v>
      </c>
      <c r="C16" s="948">
        <f t="shared" si="0"/>
        <v>29</v>
      </c>
      <c r="D16" s="989">
        <v>19</v>
      </c>
      <c r="E16" s="989">
        <v>5</v>
      </c>
      <c r="F16" s="989">
        <v>3</v>
      </c>
      <c r="G16" s="989">
        <v>2</v>
      </c>
      <c r="H16" s="948">
        <f t="shared" si="2"/>
        <v>54</v>
      </c>
      <c r="I16" s="989">
        <v>30</v>
      </c>
      <c r="J16" s="989">
        <v>2</v>
      </c>
      <c r="K16" s="989">
        <v>8</v>
      </c>
      <c r="L16" s="989">
        <v>7</v>
      </c>
      <c r="M16" s="989">
        <v>3</v>
      </c>
      <c r="N16" s="989">
        <v>4</v>
      </c>
      <c r="O16" s="989">
        <v>2</v>
      </c>
      <c r="P16" s="951">
        <f t="shared" si="1"/>
        <v>85</v>
      </c>
      <c r="Q16" s="966"/>
    </row>
    <row r="17" spans="1:17" ht="20.25" customHeight="1">
      <c r="A17" s="946" t="s">
        <v>712</v>
      </c>
      <c r="B17" s="947" t="s">
        <v>713</v>
      </c>
      <c r="C17" s="948">
        <f t="shared" si="0"/>
        <v>96</v>
      </c>
      <c r="D17" s="989">
        <v>61</v>
      </c>
      <c r="E17" s="989">
        <v>18</v>
      </c>
      <c r="F17" s="989">
        <v>5</v>
      </c>
      <c r="G17" s="989">
        <v>12</v>
      </c>
      <c r="H17" s="948">
        <f t="shared" si="2"/>
        <v>1092</v>
      </c>
      <c r="I17" s="989">
        <v>611</v>
      </c>
      <c r="J17" s="989">
        <v>56</v>
      </c>
      <c r="K17" s="989">
        <v>145</v>
      </c>
      <c r="L17" s="989">
        <v>50</v>
      </c>
      <c r="M17" s="989">
        <v>114</v>
      </c>
      <c r="N17" s="989">
        <v>116</v>
      </c>
      <c r="O17" s="989">
        <v>14</v>
      </c>
      <c r="P17" s="951">
        <f t="shared" si="1"/>
        <v>1202</v>
      </c>
      <c r="Q17" s="966"/>
    </row>
    <row r="18" spans="1:17" ht="19.5" customHeight="1">
      <c r="A18" s="946" t="s">
        <v>716</v>
      </c>
      <c r="B18" s="947" t="s">
        <v>717</v>
      </c>
      <c r="C18" s="948">
        <f t="shared" si="0"/>
        <v>145</v>
      </c>
      <c r="D18" s="989">
        <v>74</v>
      </c>
      <c r="E18" s="989">
        <v>28</v>
      </c>
      <c r="F18" s="989">
        <v>19</v>
      </c>
      <c r="G18" s="989">
        <v>24</v>
      </c>
      <c r="H18" s="948">
        <f t="shared" si="2"/>
        <v>840</v>
      </c>
      <c r="I18" s="989">
        <v>481</v>
      </c>
      <c r="J18" s="989">
        <v>56</v>
      </c>
      <c r="K18" s="989">
        <v>98</v>
      </c>
      <c r="L18" s="989">
        <v>57</v>
      </c>
      <c r="M18" s="989">
        <v>67</v>
      </c>
      <c r="N18" s="989">
        <v>81</v>
      </c>
      <c r="O18" s="989">
        <v>7</v>
      </c>
      <c r="P18" s="951">
        <f t="shared" si="1"/>
        <v>992</v>
      </c>
      <c r="Q18" s="966"/>
    </row>
    <row r="19" spans="1:17" ht="19.5" customHeight="1">
      <c r="A19" s="946" t="s">
        <v>734</v>
      </c>
      <c r="B19" s="947" t="s">
        <v>735</v>
      </c>
      <c r="C19" s="948">
        <f t="shared" si="0"/>
        <v>103</v>
      </c>
      <c r="D19" s="989">
        <v>68</v>
      </c>
      <c r="E19" s="989">
        <v>11</v>
      </c>
      <c r="F19" s="989">
        <v>6</v>
      </c>
      <c r="G19" s="989">
        <v>18</v>
      </c>
      <c r="H19" s="948">
        <f t="shared" si="2"/>
        <v>2053</v>
      </c>
      <c r="I19" s="989">
        <v>992</v>
      </c>
      <c r="J19" s="989">
        <v>171</v>
      </c>
      <c r="K19" s="989">
        <v>337</v>
      </c>
      <c r="L19" s="989">
        <v>91</v>
      </c>
      <c r="M19" s="989">
        <v>234</v>
      </c>
      <c r="N19" s="989">
        <v>228</v>
      </c>
      <c r="O19" s="989">
        <v>35</v>
      </c>
      <c r="P19" s="951">
        <f t="shared" si="1"/>
        <v>2191</v>
      </c>
      <c r="Q19" s="966"/>
    </row>
    <row r="20" spans="1:17" ht="18.75" customHeight="1">
      <c r="A20" s="946" t="s">
        <v>221</v>
      </c>
      <c r="B20" s="947" t="s">
        <v>222</v>
      </c>
      <c r="C20" s="948">
        <f t="shared" si="0"/>
        <v>8</v>
      </c>
      <c r="D20" s="989">
        <v>5</v>
      </c>
      <c r="E20" s="989">
        <v>1</v>
      </c>
      <c r="F20" s="989">
        <v>1</v>
      </c>
      <c r="G20" s="989">
        <v>1</v>
      </c>
      <c r="H20" s="948">
        <f t="shared" si="2"/>
        <v>146</v>
      </c>
      <c r="I20" s="989">
        <v>102</v>
      </c>
      <c r="J20" s="989">
        <v>7</v>
      </c>
      <c r="K20" s="989">
        <v>7</v>
      </c>
      <c r="L20" s="989">
        <v>9</v>
      </c>
      <c r="M20" s="989">
        <v>9</v>
      </c>
      <c r="N20" s="989">
        <v>12</v>
      </c>
      <c r="O20" s="989">
        <v>1</v>
      </c>
      <c r="P20" s="951">
        <f t="shared" si="1"/>
        <v>155</v>
      </c>
    </row>
    <row r="21" spans="1:17" ht="19.5" customHeight="1">
      <c r="A21" s="946" t="s">
        <v>223</v>
      </c>
      <c r="B21" s="947" t="s">
        <v>224</v>
      </c>
      <c r="C21" s="948">
        <f t="shared" si="0"/>
        <v>28</v>
      </c>
      <c r="D21" s="989">
        <v>23</v>
      </c>
      <c r="E21" s="989">
        <v>1</v>
      </c>
      <c r="F21" s="989">
        <v>1</v>
      </c>
      <c r="G21" s="989">
        <v>3</v>
      </c>
      <c r="H21" s="948">
        <f t="shared" si="2"/>
        <v>132</v>
      </c>
      <c r="I21" s="989">
        <v>57</v>
      </c>
      <c r="J21" s="989">
        <v>4</v>
      </c>
      <c r="K21" s="989">
        <v>16</v>
      </c>
      <c r="L21" s="989">
        <v>7</v>
      </c>
      <c r="M21" s="989">
        <v>36</v>
      </c>
      <c r="N21" s="989">
        <v>12</v>
      </c>
      <c r="O21" s="989">
        <v>1</v>
      </c>
      <c r="P21" s="951">
        <f t="shared" si="1"/>
        <v>161</v>
      </c>
    </row>
    <row r="22" spans="1:17" ht="19.5" customHeight="1">
      <c r="A22" s="946" t="s">
        <v>736</v>
      </c>
      <c r="B22" s="947" t="s">
        <v>737</v>
      </c>
      <c r="C22" s="948">
        <f t="shared" si="0"/>
        <v>96</v>
      </c>
      <c r="D22" s="989">
        <v>68</v>
      </c>
      <c r="E22" s="989">
        <v>15</v>
      </c>
      <c r="F22" s="989">
        <v>5</v>
      </c>
      <c r="G22" s="989">
        <v>8</v>
      </c>
      <c r="H22" s="948">
        <f t="shared" si="2"/>
        <v>874</v>
      </c>
      <c r="I22" s="989">
        <v>505</v>
      </c>
      <c r="J22" s="989">
        <v>64</v>
      </c>
      <c r="K22" s="989">
        <v>101</v>
      </c>
      <c r="L22" s="989">
        <v>41</v>
      </c>
      <c r="M22" s="989">
        <v>77</v>
      </c>
      <c r="N22" s="989">
        <v>86</v>
      </c>
      <c r="O22" s="989">
        <v>32</v>
      </c>
      <c r="P22" s="951">
        <f t="shared" si="1"/>
        <v>1002</v>
      </c>
      <c r="Q22" s="966"/>
    </row>
    <row r="23" spans="1:17" ht="18.75" customHeight="1">
      <c r="A23" s="946" t="s">
        <v>225</v>
      </c>
      <c r="B23" s="947" t="s">
        <v>226</v>
      </c>
      <c r="C23" s="948">
        <f t="shared" si="0"/>
        <v>176</v>
      </c>
      <c r="D23" s="989">
        <v>121</v>
      </c>
      <c r="E23" s="989">
        <v>25</v>
      </c>
      <c r="F23" s="989">
        <v>13</v>
      </c>
      <c r="G23" s="989">
        <v>17</v>
      </c>
      <c r="H23" s="948">
        <f t="shared" si="2"/>
        <v>2665</v>
      </c>
      <c r="I23" s="989">
        <v>1377</v>
      </c>
      <c r="J23" s="989">
        <v>202</v>
      </c>
      <c r="K23" s="989">
        <v>418</v>
      </c>
      <c r="L23" s="989">
        <v>131</v>
      </c>
      <c r="M23" s="989">
        <v>292</v>
      </c>
      <c r="N23" s="989">
        <v>245</v>
      </c>
      <c r="O23" s="989">
        <v>18</v>
      </c>
      <c r="P23" s="951">
        <f t="shared" si="1"/>
        <v>2859</v>
      </c>
    </row>
    <row r="24" spans="1:17" ht="19.5" customHeight="1">
      <c r="A24" s="946" t="s">
        <v>744</v>
      </c>
      <c r="B24" s="947" t="s">
        <v>745</v>
      </c>
      <c r="C24" s="948">
        <f t="shared" si="0"/>
        <v>70</v>
      </c>
      <c r="D24" s="989">
        <v>49</v>
      </c>
      <c r="E24" s="989">
        <v>10</v>
      </c>
      <c r="F24" s="989">
        <v>7</v>
      </c>
      <c r="G24" s="989">
        <v>4</v>
      </c>
      <c r="H24" s="948">
        <f>SUM(I24:N24)</f>
        <v>274</v>
      </c>
      <c r="I24" s="989">
        <v>164</v>
      </c>
      <c r="J24" s="989">
        <v>27</v>
      </c>
      <c r="K24" s="989">
        <v>28</v>
      </c>
      <c r="L24" s="989">
        <v>8</v>
      </c>
      <c r="M24" s="989">
        <v>22</v>
      </c>
      <c r="N24" s="989">
        <v>25</v>
      </c>
      <c r="O24" s="989">
        <v>16</v>
      </c>
      <c r="P24" s="951">
        <f t="shared" si="1"/>
        <v>360</v>
      </c>
    </row>
    <row r="25" spans="1:17" ht="20.25" customHeight="1">
      <c r="A25" s="946" t="s">
        <v>746</v>
      </c>
      <c r="B25" s="947" t="s">
        <v>747</v>
      </c>
      <c r="C25" s="948">
        <f t="shared" si="0"/>
        <v>40</v>
      </c>
      <c r="D25" s="989">
        <v>27</v>
      </c>
      <c r="E25" s="989">
        <v>8</v>
      </c>
      <c r="F25" s="989">
        <v>1</v>
      </c>
      <c r="G25" s="989">
        <v>4</v>
      </c>
      <c r="H25" s="948">
        <f t="shared" si="2"/>
        <v>120</v>
      </c>
      <c r="I25" s="989">
        <v>64</v>
      </c>
      <c r="J25" s="989">
        <v>7</v>
      </c>
      <c r="K25" s="989">
        <v>22</v>
      </c>
      <c r="L25" s="989">
        <v>3</v>
      </c>
      <c r="M25" s="989">
        <v>11</v>
      </c>
      <c r="N25" s="989">
        <v>13</v>
      </c>
      <c r="O25" s="989">
        <v>2</v>
      </c>
      <c r="P25" s="951">
        <f t="shared" si="1"/>
        <v>162</v>
      </c>
    </row>
    <row r="26" spans="1:17" ht="21.75" customHeight="1">
      <c r="A26" s="946" t="s">
        <v>740</v>
      </c>
      <c r="B26" s="947" t="s">
        <v>761</v>
      </c>
      <c r="C26" s="948">
        <f t="shared" si="0"/>
        <v>6</v>
      </c>
      <c r="D26" s="989">
        <v>4</v>
      </c>
      <c r="E26" s="989">
        <v>1</v>
      </c>
      <c r="F26" s="989"/>
      <c r="G26" s="989">
        <v>1</v>
      </c>
      <c r="H26" s="948">
        <f t="shared" si="2"/>
        <v>34</v>
      </c>
      <c r="I26" s="989">
        <v>22</v>
      </c>
      <c r="J26" s="989">
        <v>4</v>
      </c>
      <c r="K26" s="989">
        <v>3</v>
      </c>
      <c r="L26" s="990"/>
      <c r="M26" s="989">
        <v>5</v>
      </c>
      <c r="N26" s="989"/>
      <c r="O26" s="989"/>
      <c r="P26" s="951">
        <f t="shared" si="1"/>
        <v>40</v>
      </c>
    </row>
    <row r="27" spans="1:17" ht="27.75" customHeight="1">
      <c r="A27" s="946" t="s">
        <v>732</v>
      </c>
      <c r="B27" s="952" t="s">
        <v>227</v>
      </c>
      <c r="C27" s="948">
        <f t="shared" si="0"/>
        <v>41</v>
      </c>
      <c r="D27" s="989">
        <v>30</v>
      </c>
      <c r="E27" s="989">
        <v>4</v>
      </c>
      <c r="F27" s="990">
        <v>3</v>
      </c>
      <c r="G27" s="989">
        <v>4</v>
      </c>
      <c r="H27" s="948">
        <f t="shared" si="2"/>
        <v>444</v>
      </c>
      <c r="I27" s="989">
        <v>244</v>
      </c>
      <c r="J27" s="989">
        <v>34</v>
      </c>
      <c r="K27" s="989">
        <v>45</v>
      </c>
      <c r="L27" s="989">
        <v>27</v>
      </c>
      <c r="M27" s="989">
        <v>41</v>
      </c>
      <c r="N27" s="989">
        <v>53</v>
      </c>
      <c r="O27" s="989">
        <v>19</v>
      </c>
      <c r="P27" s="951">
        <f t="shared" si="1"/>
        <v>504</v>
      </c>
    </row>
    <row r="28" spans="1:17" ht="21.75" customHeight="1">
      <c r="A28" s="953"/>
      <c r="B28" s="953" t="s">
        <v>863</v>
      </c>
      <c r="C28" s="954">
        <f>SUM(C10:C27)</f>
        <v>1001</v>
      </c>
      <c r="D28" s="955">
        <f t="shared" ref="D28:P28" si="3">SUM(D10:D27)</f>
        <v>650</v>
      </c>
      <c r="E28" s="955">
        <f t="shared" si="3"/>
        <v>149</v>
      </c>
      <c r="F28" s="955">
        <f t="shared" si="3"/>
        <v>89</v>
      </c>
      <c r="G28" s="955">
        <f t="shared" si="3"/>
        <v>113</v>
      </c>
      <c r="H28" s="956">
        <f t="shared" si="3"/>
        <v>10201</v>
      </c>
      <c r="I28" s="955">
        <f t="shared" si="3"/>
        <v>5492</v>
      </c>
      <c r="J28" s="955">
        <f t="shared" si="3"/>
        <v>781</v>
      </c>
      <c r="K28" s="955">
        <f t="shared" si="3"/>
        <v>1375</v>
      </c>
      <c r="L28" s="955">
        <f t="shared" si="3"/>
        <v>490</v>
      </c>
      <c r="M28" s="955">
        <f t="shared" si="3"/>
        <v>1063</v>
      </c>
      <c r="N28" s="955">
        <f t="shared" si="3"/>
        <v>1000</v>
      </c>
      <c r="O28" s="955">
        <f t="shared" si="3"/>
        <v>219</v>
      </c>
      <c r="P28" s="957">
        <f t="shared" si="3"/>
        <v>11421</v>
      </c>
    </row>
    <row r="29" spans="1:17" ht="21.75" customHeight="1">
      <c r="A29" s="958"/>
      <c r="B29" s="958"/>
      <c r="C29" s="958"/>
      <c r="D29" s="959"/>
      <c r="E29" s="959"/>
      <c r="F29" s="959"/>
      <c r="G29" s="991"/>
      <c r="H29" s="959"/>
      <c r="I29" s="959"/>
      <c r="J29" s="959"/>
      <c r="K29" s="991"/>
      <c r="L29" s="959"/>
      <c r="M29" s="959"/>
      <c r="N29" s="991"/>
      <c r="O29" s="991"/>
      <c r="P29" s="960"/>
    </row>
    <row r="30" spans="1:17" ht="21.75" customHeight="1">
      <c r="A30" s="958"/>
      <c r="B30" s="958"/>
      <c r="C30" s="958"/>
      <c r="D30" s="991"/>
      <c r="E30" s="959"/>
      <c r="F30" s="959"/>
      <c r="G30" s="959"/>
      <c r="H30" s="959"/>
      <c r="I30" s="959"/>
      <c r="J30" s="959"/>
      <c r="K30" s="959"/>
      <c r="L30" s="959"/>
      <c r="M30" s="959"/>
      <c r="N30" s="959"/>
      <c r="O30" s="959"/>
      <c r="P30" s="960"/>
    </row>
    <row r="31" spans="1:17" ht="21.75" customHeight="1">
      <c r="A31" s="958"/>
      <c r="B31" s="958"/>
      <c r="C31" s="958"/>
      <c r="D31" s="959"/>
      <c r="E31" s="959"/>
      <c r="F31" s="959"/>
      <c r="G31" s="959"/>
      <c r="H31" s="959"/>
      <c r="I31" s="959"/>
      <c r="J31" s="959"/>
      <c r="K31" s="959"/>
      <c r="L31" s="959"/>
      <c r="M31" s="959"/>
      <c r="N31" s="959"/>
      <c r="O31" s="959"/>
      <c r="P31" s="960"/>
    </row>
    <row r="32" spans="1:17" ht="18" customHeight="1">
      <c r="A32" s="979" t="s">
        <v>228</v>
      </c>
      <c r="B32" s="992"/>
      <c r="C32" s="962"/>
      <c r="D32" s="962"/>
      <c r="E32" s="962"/>
      <c r="F32" s="962"/>
      <c r="G32" s="962"/>
      <c r="H32" s="962"/>
      <c r="I32" s="962"/>
      <c r="J32" s="962"/>
      <c r="K32" s="962"/>
      <c r="L32" s="962"/>
      <c r="M32" s="962"/>
      <c r="N32" s="962"/>
      <c r="O32" s="962"/>
      <c r="P32" s="993"/>
    </row>
    <row r="33" spans="1:15">
      <c r="A33" s="994"/>
      <c r="B33" s="994"/>
      <c r="C33" s="965"/>
      <c r="D33" s="965"/>
      <c r="E33" s="965"/>
      <c r="F33" s="965"/>
      <c r="G33" s="965"/>
      <c r="H33" s="965"/>
      <c r="I33" s="965"/>
      <c r="J33" s="965"/>
      <c r="K33" s="965"/>
      <c r="L33" s="965"/>
      <c r="M33" s="965"/>
      <c r="N33" s="965"/>
      <c r="O33" s="965"/>
    </row>
    <row r="34" spans="1:15">
      <c r="A34" s="979" t="str">
        <f>+A3</f>
        <v>SERVICIO DE SALUD   ACONCAGUA   2015</v>
      </c>
      <c r="B34" s="994"/>
      <c r="C34" s="965"/>
      <c r="D34" s="965"/>
      <c r="E34" s="965"/>
      <c r="F34" s="965"/>
      <c r="G34" s="965"/>
      <c r="H34" s="965"/>
      <c r="I34" s="965"/>
      <c r="J34" s="965"/>
      <c r="K34" s="965"/>
      <c r="L34" s="965"/>
      <c r="M34" s="965"/>
      <c r="N34" s="965"/>
      <c r="O34" s="965"/>
    </row>
    <row r="35" spans="1:15">
      <c r="A35" s="994"/>
      <c r="B35" s="994"/>
      <c r="C35" s="965"/>
      <c r="D35" s="965"/>
      <c r="E35" s="965"/>
      <c r="F35" s="965"/>
      <c r="G35" s="965"/>
      <c r="H35" s="965"/>
      <c r="I35" s="965"/>
      <c r="J35" s="965"/>
      <c r="K35" s="965"/>
      <c r="L35" s="965"/>
      <c r="M35" s="965"/>
      <c r="N35" s="965"/>
      <c r="O35" s="965"/>
    </row>
    <row r="36" spans="1:15">
      <c r="A36" s="979" t="s">
        <v>232</v>
      </c>
      <c r="B36" s="994"/>
      <c r="C36" s="965"/>
      <c r="D36" s="965"/>
      <c r="E36" s="965"/>
      <c r="F36" s="965"/>
      <c r="G36" s="965"/>
      <c r="H36" s="965"/>
      <c r="I36" s="965"/>
      <c r="J36" s="965"/>
      <c r="K36" s="965"/>
      <c r="L36" s="965"/>
      <c r="M36" s="965"/>
      <c r="N36" s="965"/>
      <c r="O36" s="965"/>
    </row>
    <row r="38" spans="1:15" ht="21.75" customHeight="1">
      <c r="A38" s="981" t="s">
        <v>701</v>
      </c>
      <c r="B38" s="932"/>
      <c r="C38" s="934" t="s">
        <v>749</v>
      </c>
      <c r="D38" s="934"/>
      <c r="E38" s="934"/>
      <c r="F38" s="934"/>
      <c r="G38" s="934"/>
      <c r="H38" s="934"/>
      <c r="I38" s="934"/>
      <c r="J38" s="934"/>
      <c r="K38" s="934"/>
      <c r="L38" s="934"/>
      <c r="M38" s="968"/>
    </row>
    <row r="39" spans="1:15" ht="23.25" customHeight="1">
      <c r="A39" s="982" t="s">
        <v>703</v>
      </c>
      <c r="B39" s="983" t="s">
        <v>704</v>
      </c>
      <c r="C39" s="940" t="s">
        <v>1333</v>
      </c>
      <c r="D39" s="940" t="s">
        <v>752</v>
      </c>
      <c r="E39" s="940" t="s">
        <v>753</v>
      </c>
      <c r="F39" s="940" t="s">
        <v>754</v>
      </c>
      <c r="G39" s="940" t="s">
        <v>755</v>
      </c>
      <c r="H39" s="940" t="s">
        <v>756</v>
      </c>
      <c r="I39" s="940" t="s">
        <v>757</v>
      </c>
      <c r="J39" s="940" t="s">
        <v>758</v>
      </c>
      <c r="K39" s="940" t="s">
        <v>759</v>
      </c>
      <c r="L39" s="940" t="s">
        <v>760</v>
      </c>
      <c r="M39" s="941" t="s">
        <v>535</v>
      </c>
    </row>
    <row r="40" spans="1:15">
      <c r="A40" s="942"/>
      <c r="B40" s="943"/>
      <c r="C40" s="944"/>
      <c r="D40" s="944"/>
      <c r="E40" s="944"/>
      <c r="F40" s="944"/>
      <c r="G40" s="944"/>
      <c r="H40" s="944"/>
      <c r="I40" s="944"/>
      <c r="J40" s="944"/>
      <c r="K40" s="944"/>
      <c r="L40" s="944"/>
      <c r="M40" s="969"/>
    </row>
    <row r="41" spans="1:15" ht="20.25" customHeight="1">
      <c r="A41" s="946" t="s">
        <v>738</v>
      </c>
      <c r="B41" s="947" t="s">
        <v>739</v>
      </c>
      <c r="C41" s="989"/>
      <c r="D41" s="989"/>
      <c r="E41" s="989">
        <v>7</v>
      </c>
      <c r="F41" s="989">
        <v>21</v>
      </c>
      <c r="G41" s="989">
        <v>10</v>
      </c>
      <c r="H41" s="989">
        <v>5</v>
      </c>
      <c r="I41" s="989">
        <v>5</v>
      </c>
      <c r="J41" s="989">
        <v>20</v>
      </c>
      <c r="K41" s="989">
        <v>23</v>
      </c>
      <c r="L41" s="989">
        <v>36</v>
      </c>
      <c r="M41" s="951">
        <f t="shared" ref="M41:M58" si="4">SUM(B41:L41)</f>
        <v>127</v>
      </c>
    </row>
    <row r="42" spans="1:15" ht="19.5" customHeight="1">
      <c r="A42" s="946" t="s">
        <v>714</v>
      </c>
      <c r="B42" s="947" t="s">
        <v>715</v>
      </c>
      <c r="C42" s="989"/>
      <c r="D42" s="989"/>
      <c r="E42" s="989">
        <v>1</v>
      </c>
      <c r="F42" s="989">
        <v>12</v>
      </c>
      <c r="G42" s="989">
        <v>11</v>
      </c>
      <c r="H42" s="989">
        <v>5</v>
      </c>
      <c r="I42" s="989">
        <v>7</v>
      </c>
      <c r="J42" s="989">
        <v>121</v>
      </c>
      <c r="K42" s="989">
        <v>296</v>
      </c>
      <c r="L42" s="989">
        <v>238</v>
      </c>
      <c r="M42" s="951">
        <f t="shared" si="4"/>
        <v>691</v>
      </c>
    </row>
    <row r="43" spans="1:15" ht="18" customHeight="1">
      <c r="A43" s="946" t="s">
        <v>213</v>
      </c>
      <c r="B43" s="947" t="s">
        <v>214</v>
      </c>
      <c r="C43" s="989"/>
      <c r="D43" s="989"/>
      <c r="E43" s="989">
        <v>1</v>
      </c>
      <c r="F43" s="989">
        <v>15</v>
      </c>
      <c r="G43" s="989">
        <v>14</v>
      </c>
      <c r="H43" s="989">
        <v>3</v>
      </c>
      <c r="I43" s="989">
        <v>1</v>
      </c>
      <c r="J43" s="989">
        <v>13</v>
      </c>
      <c r="K43" s="989">
        <v>12</v>
      </c>
      <c r="L43" s="989">
        <v>27</v>
      </c>
      <c r="M43" s="951">
        <f t="shared" si="4"/>
        <v>86</v>
      </c>
    </row>
    <row r="44" spans="1:15" ht="19.5" customHeight="1">
      <c r="A44" s="946" t="s">
        <v>742</v>
      </c>
      <c r="B44" s="947" t="s">
        <v>743</v>
      </c>
      <c r="C44" s="989"/>
      <c r="D44" s="989"/>
      <c r="E44" s="989">
        <v>8</v>
      </c>
      <c r="F44" s="989">
        <v>4</v>
      </c>
      <c r="G44" s="989">
        <v>19</v>
      </c>
      <c r="H44" s="989">
        <v>24</v>
      </c>
      <c r="I44" s="989">
        <v>6</v>
      </c>
      <c r="J44" s="989">
        <v>151</v>
      </c>
      <c r="K44" s="989">
        <v>124</v>
      </c>
      <c r="L44" s="989">
        <v>95</v>
      </c>
      <c r="M44" s="951">
        <f t="shared" si="4"/>
        <v>431</v>
      </c>
    </row>
    <row r="45" spans="1:15" ht="19.5" customHeight="1">
      <c r="A45" s="946" t="s">
        <v>215</v>
      </c>
      <c r="B45" s="947" t="s">
        <v>216</v>
      </c>
      <c r="C45" s="989"/>
      <c r="D45" s="995"/>
      <c r="E45" s="989">
        <v>2</v>
      </c>
      <c r="F45" s="989">
        <v>23</v>
      </c>
      <c r="G45" s="989">
        <v>3</v>
      </c>
      <c r="H45" s="989">
        <v>3</v>
      </c>
      <c r="I45" s="989">
        <v>4</v>
      </c>
      <c r="J45" s="989">
        <v>11</v>
      </c>
      <c r="K45" s="989">
        <v>13</v>
      </c>
      <c r="L45" s="989">
        <v>10</v>
      </c>
      <c r="M45" s="951">
        <f t="shared" si="4"/>
        <v>69</v>
      </c>
      <c r="N45" s="966"/>
    </row>
    <row r="46" spans="1:15" ht="19.5" customHeight="1">
      <c r="A46" s="946" t="s">
        <v>217</v>
      </c>
      <c r="B46" s="947" t="s">
        <v>218</v>
      </c>
      <c r="C46" s="989"/>
      <c r="D46" s="995"/>
      <c r="E46" s="989">
        <v>14</v>
      </c>
      <c r="F46" s="989">
        <v>41</v>
      </c>
      <c r="G46" s="989">
        <v>18</v>
      </c>
      <c r="H46" s="989">
        <v>21</v>
      </c>
      <c r="I46" s="989">
        <v>17</v>
      </c>
      <c r="J46" s="989">
        <v>57</v>
      </c>
      <c r="K46" s="989">
        <v>50</v>
      </c>
      <c r="L46" s="989">
        <v>86</v>
      </c>
      <c r="M46" s="951">
        <f t="shared" si="4"/>
        <v>304</v>
      </c>
      <c r="N46" s="966"/>
    </row>
    <row r="47" spans="1:15" ht="19.5" customHeight="1">
      <c r="A47" s="946" t="s">
        <v>219</v>
      </c>
      <c r="B47" s="947" t="s">
        <v>220</v>
      </c>
      <c r="C47" s="989"/>
      <c r="D47" s="995"/>
      <c r="E47" s="989"/>
      <c r="F47" s="989">
        <v>8</v>
      </c>
      <c r="G47" s="989">
        <v>6</v>
      </c>
      <c r="H47" s="989">
        <v>7</v>
      </c>
      <c r="I47" s="989">
        <v>5</v>
      </c>
      <c r="J47" s="989">
        <v>13</v>
      </c>
      <c r="K47" s="989">
        <v>29</v>
      </c>
      <c r="L47" s="989">
        <v>17</v>
      </c>
      <c r="M47" s="951">
        <f t="shared" si="4"/>
        <v>85</v>
      </c>
      <c r="N47" s="966"/>
    </row>
    <row r="48" spans="1:15" ht="18" customHeight="1">
      <c r="A48" s="946" t="s">
        <v>712</v>
      </c>
      <c r="B48" s="947" t="s">
        <v>713</v>
      </c>
      <c r="C48" s="989"/>
      <c r="D48" s="995"/>
      <c r="E48" s="989">
        <v>3</v>
      </c>
      <c r="F48" s="989">
        <v>7</v>
      </c>
      <c r="G48" s="989">
        <v>3</v>
      </c>
      <c r="H48" s="989">
        <v>7</v>
      </c>
      <c r="I48" s="989">
        <v>3</v>
      </c>
      <c r="J48" s="989">
        <v>77</v>
      </c>
      <c r="K48" s="989">
        <v>377</v>
      </c>
      <c r="L48" s="989">
        <v>725</v>
      </c>
      <c r="M48" s="951">
        <f t="shared" si="4"/>
        <v>1202</v>
      </c>
      <c r="N48" s="966"/>
    </row>
    <row r="49" spans="1:16" ht="18.75" customHeight="1">
      <c r="A49" s="946" t="s">
        <v>716</v>
      </c>
      <c r="B49" s="947" t="s">
        <v>717</v>
      </c>
      <c r="C49" s="989"/>
      <c r="D49" s="996"/>
      <c r="E49" s="989">
        <v>85</v>
      </c>
      <c r="F49" s="989">
        <v>142</v>
      </c>
      <c r="G49" s="989">
        <v>99</v>
      </c>
      <c r="H49" s="989">
        <v>22</v>
      </c>
      <c r="I49" s="989">
        <v>28</v>
      </c>
      <c r="J49" s="989">
        <v>135</v>
      </c>
      <c r="K49" s="989">
        <v>141</v>
      </c>
      <c r="L49" s="990">
        <v>340</v>
      </c>
      <c r="M49" s="951">
        <f t="shared" si="4"/>
        <v>992</v>
      </c>
      <c r="N49" s="966"/>
    </row>
    <row r="50" spans="1:16" ht="19.5" customHeight="1">
      <c r="A50" s="946" t="s">
        <v>734</v>
      </c>
      <c r="B50" s="947" t="s">
        <v>735</v>
      </c>
      <c r="C50" s="989"/>
      <c r="D50" s="996"/>
      <c r="E50" s="989">
        <v>20</v>
      </c>
      <c r="F50" s="989">
        <v>36</v>
      </c>
      <c r="G50" s="989">
        <v>42</v>
      </c>
      <c r="H50" s="989">
        <v>52</v>
      </c>
      <c r="I50" s="989">
        <v>85</v>
      </c>
      <c r="J50" s="989">
        <v>662</v>
      </c>
      <c r="K50" s="989">
        <v>756</v>
      </c>
      <c r="L50" s="989">
        <v>538</v>
      </c>
      <c r="M50" s="951">
        <f t="shared" si="4"/>
        <v>2191</v>
      </c>
      <c r="N50" s="966"/>
    </row>
    <row r="51" spans="1:16" ht="18" customHeight="1">
      <c r="A51" s="946" t="s">
        <v>221</v>
      </c>
      <c r="B51" s="947" t="s">
        <v>222</v>
      </c>
      <c r="C51" s="989"/>
      <c r="D51" s="995"/>
      <c r="E51" s="989">
        <v>1</v>
      </c>
      <c r="F51" s="989">
        <v>6</v>
      </c>
      <c r="G51" s="989">
        <v>5</v>
      </c>
      <c r="H51" s="989">
        <v>6</v>
      </c>
      <c r="I51" s="989">
        <v>9</v>
      </c>
      <c r="J51" s="989">
        <v>32</v>
      </c>
      <c r="K51" s="989">
        <v>46</v>
      </c>
      <c r="L51" s="989">
        <v>50</v>
      </c>
      <c r="M51" s="951">
        <f t="shared" si="4"/>
        <v>155</v>
      </c>
      <c r="N51" s="966"/>
    </row>
    <row r="52" spans="1:16" ht="19.5" customHeight="1">
      <c r="A52" s="946" t="s">
        <v>223</v>
      </c>
      <c r="B52" s="947" t="s">
        <v>224</v>
      </c>
      <c r="C52" s="989"/>
      <c r="D52" s="995"/>
      <c r="E52" s="989">
        <v>1</v>
      </c>
      <c r="F52" s="989">
        <v>2</v>
      </c>
      <c r="G52" s="989">
        <v>3</v>
      </c>
      <c r="H52" s="989">
        <v>25</v>
      </c>
      <c r="I52" s="989">
        <v>1</v>
      </c>
      <c r="J52" s="989">
        <v>40</v>
      </c>
      <c r="K52" s="989">
        <v>63</v>
      </c>
      <c r="L52" s="989">
        <v>26</v>
      </c>
      <c r="M52" s="951">
        <f t="shared" si="4"/>
        <v>161</v>
      </c>
      <c r="N52" s="966"/>
    </row>
    <row r="53" spans="1:16" ht="18.75" customHeight="1">
      <c r="A53" s="946" t="s">
        <v>736</v>
      </c>
      <c r="B53" s="947" t="s">
        <v>737</v>
      </c>
      <c r="C53" s="989"/>
      <c r="D53" s="995"/>
      <c r="E53" s="989">
        <v>21</v>
      </c>
      <c r="F53" s="989">
        <v>47</v>
      </c>
      <c r="G53" s="989">
        <v>52</v>
      </c>
      <c r="H53" s="989">
        <v>27</v>
      </c>
      <c r="I53" s="989">
        <v>32</v>
      </c>
      <c r="J53" s="989">
        <v>288</v>
      </c>
      <c r="K53" s="989">
        <v>239</v>
      </c>
      <c r="L53" s="989">
        <v>296</v>
      </c>
      <c r="M53" s="951">
        <f t="shared" si="4"/>
        <v>1002</v>
      </c>
      <c r="N53" s="966"/>
    </row>
    <row r="54" spans="1:16" ht="18.75" customHeight="1">
      <c r="A54" s="946" t="s">
        <v>225</v>
      </c>
      <c r="B54" s="947" t="s">
        <v>226</v>
      </c>
      <c r="C54" s="995"/>
      <c r="D54" s="995"/>
      <c r="E54" s="995"/>
      <c r="F54" s="995"/>
      <c r="G54" s="995"/>
      <c r="H54" s="989">
        <v>12</v>
      </c>
      <c r="I54" s="989">
        <v>357</v>
      </c>
      <c r="J54" s="989">
        <v>2479</v>
      </c>
      <c r="K54" s="989">
        <v>11</v>
      </c>
      <c r="L54" s="995"/>
      <c r="M54" s="951">
        <f t="shared" si="4"/>
        <v>2859</v>
      </c>
      <c r="N54" s="966"/>
    </row>
    <row r="55" spans="1:16" ht="18" customHeight="1">
      <c r="A55" s="946" t="s">
        <v>744</v>
      </c>
      <c r="B55" s="947" t="s">
        <v>745</v>
      </c>
      <c r="C55" s="989">
        <v>96</v>
      </c>
      <c r="D55" s="989">
        <v>16</v>
      </c>
      <c r="E55" s="1066">
        <v>248</v>
      </c>
      <c r="F55" s="995"/>
      <c r="G55" s="995"/>
      <c r="H55" s="995"/>
      <c r="I55" s="995"/>
      <c r="J55" s="995"/>
      <c r="K55" s="995"/>
      <c r="L55" s="995"/>
      <c r="M55" s="951">
        <f t="shared" si="4"/>
        <v>360</v>
      </c>
      <c r="N55" s="966"/>
      <c r="O55" s="997"/>
      <c r="P55" s="997"/>
    </row>
    <row r="56" spans="1:16" ht="20.25" customHeight="1">
      <c r="A56" s="946" t="s">
        <v>746</v>
      </c>
      <c r="B56" s="947" t="s">
        <v>747</v>
      </c>
      <c r="C56" s="989">
        <v>3</v>
      </c>
      <c r="D56" s="989">
        <v>1</v>
      </c>
      <c r="E56" s="989">
        <v>42</v>
      </c>
      <c r="F56" s="989">
        <v>52</v>
      </c>
      <c r="G56" s="989">
        <v>32</v>
      </c>
      <c r="H56" s="989">
        <v>10</v>
      </c>
      <c r="I56" s="989">
        <v>4</v>
      </c>
      <c r="J56" s="989">
        <v>7</v>
      </c>
      <c r="K56" s="989">
        <v>7</v>
      </c>
      <c r="L56" s="989">
        <v>4</v>
      </c>
      <c r="M56" s="951">
        <f t="shared" si="4"/>
        <v>162</v>
      </c>
      <c r="N56" s="966"/>
    </row>
    <row r="57" spans="1:16" ht="19.5" customHeight="1">
      <c r="A57" s="946" t="s">
        <v>740</v>
      </c>
      <c r="B57" s="947" t="s">
        <v>761</v>
      </c>
      <c r="C57" s="996"/>
      <c r="D57" s="996"/>
      <c r="E57" s="989">
        <v>2</v>
      </c>
      <c r="F57" s="989">
        <v>5</v>
      </c>
      <c r="G57" s="989">
        <v>1</v>
      </c>
      <c r="H57" s="989">
        <v>2</v>
      </c>
      <c r="I57" s="989"/>
      <c r="J57" s="989">
        <v>6</v>
      </c>
      <c r="K57" s="989">
        <v>11</v>
      </c>
      <c r="L57" s="989">
        <v>13</v>
      </c>
      <c r="M57" s="951">
        <f t="shared" si="4"/>
        <v>40</v>
      </c>
      <c r="N57" s="966"/>
    </row>
    <row r="58" spans="1:16" ht="27.75" customHeight="1">
      <c r="A58" s="946" t="s">
        <v>732</v>
      </c>
      <c r="B58" s="952" t="s">
        <v>227</v>
      </c>
      <c r="C58" s="996"/>
      <c r="D58" s="996"/>
      <c r="E58" s="989">
        <v>4</v>
      </c>
      <c r="F58" s="989">
        <v>57</v>
      </c>
      <c r="G58" s="989">
        <v>26</v>
      </c>
      <c r="H58" s="989">
        <v>19</v>
      </c>
      <c r="I58" s="989">
        <v>29</v>
      </c>
      <c r="J58" s="989">
        <v>229</v>
      </c>
      <c r="K58" s="989">
        <v>83</v>
      </c>
      <c r="L58" s="989">
        <v>57</v>
      </c>
      <c r="M58" s="951">
        <f t="shared" si="4"/>
        <v>504</v>
      </c>
      <c r="N58" s="966"/>
    </row>
    <row r="59" spans="1:16" ht="19.5" customHeight="1">
      <c r="A59" s="953"/>
      <c r="B59" s="953" t="s">
        <v>863</v>
      </c>
      <c r="C59" s="955">
        <f t="shared" ref="C59:M59" si="5">SUM(C41:C58)</f>
        <v>99</v>
      </c>
      <c r="D59" s="955">
        <f t="shared" si="5"/>
        <v>17</v>
      </c>
      <c r="E59" s="955">
        <f t="shared" si="5"/>
        <v>460</v>
      </c>
      <c r="F59" s="955">
        <f t="shared" si="5"/>
        <v>478</v>
      </c>
      <c r="G59" s="955">
        <f t="shared" si="5"/>
        <v>344</v>
      </c>
      <c r="H59" s="955">
        <f t="shared" si="5"/>
        <v>250</v>
      </c>
      <c r="I59" s="955">
        <f t="shared" si="5"/>
        <v>593</v>
      </c>
      <c r="J59" s="955">
        <f t="shared" si="5"/>
        <v>4341</v>
      </c>
      <c r="K59" s="955">
        <f t="shared" si="5"/>
        <v>2281</v>
      </c>
      <c r="L59" s="955">
        <f t="shared" si="5"/>
        <v>2558</v>
      </c>
      <c r="M59" s="957">
        <f t="shared" si="5"/>
        <v>11421</v>
      </c>
      <c r="O59" s="966"/>
    </row>
    <row r="61" spans="1:16">
      <c r="L61" s="997" t="s">
        <v>233</v>
      </c>
    </row>
  </sheetData>
  <phoneticPr fontId="19" type="noConversion"/>
  <pageMargins left="1.7716535433070868" right="0.78740157480314965" top="1.1811023622047245" bottom="0.59055118110236227" header="0.51181102362204722" footer="0.51181102362204722"/>
  <pageSetup paperSize="5" scale="85" orientation="landscape" horizontalDpi="300" verticalDpi="300" r:id="rId1"/>
  <headerFooter alignWithMargins="0"/>
  <ignoredErrors>
    <ignoredError sqref="H10:H13 H15:H27" formulaRange="1"/>
  </ignoredError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5"/>
  <sheetViews>
    <sheetView topLeftCell="A41" zoomScale="74" zoomScaleNormal="74" workbookViewId="0">
      <selection activeCell="J65" sqref="J65"/>
    </sheetView>
  </sheetViews>
  <sheetFormatPr baseColWidth="10" defaultColWidth="11.42578125" defaultRowHeight="12.75"/>
  <cols>
    <col min="1" max="1" width="9.42578125" style="967" customWidth="1"/>
    <col min="2" max="2" width="28" style="967" customWidth="1"/>
    <col min="3" max="3" width="10.5703125" style="967" customWidth="1"/>
    <col min="4" max="4" width="9.7109375" style="967" customWidth="1"/>
    <col min="5" max="5" width="9.28515625" style="967" customWidth="1"/>
    <col min="6" max="6" width="9.5703125" style="967" customWidth="1"/>
    <col min="7" max="7" width="9.85546875" style="967" customWidth="1"/>
    <col min="8" max="8" width="10.28515625" style="967" customWidth="1"/>
    <col min="9" max="10" width="9.7109375" style="967" customWidth="1"/>
    <col min="11" max="11" width="10" style="967" customWidth="1"/>
    <col min="12" max="12" width="10.28515625" style="967" customWidth="1"/>
    <col min="13" max="13" width="8.5703125" style="967" customWidth="1"/>
    <col min="14" max="14" width="9.140625" style="967" customWidth="1"/>
    <col min="15" max="16384" width="11.42578125" style="967"/>
  </cols>
  <sheetData>
    <row r="1" spans="1:16">
      <c r="A1" s="1480" t="s">
        <v>212</v>
      </c>
      <c r="B1" s="1480"/>
      <c r="C1" s="1480"/>
      <c r="D1" s="1480"/>
      <c r="E1" s="1480"/>
      <c r="F1" s="1480"/>
      <c r="G1" s="1480"/>
      <c r="H1" s="1480"/>
      <c r="I1" s="1480"/>
      <c r="J1" s="1480"/>
      <c r="K1" s="1480"/>
      <c r="L1" s="1480"/>
      <c r="M1" s="1480"/>
      <c r="N1" s="1480"/>
      <c r="O1" s="1480"/>
      <c r="P1" s="1480"/>
    </row>
    <row r="2" spans="1:16">
      <c r="A2" s="979"/>
      <c r="B2" s="979"/>
      <c r="C2" s="994"/>
      <c r="D2" s="994"/>
      <c r="E2" s="994"/>
      <c r="F2" s="994"/>
      <c r="G2" s="994"/>
      <c r="H2" s="994"/>
      <c r="I2" s="994"/>
      <c r="J2" s="994"/>
      <c r="K2" s="994"/>
      <c r="L2" s="994"/>
      <c r="M2" s="994"/>
      <c r="N2" s="994"/>
      <c r="O2" s="999"/>
      <c r="P2" s="999"/>
    </row>
    <row r="3" spans="1:16">
      <c r="A3" s="1480" t="str">
        <f>+'89'!A3</f>
        <v>SERVICIO DE SALUD   ACONCAGUA   2015</v>
      </c>
      <c r="B3" s="1480"/>
      <c r="C3" s="1480"/>
      <c r="D3" s="1480"/>
      <c r="E3" s="1480"/>
      <c r="F3" s="1480"/>
      <c r="G3" s="1480"/>
      <c r="H3" s="1480"/>
      <c r="I3" s="1480"/>
      <c r="J3" s="1480"/>
      <c r="K3" s="1480"/>
      <c r="L3" s="1480"/>
      <c r="M3" s="1480"/>
      <c r="N3" s="1480"/>
      <c r="O3" s="1480"/>
      <c r="P3" s="1480"/>
    </row>
    <row r="4" spans="1:16">
      <c r="A4" s="979"/>
      <c r="B4" s="979"/>
      <c r="C4" s="994"/>
      <c r="D4" s="994"/>
      <c r="E4" s="994"/>
      <c r="F4" s="994"/>
      <c r="G4" s="994"/>
      <c r="H4" s="994"/>
      <c r="I4" s="994"/>
      <c r="J4" s="994"/>
      <c r="K4" s="994"/>
      <c r="L4" s="994"/>
      <c r="M4" s="994"/>
      <c r="N4" s="994"/>
      <c r="O4" s="999"/>
      <c r="P4" s="999"/>
    </row>
    <row r="5" spans="1:16">
      <c r="A5" s="1480" t="s">
        <v>947</v>
      </c>
      <c r="B5" s="1480"/>
      <c r="C5" s="1480"/>
      <c r="D5" s="1480"/>
      <c r="E5" s="1480"/>
      <c r="F5" s="1480"/>
      <c r="G5" s="1480"/>
      <c r="H5" s="1480"/>
      <c r="I5" s="1480"/>
      <c r="J5" s="1480"/>
      <c r="K5" s="1480"/>
      <c r="L5" s="1480"/>
      <c r="M5" s="1480"/>
      <c r="N5" s="1480"/>
      <c r="O5" s="1480"/>
      <c r="P5" s="1480"/>
    </row>
    <row r="6" spans="1:16">
      <c r="A6" s="980"/>
    </row>
    <row r="7" spans="1:16" ht="18.75" customHeight="1">
      <c r="A7" s="981" t="s">
        <v>701</v>
      </c>
      <c r="B7" s="932"/>
      <c r="C7" s="933"/>
      <c r="D7" s="934" t="s">
        <v>702</v>
      </c>
      <c r="E7" s="934"/>
      <c r="F7" s="934"/>
      <c r="G7" s="934"/>
      <c r="H7" s="934"/>
      <c r="I7" s="934"/>
      <c r="J7" s="934"/>
      <c r="K7" s="934"/>
      <c r="L7" s="934"/>
      <c r="M7" s="934"/>
      <c r="N7" s="934"/>
      <c r="O7" s="934"/>
      <c r="P7" s="935"/>
    </row>
    <row r="8" spans="1:16" ht="23.25" customHeight="1">
      <c r="A8" s="982" t="s">
        <v>703</v>
      </c>
      <c r="B8" s="983" t="s">
        <v>704</v>
      </c>
      <c r="C8" s="984" t="s">
        <v>705</v>
      </c>
      <c r="D8" s="939" t="s">
        <v>649</v>
      </c>
      <c r="E8" s="940" t="s">
        <v>706</v>
      </c>
      <c r="F8" s="940" t="s">
        <v>707</v>
      </c>
      <c r="G8" s="940" t="s">
        <v>447</v>
      </c>
      <c r="H8" s="984" t="s">
        <v>708</v>
      </c>
      <c r="I8" s="940" t="s">
        <v>709</v>
      </c>
      <c r="J8" s="940" t="s">
        <v>411</v>
      </c>
      <c r="K8" s="940" t="s">
        <v>429</v>
      </c>
      <c r="L8" s="940" t="s">
        <v>434</v>
      </c>
      <c r="M8" s="940" t="s">
        <v>710</v>
      </c>
      <c r="N8" s="940" t="s">
        <v>436</v>
      </c>
      <c r="O8" s="940" t="s">
        <v>711</v>
      </c>
      <c r="P8" s="941" t="s">
        <v>535</v>
      </c>
    </row>
    <row r="9" spans="1:16">
      <c r="A9" s="942"/>
      <c r="B9" s="943"/>
      <c r="C9" s="932"/>
      <c r="D9" s="944"/>
      <c r="E9" s="944"/>
      <c r="F9" s="944"/>
      <c r="G9" s="944"/>
      <c r="H9" s="932"/>
      <c r="I9" s="944"/>
      <c r="J9" s="944"/>
      <c r="K9" s="944"/>
      <c r="L9" s="944"/>
      <c r="M9" s="944"/>
      <c r="N9" s="944"/>
      <c r="O9" s="944"/>
      <c r="P9" s="969"/>
    </row>
    <row r="10" spans="1:16" ht="18" customHeight="1">
      <c r="A10" s="946" t="s">
        <v>738</v>
      </c>
      <c r="B10" s="947" t="s">
        <v>739</v>
      </c>
      <c r="C10" s="988">
        <f>SUM(D10:G10)</f>
        <v>190</v>
      </c>
      <c r="D10" s="989">
        <v>123</v>
      </c>
      <c r="E10" s="989">
        <v>31</v>
      </c>
      <c r="F10" s="989">
        <v>28</v>
      </c>
      <c r="G10" s="989">
        <v>8</v>
      </c>
      <c r="H10" s="988">
        <f>SUM(I10:N10)</f>
        <v>10</v>
      </c>
      <c r="I10" s="989">
        <v>4</v>
      </c>
      <c r="J10" s="989">
        <v>1</v>
      </c>
      <c r="K10" s="989">
        <v>5</v>
      </c>
      <c r="L10" s="989"/>
      <c r="M10" s="989"/>
      <c r="N10" s="989"/>
      <c r="O10" s="989">
        <v>3</v>
      </c>
      <c r="P10" s="1000">
        <f>+O10+H10+C10</f>
        <v>203</v>
      </c>
    </row>
    <row r="11" spans="1:16" ht="20.25" customHeight="1">
      <c r="A11" s="946" t="s">
        <v>714</v>
      </c>
      <c r="B11" s="947" t="s">
        <v>715</v>
      </c>
      <c r="C11" s="988">
        <f t="shared" ref="C11:C27" si="0">SUM(D11:G11)</f>
        <v>444</v>
      </c>
      <c r="D11" s="989">
        <v>280</v>
      </c>
      <c r="E11" s="989">
        <v>77</v>
      </c>
      <c r="F11" s="989">
        <v>49</v>
      </c>
      <c r="G11" s="989">
        <v>38</v>
      </c>
      <c r="H11" s="988">
        <f t="shared" ref="H11:H27" si="1">SUM(I11:N11)</f>
        <v>124</v>
      </c>
      <c r="I11" s="989">
        <v>50</v>
      </c>
      <c r="J11" s="989">
        <v>15</v>
      </c>
      <c r="K11" s="989">
        <v>12</v>
      </c>
      <c r="L11" s="989">
        <v>5</v>
      </c>
      <c r="M11" s="989">
        <v>23</v>
      </c>
      <c r="N11" s="989">
        <v>19</v>
      </c>
      <c r="O11" s="989">
        <v>3</v>
      </c>
      <c r="P11" s="1000">
        <f t="shared" ref="P11:P27" si="2">+O11+H11+C11</f>
        <v>571</v>
      </c>
    </row>
    <row r="12" spans="1:16" ht="19.5" customHeight="1">
      <c r="A12" s="946" t="s">
        <v>213</v>
      </c>
      <c r="B12" s="947" t="s">
        <v>214</v>
      </c>
      <c r="C12" s="988">
        <f t="shared" si="0"/>
        <v>30</v>
      </c>
      <c r="D12" s="989">
        <v>24</v>
      </c>
      <c r="E12" s="989">
        <v>1</v>
      </c>
      <c r="F12" s="989">
        <v>4</v>
      </c>
      <c r="G12" s="989">
        <v>1</v>
      </c>
      <c r="H12" s="988">
        <f t="shared" si="1"/>
        <v>1</v>
      </c>
      <c r="I12" s="989"/>
      <c r="J12" s="989"/>
      <c r="K12" s="989"/>
      <c r="L12" s="989"/>
      <c r="M12" s="989"/>
      <c r="N12" s="989">
        <v>1</v>
      </c>
      <c r="O12" s="989"/>
      <c r="P12" s="1000">
        <f t="shared" si="2"/>
        <v>31</v>
      </c>
    </row>
    <row r="13" spans="1:16" ht="20.25" customHeight="1">
      <c r="A13" s="946" t="s">
        <v>742</v>
      </c>
      <c r="B13" s="947" t="s">
        <v>743</v>
      </c>
      <c r="C13" s="988">
        <f t="shared" si="0"/>
        <v>158</v>
      </c>
      <c r="D13" s="989">
        <v>109</v>
      </c>
      <c r="E13" s="989">
        <v>21</v>
      </c>
      <c r="F13" s="989">
        <v>15</v>
      </c>
      <c r="G13" s="989">
        <v>13</v>
      </c>
      <c r="H13" s="988">
        <f t="shared" si="1"/>
        <v>15</v>
      </c>
      <c r="I13" s="989">
        <v>8</v>
      </c>
      <c r="J13" s="989">
        <v>2</v>
      </c>
      <c r="K13" s="989">
        <v>4</v>
      </c>
      <c r="L13" s="989"/>
      <c r="M13" s="989">
        <v>1</v>
      </c>
      <c r="N13" s="989"/>
      <c r="O13" s="989">
        <v>7</v>
      </c>
      <c r="P13" s="1000">
        <f t="shared" si="2"/>
        <v>180</v>
      </c>
    </row>
    <row r="14" spans="1:16" ht="19.5" customHeight="1">
      <c r="A14" s="946" t="s">
        <v>215</v>
      </c>
      <c r="B14" s="947" t="s">
        <v>216</v>
      </c>
      <c r="C14" s="988">
        <f t="shared" si="0"/>
        <v>28</v>
      </c>
      <c r="D14" s="990">
        <v>20</v>
      </c>
      <c r="E14" s="989">
        <v>4</v>
      </c>
      <c r="F14" s="989">
        <v>1</v>
      </c>
      <c r="G14" s="989">
        <v>3</v>
      </c>
      <c r="H14" s="988">
        <f t="shared" si="1"/>
        <v>0</v>
      </c>
      <c r="I14" s="989"/>
      <c r="J14" s="989"/>
      <c r="K14" s="989"/>
      <c r="L14" s="989"/>
      <c r="M14" s="989"/>
      <c r="N14" s="989"/>
      <c r="O14" s="989"/>
      <c r="P14" s="1000">
        <f t="shared" si="2"/>
        <v>28</v>
      </c>
    </row>
    <row r="15" spans="1:16" ht="19.5" customHeight="1">
      <c r="A15" s="946" t="s">
        <v>217</v>
      </c>
      <c r="B15" s="947" t="s">
        <v>218</v>
      </c>
      <c r="C15" s="988">
        <f t="shared" si="0"/>
        <v>69</v>
      </c>
      <c r="D15" s="989">
        <v>48</v>
      </c>
      <c r="E15" s="989">
        <v>6</v>
      </c>
      <c r="F15" s="989">
        <v>6</v>
      </c>
      <c r="G15" s="989">
        <v>9</v>
      </c>
      <c r="H15" s="988">
        <f t="shared" si="1"/>
        <v>15</v>
      </c>
      <c r="I15" s="989">
        <v>10</v>
      </c>
      <c r="J15" s="989"/>
      <c r="K15" s="989"/>
      <c r="L15" s="989">
        <v>1</v>
      </c>
      <c r="M15" s="989">
        <v>3</v>
      </c>
      <c r="N15" s="989">
        <v>1</v>
      </c>
      <c r="O15" s="989"/>
      <c r="P15" s="1000">
        <f t="shared" si="2"/>
        <v>84</v>
      </c>
    </row>
    <row r="16" spans="1:16" ht="19.5" customHeight="1">
      <c r="A16" s="946" t="s">
        <v>219</v>
      </c>
      <c r="B16" s="947" t="s">
        <v>220</v>
      </c>
      <c r="C16" s="988">
        <f t="shared" si="0"/>
        <v>14</v>
      </c>
      <c r="D16" s="989">
        <v>7</v>
      </c>
      <c r="E16" s="989">
        <v>4</v>
      </c>
      <c r="F16" s="989">
        <v>2</v>
      </c>
      <c r="G16" s="989">
        <v>1</v>
      </c>
      <c r="H16" s="988">
        <f t="shared" si="1"/>
        <v>1</v>
      </c>
      <c r="I16" s="989">
        <v>1</v>
      </c>
      <c r="J16" s="989"/>
      <c r="K16" s="989"/>
      <c r="L16" s="989"/>
      <c r="M16" s="989"/>
      <c r="N16" s="989"/>
      <c r="O16" s="989"/>
      <c r="P16" s="1000">
        <f t="shared" si="2"/>
        <v>15</v>
      </c>
    </row>
    <row r="17" spans="1:16" ht="20.25" customHeight="1">
      <c r="A17" s="946" t="s">
        <v>712</v>
      </c>
      <c r="B17" s="947" t="s">
        <v>713</v>
      </c>
      <c r="C17" s="988">
        <f t="shared" si="0"/>
        <v>632</v>
      </c>
      <c r="D17" s="989">
        <v>425</v>
      </c>
      <c r="E17" s="989">
        <v>87</v>
      </c>
      <c r="F17" s="989">
        <v>69</v>
      </c>
      <c r="G17" s="989">
        <v>51</v>
      </c>
      <c r="H17" s="988">
        <f t="shared" si="1"/>
        <v>41</v>
      </c>
      <c r="I17" s="989">
        <v>22</v>
      </c>
      <c r="J17" s="989">
        <v>2</v>
      </c>
      <c r="K17" s="989">
        <v>8</v>
      </c>
      <c r="L17" s="989">
        <v>4</v>
      </c>
      <c r="M17" s="989">
        <v>4</v>
      </c>
      <c r="N17" s="989">
        <v>1</v>
      </c>
      <c r="O17" s="989">
        <v>21</v>
      </c>
      <c r="P17" s="1000">
        <f t="shared" si="2"/>
        <v>694</v>
      </c>
    </row>
    <row r="18" spans="1:16" ht="19.5" customHeight="1">
      <c r="A18" s="946" t="s">
        <v>716</v>
      </c>
      <c r="B18" s="947" t="s">
        <v>717</v>
      </c>
      <c r="C18" s="988">
        <f t="shared" si="0"/>
        <v>450</v>
      </c>
      <c r="D18" s="989">
        <v>297</v>
      </c>
      <c r="E18" s="989">
        <v>64</v>
      </c>
      <c r="F18" s="989">
        <v>53</v>
      </c>
      <c r="G18" s="989">
        <v>36</v>
      </c>
      <c r="H18" s="988">
        <f t="shared" si="1"/>
        <v>9</v>
      </c>
      <c r="I18" s="989">
        <v>5</v>
      </c>
      <c r="J18" s="989"/>
      <c r="K18" s="989">
        <v>1</v>
      </c>
      <c r="L18" s="989"/>
      <c r="M18" s="989">
        <v>2</v>
      </c>
      <c r="N18" s="989">
        <v>1</v>
      </c>
      <c r="O18" s="989">
        <v>7</v>
      </c>
      <c r="P18" s="1000">
        <f t="shared" si="2"/>
        <v>466</v>
      </c>
    </row>
    <row r="19" spans="1:16" ht="19.5" customHeight="1">
      <c r="A19" s="946" t="s">
        <v>734</v>
      </c>
      <c r="B19" s="947" t="s">
        <v>735</v>
      </c>
      <c r="C19" s="988">
        <f t="shared" si="0"/>
        <v>1212</v>
      </c>
      <c r="D19" s="989">
        <v>795</v>
      </c>
      <c r="E19" s="989">
        <v>184</v>
      </c>
      <c r="F19" s="989">
        <v>126</v>
      </c>
      <c r="G19" s="989">
        <v>107</v>
      </c>
      <c r="H19" s="988">
        <f t="shared" si="1"/>
        <v>73</v>
      </c>
      <c r="I19" s="989">
        <v>41</v>
      </c>
      <c r="J19" s="989"/>
      <c r="K19" s="989">
        <v>12</v>
      </c>
      <c r="L19" s="989">
        <v>2</v>
      </c>
      <c r="M19" s="989">
        <v>9</v>
      </c>
      <c r="N19" s="989">
        <v>9</v>
      </c>
      <c r="O19" s="989">
        <v>25</v>
      </c>
      <c r="P19" s="1000">
        <f t="shared" si="2"/>
        <v>1310</v>
      </c>
    </row>
    <row r="20" spans="1:16" ht="18.75" customHeight="1">
      <c r="A20" s="946" t="s">
        <v>221</v>
      </c>
      <c r="B20" s="947" t="s">
        <v>222</v>
      </c>
      <c r="C20" s="988">
        <f t="shared" si="0"/>
        <v>101</v>
      </c>
      <c r="D20" s="989">
        <v>72</v>
      </c>
      <c r="E20" s="989">
        <v>12</v>
      </c>
      <c r="F20" s="989">
        <v>8</v>
      </c>
      <c r="G20" s="989">
        <v>9</v>
      </c>
      <c r="H20" s="988">
        <f t="shared" si="1"/>
        <v>14</v>
      </c>
      <c r="I20" s="989">
        <v>7</v>
      </c>
      <c r="J20" s="989"/>
      <c r="K20" s="989">
        <v>4</v>
      </c>
      <c r="L20" s="989"/>
      <c r="M20" s="989">
        <v>1</v>
      </c>
      <c r="N20" s="989">
        <v>2</v>
      </c>
      <c r="O20" s="989">
        <v>1</v>
      </c>
      <c r="P20" s="1000">
        <f t="shared" si="2"/>
        <v>116</v>
      </c>
    </row>
    <row r="21" spans="1:16" ht="19.5" customHeight="1">
      <c r="A21" s="946" t="s">
        <v>223</v>
      </c>
      <c r="B21" s="947" t="s">
        <v>224</v>
      </c>
      <c r="C21" s="988">
        <f t="shared" si="0"/>
        <v>420</v>
      </c>
      <c r="D21" s="989">
        <v>252</v>
      </c>
      <c r="E21" s="989">
        <v>79</v>
      </c>
      <c r="F21" s="989">
        <v>45</v>
      </c>
      <c r="G21" s="989">
        <v>44</v>
      </c>
      <c r="H21" s="988">
        <f t="shared" si="1"/>
        <v>415</v>
      </c>
      <c r="I21" s="989">
        <v>207</v>
      </c>
      <c r="J21" s="989">
        <v>42</v>
      </c>
      <c r="K21" s="989">
        <v>40</v>
      </c>
      <c r="L21" s="989">
        <v>21</v>
      </c>
      <c r="M21" s="989">
        <v>65</v>
      </c>
      <c r="N21" s="989">
        <v>40</v>
      </c>
      <c r="O21" s="989">
        <v>10</v>
      </c>
      <c r="P21" s="1000">
        <f t="shared" si="2"/>
        <v>845</v>
      </c>
    </row>
    <row r="22" spans="1:16" ht="19.5" customHeight="1">
      <c r="A22" s="946" t="s">
        <v>736</v>
      </c>
      <c r="B22" s="947" t="s">
        <v>737</v>
      </c>
      <c r="C22" s="988">
        <f t="shared" si="0"/>
        <v>719</v>
      </c>
      <c r="D22" s="989">
        <v>423</v>
      </c>
      <c r="E22" s="989">
        <v>139</v>
      </c>
      <c r="F22" s="989">
        <v>92</v>
      </c>
      <c r="G22" s="989">
        <v>65</v>
      </c>
      <c r="H22" s="988">
        <f t="shared" si="1"/>
        <v>332</v>
      </c>
      <c r="I22" s="989">
        <v>166</v>
      </c>
      <c r="J22" s="989">
        <v>46</v>
      </c>
      <c r="K22" s="989">
        <v>37</v>
      </c>
      <c r="L22" s="989">
        <v>10</v>
      </c>
      <c r="M22" s="989">
        <v>47</v>
      </c>
      <c r="N22" s="989">
        <v>26</v>
      </c>
      <c r="O22" s="989">
        <v>16</v>
      </c>
      <c r="P22" s="1000">
        <f t="shared" si="2"/>
        <v>1067</v>
      </c>
    </row>
    <row r="23" spans="1:16" ht="18.75" customHeight="1">
      <c r="A23" s="946" t="s">
        <v>225</v>
      </c>
      <c r="B23" s="947" t="s">
        <v>226</v>
      </c>
      <c r="C23" s="988">
        <f t="shared" si="0"/>
        <v>1803</v>
      </c>
      <c r="D23" s="989">
        <v>1132</v>
      </c>
      <c r="E23" s="989">
        <v>264</v>
      </c>
      <c r="F23" s="989">
        <v>240</v>
      </c>
      <c r="G23" s="989">
        <v>167</v>
      </c>
      <c r="H23" s="988">
        <f t="shared" si="1"/>
        <v>105</v>
      </c>
      <c r="I23" s="989">
        <v>64</v>
      </c>
      <c r="J23" s="989">
        <v>7</v>
      </c>
      <c r="K23" s="989">
        <v>22</v>
      </c>
      <c r="L23" s="989">
        <v>2</v>
      </c>
      <c r="M23" s="989">
        <v>5</v>
      </c>
      <c r="N23" s="989">
        <v>5</v>
      </c>
      <c r="O23" s="989">
        <v>23</v>
      </c>
      <c r="P23" s="1000">
        <f t="shared" si="2"/>
        <v>1931</v>
      </c>
    </row>
    <row r="24" spans="1:16" ht="19.5" customHeight="1">
      <c r="A24" s="946" t="s">
        <v>744</v>
      </c>
      <c r="B24" s="947" t="s">
        <v>745</v>
      </c>
      <c r="C24" s="988">
        <f t="shared" si="0"/>
        <v>285</v>
      </c>
      <c r="D24" s="989">
        <v>206</v>
      </c>
      <c r="E24" s="989">
        <v>32</v>
      </c>
      <c r="F24" s="989">
        <v>17</v>
      </c>
      <c r="G24" s="989">
        <v>30</v>
      </c>
      <c r="H24" s="988">
        <f t="shared" si="1"/>
        <v>18</v>
      </c>
      <c r="I24" s="989">
        <v>15</v>
      </c>
      <c r="J24" s="989"/>
      <c r="K24" s="989">
        <v>2</v>
      </c>
      <c r="L24" s="989"/>
      <c r="M24" s="989">
        <v>1</v>
      </c>
      <c r="N24" s="989"/>
      <c r="O24" s="989">
        <v>3</v>
      </c>
      <c r="P24" s="1000">
        <f t="shared" si="2"/>
        <v>306</v>
      </c>
    </row>
    <row r="25" spans="1:16" ht="20.25" customHeight="1">
      <c r="A25" s="946" t="s">
        <v>746</v>
      </c>
      <c r="B25" s="947" t="s">
        <v>747</v>
      </c>
      <c r="C25" s="988">
        <f t="shared" si="0"/>
        <v>36</v>
      </c>
      <c r="D25" s="989">
        <v>28</v>
      </c>
      <c r="E25" s="989">
        <v>3</v>
      </c>
      <c r="F25" s="989">
        <v>2</v>
      </c>
      <c r="G25" s="989">
        <v>3</v>
      </c>
      <c r="H25" s="988">
        <f t="shared" si="1"/>
        <v>24</v>
      </c>
      <c r="I25" s="989">
        <v>15</v>
      </c>
      <c r="J25" s="989">
        <v>1</v>
      </c>
      <c r="K25" s="989">
        <v>2</v>
      </c>
      <c r="L25" s="989">
        <v>1</v>
      </c>
      <c r="M25" s="989">
        <v>4</v>
      </c>
      <c r="N25" s="989">
        <v>1</v>
      </c>
      <c r="O25" s="989">
        <v>2</v>
      </c>
      <c r="P25" s="1000">
        <f t="shared" si="2"/>
        <v>62</v>
      </c>
    </row>
    <row r="26" spans="1:16" ht="21.75" customHeight="1">
      <c r="A26" s="946" t="s">
        <v>740</v>
      </c>
      <c r="B26" s="947" t="s">
        <v>761</v>
      </c>
      <c r="C26" s="988">
        <f t="shared" si="0"/>
        <v>144</v>
      </c>
      <c r="D26" s="989">
        <v>83</v>
      </c>
      <c r="E26" s="989">
        <v>29</v>
      </c>
      <c r="F26" s="989">
        <v>20</v>
      </c>
      <c r="G26" s="989">
        <v>12</v>
      </c>
      <c r="H26" s="988">
        <f t="shared" si="1"/>
        <v>22</v>
      </c>
      <c r="I26" s="989">
        <v>13</v>
      </c>
      <c r="J26" s="989"/>
      <c r="K26" s="989">
        <v>2</v>
      </c>
      <c r="L26" s="989">
        <v>2</v>
      </c>
      <c r="M26" s="989">
        <v>3</v>
      </c>
      <c r="N26" s="989">
        <v>2</v>
      </c>
      <c r="O26" s="989">
        <v>3</v>
      </c>
      <c r="P26" s="1000">
        <f>+O26+H26+C26</f>
        <v>169</v>
      </c>
    </row>
    <row r="27" spans="1:16" ht="27.75" customHeight="1">
      <c r="A27" s="946" t="s">
        <v>732</v>
      </c>
      <c r="B27" s="952" t="s">
        <v>227</v>
      </c>
      <c r="C27" s="988">
        <f t="shared" si="0"/>
        <v>651</v>
      </c>
      <c r="D27" s="989">
        <v>419</v>
      </c>
      <c r="E27" s="989">
        <v>119</v>
      </c>
      <c r="F27" s="989">
        <v>58</v>
      </c>
      <c r="G27" s="989">
        <v>55</v>
      </c>
      <c r="H27" s="988">
        <f t="shared" si="1"/>
        <v>587</v>
      </c>
      <c r="I27" s="989">
        <v>283</v>
      </c>
      <c r="J27" s="989">
        <v>75</v>
      </c>
      <c r="K27" s="989">
        <v>59</v>
      </c>
      <c r="L27" s="989">
        <v>22</v>
      </c>
      <c r="M27" s="989">
        <v>88</v>
      </c>
      <c r="N27" s="989">
        <v>60</v>
      </c>
      <c r="O27" s="989">
        <v>45</v>
      </c>
      <c r="P27" s="1000">
        <f t="shared" si="2"/>
        <v>1283</v>
      </c>
    </row>
    <row r="28" spans="1:16" ht="21.75" customHeight="1">
      <c r="A28" s="953"/>
      <c r="B28" s="953" t="s">
        <v>863</v>
      </c>
      <c r="C28" s="1001">
        <f>SUM(C10:C27)</f>
        <v>7386</v>
      </c>
      <c r="D28" s="1002">
        <f t="shared" ref="D28:P28" si="3">SUM(D10:D27)</f>
        <v>4743</v>
      </c>
      <c r="E28" s="1002">
        <f t="shared" si="3"/>
        <v>1156</v>
      </c>
      <c r="F28" s="1002">
        <f t="shared" si="3"/>
        <v>835</v>
      </c>
      <c r="G28" s="1002">
        <f t="shared" si="3"/>
        <v>652</v>
      </c>
      <c r="H28" s="1001">
        <f t="shared" si="3"/>
        <v>1806</v>
      </c>
      <c r="I28" s="1002">
        <f t="shared" si="3"/>
        <v>911</v>
      </c>
      <c r="J28" s="1002">
        <f t="shared" si="3"/>
        <v>191</v>
      </c>
      <c r="K28" s="1002">
        <f t="shared" si="3"/>
        <v>210</v>
      </c>
      <c r="L28" s="1002">
        <f t="shared" si="3"/>
        <v>70</v>
      </c>
      <c r="M28" s="1002">
        <f t="shared" si="3"/>
        <v>256</v>
      </c>
      <c r="N28" s="1002">
        <f t="shared" si="3"/>
        <v>168</v>
      </c>
      <c r="O28" s="1002">
        <f t="shared" si="3"/>
        <v>169</v>
      </c>
      <c r="P28" s="957">
        <f t="shared" si="3"/>
        <v>9361</v>
      </c>
    </row>
    <row r="29" spans="1:16" ht="21.75" customHeight="1">
      <c r="A29" s="958"/>
      <c r="B29" s="958"/>
      <c r="C29" s="959"/>
      <c r="D29" s="991"/>
      <c r="E29" s="991"/>
      <c r="F29" s="991"/>
      <c r="G29" s="991"/>
      <c r="H29" s="991"/>
      <c r="I29" s="991"/>
      <c r="J29" s="991"/>
      <c r="K29" s="991"/>
      <c r="L29" s="991"/>
      <c r="M29" s="991"/>
      <c r="N29" s="1003"/>
      <c r="O29" s="989"/>
    </row>
    <row r="30" spans="1:16" ht="21.75" customHeight="1">
      <c r="A30" s="958"/>
      <c r="B30" s="958"/>
      <c r="C30" s="959"/>
      <c r="D30" s="991"/>
      <c r="E30" s="991"/>
      <c r="F30" s="991"/>
      <c r="G30" s="991"/>
      <c r="H30" s="991"/>
      <c r="I30" s="991"/>
      <c r="J30" s="991"/>
      <c r="K30" s="991"/>
      <c r="L30" s="991"/>
      <c r="M30" s="991"/>
      <c r="N30" s="1003"/>
      <c r="O30" s="989"/>
      <c r="P30" s="966"/>
    </row>
    <row r="31" spans="1:16" ht="21.75" customHeight="1">
      <c r="A31" s="958"/>
      <c r="B31" s="958"/>
      <c r="C31" s="959"/>
      <c r="D31" s="991"/>
      <c r="E31" s="991"/>
      <c r="F31" s="991"/>
      <c r="G31" s="991"/>
      <c r="H31" s="991"/>
      <c r="I31" s="991"/>
      <c r="J31" s="991"/>
      <c r="K31" s="991"/>
      <c r="L31" s="991"/>
      <c r="M31" s="991"/>
      <c r="N31" s="1003"/>
      <c r="O31" s="989"/>
    </row>
    <row r="32" spans="1:16" ht="19.5" customHeight="1">
      <c r="A32" s="1484" t="s">
        <v>228</v>
      </c>
      <c r="B32" s="1484"/>
      <c r="C32" s="1484"/>
      <c r="D32" s="1484"/>
      <c r="E32" s="1484"/>
      <c r="F32" s="1484"/>
      <c r="G32" s="1484"/>
      <c r="H32" s="1484"/>
      <c r="I32" s="1484"/>
      <c r="J32" s="1484"/>
      <c r="K32" s="1484"/>
      <c r="L32" s="1484"/>
      <c r="M32" s="1484"/>
      <c r="N32" s="1005"/>
      <c r="O32" s="989"/>
    </row>
    <row r="33" spans="1:15">
      <c r="A33" s="1004"/>
      <c r="B33" s="1004"/>
      <c r="C33" s="1006"/>
      <c r="D33" s="1006"/>
      <c r="E33" s="1006"/>
      <c r="F33" s="1006"/>
      <c r="G33" s="989"/>
      <c r="H33" s="989"/>
      <c r="I33" s="989"/>
      <c r="J33" s="989"/>
      <c r="K33" s="989"/>
      <c r="L33" s="989"/>
      <c r="M33" s="989"/>
      <c r="N33" s="989"/>
      <c r="O33" s="989"/>
    </row>
    <row r="34" spans="1:15">
      <c r="A34" s="1484" t="str">
        <f>+A3</f>
        <v>SERVICIO DE SALUD   ACONCAGUA   2015</v>
      </c>
      <c r="B34" s="1484"/>
      <c r="C34" s="1484"/>
      <c r="D34" s="1484"/>
      <c r="E34" s="1484"/>
      <c r="F34" s="1484"/>
      <c r="G34" s="1484"/>
      <c r="H34" s="1484"/>
      <c r="I34" s="1484"/>
      <c r="J34" s="1484"/>
      <c r="K34" s="1484"/>
      <c r="L34" s="1484"/>
      <c r="M34" s="1484"/>
      <c r="N34" s="989"/>
      <c r="O34" s="989"/>
    </row>
    <row r="35" spans="1:15">
      <c r="A35" s="979"/>
      <c r="B35" s="979"/>
      <c r="C35" s="979"/>
      <c r="D35" s="998"/>
      <c r="E35" s="998"/>
      <c r="F35" s="998"/>
      <c r="G35" s="989"/>
      <c r="H35" s="989"/>
      <c r="I35" s="989"/>
      <c r="J35" s="989"/>
      <c r="K35" s="989"/>
      <c r="L35" s="989"/>
      <c r="M35" s="989"/>
      <c r="N35" s="989"/>
      <c r="O35" s="989"/>
    </row>
    <row r="36" spans="1:15">
      <c r="A36" s="1480" t="s">
        <v>947</v>
      </c>
      <c r="B36" s="1480"/>
      <c r="C36" s="1480"/>
      <c r="D36" s="1480"/>
      <c r="E36" s="1480"/>
      <c r="F36" s="1480"/>
      <c r="G36" s="1480"/>
      <c r="H36" s="1480"/>
      <c r="I36" s="1480"/>
      <c r="J36" s="1480"/>
      <c r="K36" s="1480"/>
      <c r="L36" s="1480"/>
      <c r="M36" s="1480"/>
      <c r="N36" s="989"/>
      <c r="O36" s="989"/>
    </row>
    <row r="37" spans="1:15">
      <c r="D37" s="989"/>
      <c r="E37" s="989"/>
      <c r="F37" s="989"/>
      <c r="G37" s="989"/>
      <c r="H37" s="989"/>
      <c r="I37" s="989"/>
      <c r="J37" s="989"/>
      <c r="K37" s="989"/>
      <c r="L37" s="989"/>
      <c r="M37" s="989"/>
      <c r="N37" s="989"/>
      <c r="O37" s="989"/>
    </row>
    <row r="38" spans="1:15" ht="21.75" customHeight="1">
      <c r="A38" s="981" t="s">
        <v>701</v>
      </c>
      <c r="B38" s="932"/>
      <c r="C38" s="1481" t="s">
        <v>749</v>
      </c>
      <c r="D38" s="1482"/>
      <c r="E38" s="1482"/>
      <c r="F38" s="1482"/>
      <c r="G38" s="1482"/>
      <c r="H38" s="1482"/>
      <c r="I38" s="1482"/>
      <c r="J38" s="1482"/>
      <c r="K38" s="1482"/>
      <c r="L38" s="1482"/>
      <c r="M38" s="1483"/>
      <c r="N38" s="1007"/>
      <c r="O38" s="989"/>
    </row>
    <row r="39" spans="1:15" ht="23.25" customHeight="1">
      <c r="A39" s="982" t="s">
        <v>703</v>
      </c>
      <c r="B39" s="983" t="s">
        <v>704</v>
      </c>
      <c r="C39" s="940" t="s">
        <v>751</v>
      </c>
      <c r="D39" s="1008" t="s">
        <v>752</v>
      </c>
      <c r="E39" s="1008" t="s">
        <v>753</v>
      </c>
      <c r="F39" s="1008" t="s">
        <v>754</v>
      </c>
      <c r="G39" s="1008" t="s">
        <v>755</v>
      </c>
      <c r="H39" s="1008" t="s">
        <v>756</v>
      </c>
      <c r="I39" s="1008" t="s">
        <v>757</v>
      </c>
      <c r="J39" s="1008" t="s">
        <v>758</v>
      </c>
      <c r="K39" s="1008" t="s">
        <v>759</v>
      </c>
      <c r="L39" s="1008" t="s">
        <v>760</v>
      </c>
      <c r="M39" s="1009" t="s">
        <v>535</v>
      </c>
      <c r="N39" s="989"/>
      <c r="O39" s="989"/>
    </row>
    <row r="40" spans="1:15">
      <c r="A40" s="942"/>
      <c r="B40" s="943"/>
      <c r="C40" s="944"/>
      <c r="D40" s="985"/>
      <c r="E40" s="985"/>
      <c r="F40" s="985"/>
      <c r="G40" s="985"/>
      <c r="H40" s="985"/>
      <c r="I40" s="985"/>
      <c r="J40" s="985"/>
      <c r="K40" s="985"/>
      <c r="L40" s="985"/>
      <c r="M40" s="1010"/>
      <c r="N40" s="989"/>
      <c r="O40" s="989"/>
    </row>
    <row r="41" spans="1:15" ht="20.25" customHeight="1">
      <c r="A41" s="946" t="s">
        <v>738</v>
      </c>
      <c r="B41" s="947" t="s">
        <v>739</v>
      </c>
      <c r="D41" s="985"/>
      <c r="E41" s="985">
        <v>9</v>
      </c>
      <c r="F41" s="985">
        <v>45</v>
      </c>
      <c r="G41" s="985">
        <v>10</v>
      </c>
      <c r="H41" s="985">
        <v>12</v>
      </c>
      <c r="I41" s="989">
        <v>8</v>
      </c>
      <c r="J41" s="989">
        <v>19</v>
      </c>
      <c r="K41" s="989">
        <v>27</v>
      </c>
      <c r="L41" s="989">
        <v>73</v>
      </c>
      <c r="M41" s="1011">
        <f t="shared" ref="M41:M58" si="4">SUM(B41:L41)</f>
        <v>203</v>
      </c>
      <c r="N41" s="989"/>
      <c r="O41" s="989"/>
    </row>
    <row r="42" spans="1:15" ht="19.5" customHeight="1">
      <c r="A42" s="946" t="s">
        <v>714</v>
      </c>
      <c r="B42" s="947" t="s">
        <v>715</v>
      </c>
      <c r="D42" s="989"/>
      <c r="E42" s="989"/>
      <c r="F42" s="989">
        <v>1</v>
      </c>
      <c r="G42" s="989">
        <v>4</v>
      </c>
      <c r="H42" s="989">
        <v>7</v>
      </c>
      <c r="I42" s="989">
        <v>10</v>
      </c>
      <c r="J42" s="989">
        <v>135</v>
      </c>
      <c r="K42" s="989">
        <v>223</v>
      </c>
      <c r="L42" s="989">
        <v>191</v>
      </c>
      <c r="M42" s="1011">
        <f t="shared" si="4"/>
        <v>571</v>
      </c>
      <c r="N42" s="989"/>
      <c r="O42" s="989"/>
    </row>
    <row r="43" spans="1:15" ht="18" customHeight="1">
      <c r="A43" s="946" t="s">
        <v>213</v>
      </c>
      <c r="B43" s="947" t="s">
        <v>214</v>
      </c>
      <c r="C43" s="989"/>
      <c r="D43" s="989"/>
      <c r="E43" s="989"/>
      <c r="F43" s="989">
        <v>3</v>
      </c>
      <c r="G43" s="989">
        <v>2</v>
      </c>
      <c r="H43" s="989">
        <v>2</v>
      </c>
      <c r="I43" s="989">
        <v>1</v>
      </c>
      <c r="J43" s="989">
        <v>8</v>
      </c>
      <c r="K43" s="989">
        <v>6</v>
      </c>
      <c r="L43" s="989">
        <v>9</v>
      </c>
      <c r="M43" s="1011">
        <f t="shared" si="4"/>
        <v>31</v>
      </c>
      <c r="N43" s="989"/>
      <c r="O43" s="989"/>
    </row>
    <row r="44" spans="1:15" ht="17.25" customHeight="1">
      <c r="A44" s="946" t="s">
        <v>742</v>
      </c>
      <c r="B44" s="947" t="s">
        <v>743</v>
      </c>
      <c r="D44" s="989"/>
      <c r="E44" s="989"/>
      <c r="F44" s="989"/>
      <c r="G44" s="989"/>
      <c r="H44" s="989">
        <v>3</v>
      </c>
      <c r="I44" s="989">
        <v>12</v>
      </c>
      <c r="J44" s="989">
        <v>52</v>
      </c>
      <c r="K44" s="989">
        <v>62</v>
      </c>
      <c r="L44" s="989">
        <v>51</v>
      </c>
      <c r="M44" s="1011">
        <f t="shared" si="4"/>
        <v>180</v>
      </c>
      <c r="N44" s="989"/>
      <c r="O44" s="989"/>
    </row>
    <row r="45" spans="1:15" ht="17.25" customHeight="1">
      <c r="A45" s="946" t="s">
        <v>215</v>
      </c>
      <c r="B45" s="947" t="s">
        <v>216</v>
      </c>
      <c r="D45" s="989"/>
      <c r="E45" s="989"/>
      <c r="F45" s="989"/>
      <c r="G45" s="989"/>
      <c r="H45" s="989"/>
      <c r="I45" s="989">
        <v>5</v>
      </c>
      <c r="J45" s="989">
        <v>5</v>
      </c>
      <c r="K45" s="989">
        <v>12</v>
      </c>
      <c r="L45" s="989">
        <v>6</v>
      </c>
      <c r="M45" s="1011">
        <f t="shared" si="4"/>
        <v>28</v>
      </c>
      <c r="N45" s="989"/>
      <c r="O45" s="989"/>
    </row>
    <row r="46" spans="1:15" ht="17.25" customHeight="1">
      <c r="A46" s="946" t="s">
        <v>217</v>
      </c>
      <c r="B46" s="947" t="s">
        <v>218</v>
      </c>
      <c r="D46" s="989"/>
      <c r="E46" s="989">
        <v>1</v>
      </c>
      <c r="F46" s="989">
        <v>3</v>
      </c>
      <c r="G46" s="989">
        <v>1</v>
      </c>
      <c r="H46" s="989">
        <v>3</v>
      </c>
      <c r="I46" s="989">
        <v>3</v>
      </c>
      <c r="J46" s="989">
        <v>17</v>
      </c>
      <c r="K46" s="989">
        <v>37</v>
      </c>
      <c r="L46" s="989">
        <v>19</v>
      </c>
      <c r="M46" s="1011">
        <f t="shared" si="4"/>
        <v>84</v>
      </c>
      <c r="N46" s="989"/>
      <c r="O46" s="989"/>
    </row>
    <row r="47" spans="1:15" ht="17.25" customHeight="1">
      <c r="A47" s="946" t="s">
        <v>219</v>
      </c>
      <c r="B47" s="947" t="s">
        <v>220</v>
      </c>
      <c r="D47" s="989"/>
      <c r="E47" s="989"/>
      <c r="F47" s="989">
        <v>3</v>
      </c>
      <c r="G47" s="989"/>
      <c r="H47" s="989">
        <v>1</v>
      </c>
      <c r="I47" s="989"/>
      <c r="J47" s="989">
        <v>1</v>
      </c>
      <c r="K47" s="989">
        <v>6</v>
      </c>
      <c r="L47" s="989">
        <v>4</v>
      </c>
      <c r="M47" s="1011">
        <f t="shared" si="4"/>
        <v>15</v>
      </c>
      <c r="N47" s="989"/>
      <c r="O47" s="989"/>
    </row>
    <row r="48" spans="1:15" ht="21" customHeight="1">
      <c r="A48" s="946" t="s">
        <v>712</v>
      </c>
      <c r="B48" s="947" t="s">
        <v>713</v>
      </c>
      <c r="D48" s="989"/>
      <c r="E48" s="989"/>
      <c r="F48" s="989">
        <v>2</v>
      </c>
      <c r="G48" s="989">
        <v>7</v>
      </c>
      <c r="H48" s="989">
        <v>4</v>
      </c>
      <c r="I48" s="989">
        <v>15</v>
      </c>
      <c r="J48" s="989">
        <v>51</v>
      </c>
      <c r="K48" s="989">
        <v>212</v>
      </c>
      <c r="L48" s="989">
        <v>403</v>
      </c>
      <c r="M48" s="1011">
        <f t="shared" si="4"/>
        <v>694</v>
      </c>
      <c r="N48" s="989"/>
      <c r="O48" s="989"/>
    </row>
    <row r="49" spans="1:15" ht="23.25" customHeight="1">
      <c r="A49" s="946" t="s">
        <v>716</v>
      </c>
      <c r="B49" s="947" t="s">
        <v>717</v>
      </c>
      <c r="C49" s="967">
        <v>1</v>
      </c>
      <c r="D49" s="989">
        <v>1</v>
      </c>
      <c r="E49" s="989">
        <v>80</v>
      </c>
      <c r="F49" s="989">
        <v>75</v>
      </c>
      <c r="G49" s="989">
        <v>27</v>
      </c>
      <c r="H49" s="989">
        <v>7</v>
      </c>
      <c r="I49" s="989">
        <v>2</v>
      </c>
      <c r="J49" s="989">
        <v>33</v>
      </c>
      <c r="K49" s="989">
        <v>50</v>
      </c>
      <c r="L49" s="989">
        <v>190</v>
      </c>
      <c r="M49" s="1011">
        <f t="shared" si="4"/>
        <v>466</v>
      </c>
      <c r="N49" s="989"/>
      <c r="O49" s="989"/>
    </row>
    <row r="50" spans="1:15" ht="19.5" customHeight="1">
      <c r="A50" s="946" t="s">
        <v>734</v>
      </c>
      <c r="B50" s="947" t="s">
        <v>735</v>
      </c>
      <c r="D50" s="989"/>
      <c r="E50" s="989">
        <v>5</v>
      </c>
      <c r="F50" s="989">
        <v>5</v>
      </c>
      <c r="G50" s="989">
        <v>20</v>
      </c>
      <c r="H50" s="989">
        <v>51</v>
      </c>
      <c r="I50" s="989">
        <v>63</v>
      </c>
      <c r="J50" s="989">
        <v>404</v>
      </c>
      <c r="K50" s="989">
        <v>451</v>
      </c>
      <c r="L50" s="989">
        <v>311</v>
      </c>
      <c r="M50" s="1011">
        <f t="shared" si="4"/>
        <v>1310</v>
      </c>
      <c r="N50" s="989"/>
      <c r="O50" s="989"/>
    </row>
    <row r="51" spans="1:15" ht="18" customHeight="1">
      <c r="A51" s="946" t="s">
        <v>221</v>
      </c>
      <c r="B51" s="947" t="s">
        <v>222</v>
      </c>
      <c r="D51" s="989"/>
      <c r="E51" s="989"/>
      <c r="F51" s="989">
        <v>6</v>
      </c>
      <c r="G51" s="989">
        <v>6</v>
      </c>
      <c r="H51" s="989">
        <v>5</v>
      </c>
      <c r="I51" s="989">
        <v>8</v>
      </c>
      <c r="J51" s="989">
        <v>30</v>
      </c>
      <c r="K51" s="989">
        <v>24</v>
      </c>
      <c r="L51" s="989">
        <v>37</v>
      </c>
      <c r="M51" s="1011">
        <f t="shared" si="4"/>
        <v>116</v>
      </c>
      <c r="N51" s="989"/>
      <c r="O51" s="989"/>
    </row>
    <row r="52" spans="1:15" ht="19.5" customHeight="1">
      <c r="A52" s="946" t="s">
        <v>223</v>
      </c>
      <c r="B52" s="947" t="s">
        <v>224</v>
      </c>
      <c r="D52" s="989"/>
      <c r="E52" s="989"/>
      <c r="F52" s="989">
        <v>11</v>
      </c>
      <c r="G52" s="989">
        <v>15</v>
      </c>
      <c r="H52" s="989">
        <v>20</v>
      </c>
      <c r="I52" s="989">
        <v>32</v>
      </c>
      <c r="J52" s="989">
        <v>186</v>
      </c>
      <c r="K52" s="989">
        <v>360</v>
      </c>
      <c r="L52" s="989">
        <v>221</v>
      </c>
      <c r="M52" s="1011">
        <f t="shared" si="4"/>
        <v>845</v>
      </c>
      <c r="N52" s="989"/>
      <c r="O52" s="989"/>
    </row>
    <row r="53" spans="1:15" ht="18.75" customHeight="1">
      <c r="A53" s="946" t="s">
        <v>736</v>
      </c>
      <c r="B53" s="947" t="s">
        <v>737</v>
      </c>
      <c r="D53" s="989"/>
      <c r="E53" s="989">
        <v>17</v>
      </c>
      <c r="F53" s="989">
        <v>27</v>
      </c>
      <c r="G53" s="989">
        <v>15</v>
      </c>
      <c r="H53" s="989">
        <v>9</v>
      </c>
      <c r="I53" s="989">
        <v>32</v>
      </c>
      <c r="J53" s="989">
        <v>285</v>
      </c>
      <c r="K53" s="989">
        <v>364</v>
      </c>
      <c r="L53" s="989">
        <v>318</v>
      </c>
      <c r="M53" s="1011">
        <f t="shared" si="4"/>
        <v>1067</v>
      </c>
      <c r="N53" s="989"/>
      <c r="O53" s="989"/>
    </row>
    <row r="54" spans="1:15" ht="18.75" customHeight="1">
      <c r="A54" s="946" t="s">
        <v>225</v>
      </c>
      <c r="B54" s="947" t="s">
        <v>226</v>
      </c>
      <c r="D54" s="989"/>
      <c r="E54" s="1066"/>
      <c r="F54" s="995"/>
      <c r="G54" s="1066"/>
      <c r="H54" s="989">
        <v>9</v>
      </c>
      <c r="I54" s="989">
        <v>245</v>
      </c>
      <c r="J54" s="989">
        <v>1670</v>
      </c>
      <c r="K54" s="996">
        <v>7</v>
      </c>
      <c r="L54" s="995"/>
      <c r="M54" s="1011">
        <f t="shared" si="4"/>
        <v>1931</v>
      </c>
      <c r="N54" s="989"/>
      <c r="O54" s="989"/>
    </row>
    <row r="55" spans="1:15" ht="18" customHeight="1">
      <c r="A55" s="946" t="s">
        <v>744</v>
      </c>
      <c r="B55" s="947" t="s">
        <v>745</v>
      </c>
      <c r="C55" s="989">
        <v>159</v>
      </c>
      <c r="D55" s="989">
        <v>121</v>
      </c>
      <c r="E55" s="1066">
        <v>26</v>
      </c>
      <c r="F55" s="995"/>
      <c r="G55" s="1066"/>
      <c r="H55" s="995"/>
      <c r="I55" s="995"/>
      <c r="J55" s="995"/>
      <c r="K55" s="995"/>
      <c r="L55" s="995"/>
      <c r="M55" s="1011">
        <f>SUM(B55:L55)</f>
        <v>306</v>
      </c>
      <c r="N55" s="989"/>
      <c r="O55" s="989"/>
    </row>
    <row r="56" spans="1:15" ht="20.25" customHeight="1">
      <c r="A56" s="946" t="s">
        <v>746</v>
      </c>
      <c r="B56" s="947" t="s">
        <v>747</v>
      </c>
      <c r="C56" s="989"/>
      <c r="D56" s="989">
        <v>2</v>
      </c>
      <c r="E56" s="989">
        <v>17</v>
      </c>
      <c r="F56" s="989">
        <v>16</v>
      </c>
      <c r="G56" s="989">
        <v>11</v>
      </c>
      <c r="H56" s="989">
        <v>4</v>
      </c>
      <c r="I56" s="989">
        <v>1</v>
      </c>
      <c r="J56" s="989">
        <v>5</v>
      </c>
      <c r="K56" s="989">
        <v>5</v>
      </c>
      <c r="L56" s="989">
        <v>1</v>
      </c>
      <c r="M56" s="1011">
        <f t="shared" si="4"/>
        <v>62</v>
      </c>
      <c r="N56" s="989"/>
      <c r="O56" s="989"/>
    </row>
    <row r="57" spans="1:15" ht="19.5" customHeight="1">
      <c r="A57" s="946" t="s">
        <v>740</v>
      </c>
      <c r="B57" s="947" t="s">
        <v>761</v>
      </c>
      <c r="C57" s="989">
        <v>1</v>
      </c>
      <c r="D57" s="989"/>
      <c r="E57" s="989">
        <v>1</v>
      </c>
      <c r="F57" s="989">
        <v>25</v>
      </c>
      <c r="G57" s="989">
        <v>8</v>
      </c>
      <c r="H57" s="989">
        <v>11</v>
      </c>
      <c r="I57" s="989">
        <v>4</v>
      </c>
      <c r="J57" s="989">
        <v>28</v>
      </c>
      <c r="K57" s="989">
        <v>43</v>
      </c>
      <c r="L57" s="989">
        <v>48</v>
      </c>
      <c r="M57" s="1011">
        <f t="shared" si="4"/>
        <v>169</v>
      </c>
      <c r="N57" s="989"/>
      <c r="O57" s="989"/>
    </row>
    <row r="58" spans="1:15" ht="27.75" customHeight="1">
      <c r="A58" s="946" t="s">
        <v>732</v>
      </c>
      <c r="B58" s="952" t="s">
        <v>227</v>
      </c>
      <c r="C58" s="989"/>
      <c r="D58" s="989"/>
      <c r="E58" s="989">
        <v>1</v>
      </c>
      <c r="F58" s="989">
        <v>49</v>
      </c>
      <c r="G58" s="989">
        <v>66</v>
      </c>
      <c r="H58" s="989">
        <v>90</v>
      </c>
      <c r="I58" s="989">
        <v>68</v>
      </c>
      <c r="J58" s="989">
        <v>406</v>
      </c>
      <c r="K58" s="989">
        <v>291</v>
      </c>
      <c r="L58" s="989">
        <v>312</v>
      </c>
      <c r="M58" s="1011">
        <f t="shared" si="4"/>
        <v>1283</v>
      </c>
      <c r="N58" s="989"/>
      <c r="O58" s="989"/>
    </row>
    <row r="59" spans="1:15" ht="19.5" customHeight="1">
      <c r="A59" s="953"/>
      <c r="B59" s="953" t="s">
        <v>863</v>
      </c>
      <c r="C59" s="1012">
        <f t="shared" ref="C59:L59" si="5">SUM(C41:C58)</f>
        <v>161</v>
      </c>
      <c r="D59" s="1002">
        <f t="shared" si="5"/>
        <v>124</v>
      </c>
      <c r="E59" s="1013">
        <f t="shared" si="5"/>
        <v>157</v>
      </c>
      <c r="F59" s="1013">
        <f t="shared" si="5"/>
        <v>271</v>
      </c>
      <c r="G59" s="1013">
        <f t="shared" si="5"/>
        <v>192</v>
      </c>
      <c r="H59" s="1013">
        <f t="shared" si="5"/>
        <v>238</v>
      </c>
      <c r="I59" s="1013">
        <f t="shared" si="5"/>
        <v>509</v>
      </c>
      <c r="J59" s="1013">
        <f t="shared" si="5"/>
        <v>3335</v>
      </c>
      <c r="K59" s="1013">
        <f t="shared" si="5"/>
        <v>2180</v>
      </c>
      <c r="L59" s="1013">
        <f t="shared" si="5"/>
        <v>2194</v>
      </c>
      <c r="M59" s="1014">
        <f>SUM(M41:M58)</f>
        <v>9361</v>
      </c>
      <c r="N59" s="989"/>
      <c r="O59" s="989"/>
    </row>
    <row r="60" spans="1:15">
      <c r="D60" s="989"/>
      <c r="E60" s="989"/>
      <c r="F60" s="989"/>
      <c r="G60" s="989"/>
      <c r="H60" s="989"/>
      <c r="I60" s="989"/>
      <c r="J60" s="989"/>
      <c r="K60" s="989"/>
      <c r="L60" s="989"/>
      <c r="M60" s="1092"/>
      <c r="N60" s="989"/>
      <c r="O60" s="989"/>
    </row>
    <row r="61" spans="1:15">
      <c r="D61" s="989"/>
      <c r="E61" s="989"/>
      <c r="F61" s="989"/>
      <c r="G61" s="989"/>
      <c r="H61" s="989"/>
      <c r="I61" s="989"/>
      <c r="J61" s="990"/>
      <c r="K61" s="989"/>
      <c r="L61" s="989"/>
      <c r="M61" s="989"/>
      <c r="N61" s="989"/>
      <c r="O61" s="989"/>
    </row>
    <row r="62" spans="1:15">
      <c r="D62" s="989"/>
      <c r="E62" s="989"/>
      <c r="F62" s="989"/>
      <c r="G62" s="989"/>
      <c r="H62" s="989"/>
      <c r="I62" s="989"/>
      <c r="J62" s="989"/>
      <c r="K62" s="989"/>
      <c r="L62" s="989"/>
      <c r="M62" s="989"/>
      <c r="N62" s="989"/>
      <c r="O62" s="989"/>
    </row>
    <row r="63" spans="1:15">
      <c r="D63" s="989"/>
      <c r="E63" s="989"/>
      <c r="F63" s="989"/>
      <c r="G63" s="989"/>
      <c r="H63" s="989"/>
      <c r="I63" s="989"/>
      <c r="J63" s="989"/>
      <c r="K63" s="989"/>
      <c r="L63" s="989"/>
      <c r="M63" s="989"/>
      <c r="N63" s="989"/>
      <c r="O63" s="989"/>
    </row>
    <row r="64" spans="1:15">
      <c r="D64" s="989"/>
      <c r="E64" s="989"/>
      <c r="F64" s="989"/>
      <c r="G64" s="989"/>
      <c r="H64" s="989"/>
      <c r="I64" s="989"/>
      <c r="J64" s="989"/>
      <c r="K64" s="989"/>
      <c r="L64" s="989"/>
      <c r="M64" s="989"/>
      <c r="N64" s="989"/>
      <c r="O64" s="989"/>
    </row>
    <row r="65" spans="4:15">
      <c r="D65" s="989"/>
      <c r="E65" s="989"/>
      <c r="F65" s="989"/>
      <c r="G65" s="989"/>
      <c r="H65" s="989"/>
      <c r="I65" s="989"/>
      <c r="J65" s="989"/>
      <c r="K65" s="989"/>
      <c r="L65" s="989"/>
      <c r="M65" s="989"/>
      <c r="N65" s="989"/>
      <c r="O65" s="989"/>
    </row>
    <row r="66" spans="4:15">
      <c r="D66" s="989"/>
      <c r="E66" s="989"/>
      <c r="F66" s="989"/>
      <c r="G66" s="989"/>
      <c r="H66" s="989"/>
      <c r="I66" s="989"/>
      <c r="J66" s="989"/>
      <c r="K66" s="989"/>
      <c r="L66" s="989"/>
      <c r="M66" s="989"/>
      <c r="N66" s="989"/>
      <c r="O66" s="989"/>
    </row>
    <row r="67" spans="4:15">
      <c r="D67" s="989"/>
      <c r="E67" s="989"/>
      <c r="F67" s="989"/>
      <c r="G67" s="989"/>
      <c r="H67" s="989"/>
      <c r="I67" s="989"/>
      <c r="J67" s="989"/>
      <c r="K67" s="989"/>
      <c r="L67" s="989"/>
      <c r="M67" s="989"/>
      <c r="N67" s="989"/>
      <c r="O67" s="989"/>
    </row>
    <row r="68" spans="4:15">
      <c r="D68" s="989"/>
      <c r="E68" s="989"/>
      <c r="F68" s="989"/>
      <c r="G68" s="989"/>
      <c r="H68" s="989"/>
      <c r="I68" s="989"/>
      <c r="J68" s="989"/>
      <c r="K68" s="989"/>
      <c r="L68" s="989"/>
      <c r="M68" s="989"/>
      <c r="N68" s="989"/>
      <c r="O68" s="989"/>
    </row>
    <row r="69" spans="4:15">
      <c r="D69" s="989"/>
      <c r="E69" s="989"/>
      <c r="F69" s="989"/>
      <c r="G69" s="989"/>
      <c r="H69" s="989"/>
      <c r="I69" s="989"/>
      <c r="J69" s="989"/>
      <c r="K69" s="989"/>
      <c r="L69" s="989"/>
      <c r="M69" s="989"/>
      <c r="N69" s="989"/>
      <c r="O69" s="989"/>
    </row>
    <row r="70" spans="4:15">
      <c r="D70" s="989"/>
      <c r="E70" s="989"/>
      <c r="F70" s="989"/>
      <c r="G70" s="989"/>
      <c r="H70" s="989"/>
      <c r="I70" s="989"/>
      <c r="J70" s="989"/>
      <c r="K70" s="989"/>
      <c r="L70" s="989"/>
      <c r="M70" s="989"/>
      <c r="N70" s="989"/>
      <c r="O70" s="989"/>
    </row>
    <row r="71" spans="4:15">
      <c r="D71" s="989"/>
      <c r="E71" s="989"/>
      <c r="F71" s="989"/>
      <c r="G71" s="989"/>
      <c r="H71" s="989"/>
      <c r="I71" s="989"/>
      <c r="J71" s="989"/>
      <c r="K71" s="989"/>
      <c r="L71" s="989"/>
      <c r="M71" s="989"/>
      <c r="N71" s="989"/>
      <c r="O71" s="989"/>
    </row>
    <row r="72" spans="4:15">
      <c r="D72" s="989"/>
      <c r="E72" s="989"/>
      <c r="F72" s="989"/>
      <c r="G72" s="989"/>
      <c r="H72" s="989"/>
      <c r="I72" s="989"/>
      <c r="J72" s="989"/>
      <c r="K72" s="989"/>
      <c r="L72" s="989"/>
      <c r="M72" s="989"/>
      <c r="N72" s="989"/>
      <c r="O72" s="989"/>
    </row>
    <row r="73" spans="4:15">
      <c r="D73" s="989"/>
      <c r="E73" s="989"/>
      <c r="F73" s="989"/>
      <c r="G73" s="989"/>
      <c r="H73" s="989"/>
      <c r="I73" s="989"/>
      <c r="J73" s="989"/>
      <c r="K73" s="989"/>
      <c r="L73" s="989"/>
      <c r="M73" s="989"/>
      <c r="N73" s="989"/>
      <c r="O73" s="989"/>
    </row>
    <row r="74" spans="4:15">
      <c r="D74" s="989"/>
      <c r="E74" s="989"/>
      <c r="F74" s="989"/>
      <c r="G74" s="989"/>
      <c r="H74" s="989"/>
      <c r="I74" s="989"/>
      <c r="J74" s="989"/>
      <c r="K74" s="989"/>
      <c r="L74" s="989"/>
      <c r="M74" s="989"/>
      <c r="N74" s="989"/>
      <c r="O74" s="989"/>
    </row>
    <row r="75" spans="4:15">
      <c r="D75" s="989"/>
      <c r="E75" s="989"/>
      <c r="F75" s="989"/>
      <c r="G75" s="989"/>
      <c r="H75" s="989"/>
      <c r="I75" s="989"/>
      <c r="J75" s="989"/>
      <c r="K75" s="989"/>
      <c r="L75" s="989"/>
      <c r="M75" s="989"/>
      <c r="N75" s="989"/>
      <c r="O75" s="989"/>
    </row>
    <row r="76" spans="4:15">
      <c r="D76" s="989"/>
      <c r="E76" s="989"/>
      <c r="F76" s="989"/>
      <c r="G76" s="989"/>
      <c r="H76" s="989"/>
      <c r="I76" s="989"/>
      <c r="J76" s="989"/>
      <c r="K76" s="989"/>
      <c r="L76" s="989"/>
      <c r="M76" s="989"/>
      <c r="N76" s="989"/>
      <c r="O76" s="989"/>
    </row>
    <row r="77" spans="4:15">
      <c r="D77" s="989"/>
      <c r="E77" s="989"/>
      <c r="F77" s="989"/>
      <c r="G77" s="989"/>
      <c r="H77" s="989"/>
      <c r="I77" s="989"/>
      <c r="J77" s="989"/>
      <c r="K77" s="989"/>
      <c r="L77" s="989"/>
      <c r="M77" s="989"/>
      <c r="N77" s="989"/>
      <c r="O77" s="989"/>
    </row>
    <row r="78" spans="4:15">
      <c r="D78" s="989"/>
      <c r="E78" s="989"/>
      <c r="F78" s="989"/>
      <c r="G78" s="989"/>
      <c r="H78" s="989"/>
      <c r="I78" s="989"/>
      <c r="J78" s="989"/>
      <c r="K78" s="989"/>
      <c r="L78" s="989"/>
      <c r="M78" s="989"/>
      <c r="N78" s="989"/>
      <c r="O78" s="989"/>
    </row>
    <row r="79" spans="4:15">
      <c r="D79" s="989"/>
      <c r="E79" s="989"/>
      <c r="F79" s="989"/>
      <c r="G79" s="989"/>
      <c r="H79" s="989"/>
      <c r="I79" s="989"/>
      <c r="J79" s="989"/>
      <c r="K79" s="989"/>
      <c r="L79" s="989"/>
      <c r="M79" s="989"/>
      <c r="N79" s="989"/>
      <c r="O79" s="989"/>
    </row>
    <row r="80" spans="4:15">
      <c r="D80" s="989"/>
      <c r="E80" s="989"/>
      <c r="F80" s="989"/>
      <c r="G80" s="989"/>
      <c r="H80" s="989"/>
      <c r="I80" s="989"/>
      <c r="J80" s="989"/>
      <c r="K80" s="989"/>
      <c r="L80" s="989"/>
      <c r="M80" s="989"/>
      <c r="N80" s="989"/>
      <c r="O80" s="989"/>
    </row>
    <row r="81" spans="4:15">
      <c r="D81" s="989"/>
      <c r="E81" s="989"/>
      <c r="F81" s="989"/>
      <c r="G81" s="989"/>
      <c r="H81" s="989"/>
      <c r="I81" s="989"/>
      <c r="J81" s="989"/>
      <c r="K81" s="989"/>
      <c r="L81" s="989"/>
      <c r="M81" s="989"/>
      <c r="N81" s="989"/>
      <c r="O81" s="989"/>
    </row>
    <row r="82" spans="4:15">
      <c r="D82" s="989"/>
      <c r="E82" s="989"/>
      <c r="F82" s="989"/>
      <c r="G82" s="989"/>
      <c r="H82" s="989"/>
      <c r="I82" s="989"/>
      <c r="J82" s="989"/>
      <c r="K82" s="989"/>
      <c r="L82" s="989"/>
      <c r="M82" s="989"/>
      <c r="N82" s="989"/>
      <c r="O82" s="989"/>
    </row>
    <row r="83" spans="4:15">
      <c r="D83" s="989"/>
      <c r="E83" s="989"/>
      <c r="F83" s="989"/>
      <c r="G83" s="989"/>
      <c r="H83" s="989"/>
      <c r="I83" s="989"/>
      <c r="J83" s="989"/>
      <c r="K83" s="989"/>
      <c r="L83" s="989"/>
      <c r="M83" s="989"/>
      <c r="N83" s="989"/>
      <c r="O83" s="989"/>
    </row>
    <row r="84" spans="4:15">
      <c r="D84" s="989"/>
      <c r="E84" s="989"/>
      <c r="F84" s="989"/>
      <c r="G84" s="989"/>
      <c r="H84" s="989"/>
      <c r="I84" s="989"/>
      <c r="J84" s="989"/>
      <c r="K84" s="989"/>
      <c r="L84" s="989"/>
      <c r="M84" s="989"/>
      <c r="N84" s="989"/>
      <c r="O84" s="989"/>
    </row>
    <row r="85" spans="4:15">
      <c r="D85" s="989"/>
      <c r="E85" s="989"/>
      <c r="F85" s="989"/>
      <c r="G85" s="989"/>
      <c r="H85" s="989"/>
      <c r="I85" s="989"/>
      <c r="J85" s="989"/>
      <c r="K85" s="989"/>
      <c r="L85" s="989"/>
      <c r="M85" s="989"/>
      <c r="N85" s="989"/>
      <c r="O85" s="989"/>
    </row>
    <row r="86" spans="4:15">
      <c r="D86" s="989"/>
      <c r="E86" s="989"/>
      <c r="F86" s="989"/>
      <c r="G86" s="989"/>
      <c r="H86" s="989"/>
      <c r="I86" s="989"/>
      <c r="J86" s="989"/>
      <c r="K86" s="989"/>
      <c r="L86" s="989"/>
      <c r="M86" s="989"/>
      <c r="N86" s="989"/>
      <c r="O86" s="989"/>
    </row>
    <row r="87" spans="4:15">
      <c r="D87" s="989"/>
      <c r="E87" s="989"/>
      <c r="F87" s="989"/>
      <c r="G87" s="989"/>
      <c r="H87" s="989"/>
      <c r="I87" s="989"/>
      <c r="J87" s="989"/>
      <c r="K87" s="989"/>
      <c r="L87" s="989"/>
      <c r="M87" s="989"/>
      <c r="N87" s="989"/>
      <c r="O87" s="989"/>
    </row>
    <row r="88" spans="4:15">
      <c r="D88" s="989"/>
      <c r="E88" s="989"/>
      <c r="F88" s="989"/>
      <c r="G88" s="989"/>
      <c r="H88" s="989"/>
      <c r="I88" s="989"/>
      <c r="J88" s="989"/>
      <c r="K88" s="989"/>
      <c r="L88" s="989"/>
      <c r="M88" s="989"/>
      <c r="N88" s="989"/>
      <c r="O88" s="989"/>
    </row>
    <row r="89" spans="4:15">
      <c r="D89" s="989"/>
      <c r="E89" s="989"/>
      <c r="F89" s="989"/>
      <c r="G89" s="989"/>
      <c r="H89" s="989"/>
      <c r="I89" s="989"/>
      <c r="J89" s="989"/>
      <c r="K89" s="989"/>
      <c r="L89" s="989"/>
      <c r="M89" s="989"/>
      <c r="N89" s="989"/>
      <c r="O89" s="989"/>
    </row>
    <row r="90" spans="4:15">
      <c r="D90" s="989"/>
      <c r="E90" s="989"/>
      <c r="F90" s="989"/>
      <c r="G90" s="989"/>
      <c r="H90" s="989"/>
      <c r="I90" s="989"/>
      <c r="J90" s="989"/>
      <c r="K90" s="989"/>
      <c r="L90" s="989"/>
      <c r="M90" s="989"/>
      <c r="N90" s="989"/>
      <c r="O90" s="989"/>
    </row>
    <row r="91" spans="4:15">
      <c r="D91" s="989"/>
      <c r="E91" s="989"/>
      <c r="F91" s="989"/>
      <c r="G91" s="989"/>
      <c r="H91" s="989"/>
      <c r="I91" s="989"/>
      <c r="J91" s="989"/>
      <c r="K91" s="989"/>
      <c r="L91" s="989"/>
      <c r="M91" s="989"/>
      <c r="N91" s="989"/>
      <c r="O91" s="989"/>
    </row>
    <row r="92" spans="4:15">
      <c r="D92" s="989"/>
      <c r="E92" s="989"/>
      <c r="F92" s="989"/>
      <c r="G92" s="989"/>
      <c r="H92" s="989"/>
      <c r="I92" s="989"/>
      <c r="J92" s="989"/>
      <c r="K92" s="989"/>
      <c r="L92" s="989"/>
      <c r="M92" s="989"/>
      <c r="N92" s="989"/>
      <c r="O92" s="989"/>
    </row>
    <row r="93" spans="4:15">
      <c r="D93" s="989"/>
      <c r="E93" s="989"/>
      <c r="F93" s="989"/>
      <c r="G93" s="989"/>
      <c r="H93" s="989"/>
      <c r="I93" s="989"/>
      <c r="J93" s="989"/>
      <c r="K93" s="989"/>
      <c r="L93" s="989"/>
      <c r="M93" s="989"/>
      <c r="N93" s="989"/>
      <c r="O93" s="989"/>
    </row>
    <row r="94" spans="4:15">
      <c r="D94" s="989"/>
      <c r="E94" s="989"/>
      <c r="F94" s="989"/>
      <c r="G94" s="989"/>
      <c r="H94" s="989"/>
      <c r="I94" s="989"/>
      <c r="J94" s="989"/>
      <c r="K94" s="989"/>
      <c r="L94" s="989"/>
      <c r="M94" s="989"/>
      <c r="N94" s="989"/>
      <c r="O94" s="989"/>
    </row>
    <row r="95" spans="4:15">
      <c r="D95" s="989"/>
      <c r="E95" s="989"/>
      <c r="F95" s="989"/>
      <c r="G95" s="989"/>
      <c r="H95" s="989"/>
      <c r="I95" s="989"/>
      <c r="J95" s="989"/>
      <c r="K95" s="989"/>
      <c r="L95" s="989"/>
      <c r="M95" s="989"/>
      <c r="N95" s="989"/>
      <c r="O95" s="989"/>
    </row>
    <row r="96" spans="4:15">
      <c r="D96" s="989"/>
      <c r="E96" s="989"/>
      <c r="F96" s="989"/>
      <c r="G96" s="989"/>
      <c r="H96" s="989"/>
      <c r="I96" s="989"/>
      <c r="J96" s="989"/>
      <c r="K96" s="989"/>
      <c r="L96" s="989"/>
      <c r="M96" s="989"/>
      <c r="N96" s="989"/>
      <c r="O96" s="989"/>
    </row>
    <row r="97" spans="4:15">
      <c r="D97" s="989"/>
      <c r="E97" s="989"/>
      <c r="F97" s="989"/>
      <c r="G97" s="989"/>
      <c r="H97" s="989"/>
      <c r="I97" s="989"/>
      <c r="J97" s="989"/>
      <c r="K97" s="989"/>
      <c r="L97" s="989"/>
      <c r="M97" s="989"/>
      <c r="N97" s="989"/>
      <c r="O97" s="989"/>
    </row>
    <row r="98" spans="4:15">
      <c r="D98" s="989"/>
      <c r="E98" s="989"/>
      <c r="F98" s="989"/>
      <c r="G98" s="989"/>
      <c r="H98" s="989"/>
      <c r="I98" s="989"/>
      <c r="J98" s="989"/>
      <c r="K98" s="989"/>
      <c r="L98" s="989"/>
      <c r="M98" s="989"/>
      <c r="N98" s="989"/>
      <c r="O98" s="989"/>
    </row>
    <row r="99" spans="4:15">
      <c r="D99" s="989"/>
      <c r="E99" s="989"/>
      <c r="F99" s="989"/>
      <c r="G99" s="989"/>
      <c r="H99" s="989"/>
      <c r="I99" s="989"/>
      <c r="J99" s="989"/>
      <c r="K99" s="989"/>
      <c r="L99" s="989"/>
      <c r="M99" s="989"/>
      <c r="N99" s="989"/>
      <c r="O99" s="989"/>
    </row>
    <row r="100" spans="4:15">
      <c r="D100" s="989"/>
      <c r="E100" s="989"/>
      <c r="F100" s="989"/>
      <c r="G100" s="989"/>
      <c r="H100" s="989"/>
      <c r="I100" s="989"/>
      <c r="J100" s="989"/>
      <c r="K100" s="989"/>
      <c r="L100" s="989"/>
      <c r="M100" s="989"/>
      <c r="N100" s="989"/>
      <c r="O100" s="989"/>
    </row>
    <row r="101" spans="4:15">
      <c r="D101" s="989"/>
      <c r="E101" s="989"/>
      <c r="F101" s="989"/>
      <c r="G101" s="989"/>
      <c r="H101" s="989"/>
      <c r="I101" s="989"/>
      <c r="J101" s="989"/>
      <c r="K101" s="989"/>
      <c r="L101" s="989"/>
      <c r="M101" s="989"/>
      <c r="N101" s="989"/>
      <c r="O101" s="989"/>
    </row>
    <row r="102" spans="4:15">
      <c r="D102" s="989"/>
      <c r="E102" s="989"/>
      <c r="F102" s="989"/>
      <c r="G102" s="989"/>
      <c r="H102" s="989"/>
      <c r="I102" s="989"/>
      <c r="J102" s="989"/>
      <c r="K102" s="989"/>
      <c r="L102" s="989"/>
      <c r="M102" s="989"/>
      <c r="N102" s="989"/>
      <c r="O102" s="989"/>
    </row>
    <row r="103" spans="4:15">
      <c r="D103" s="989"/>
      <c r="E103" s="989"/>
      <c r="F103" s="989"/>
      <c r="G103" s="989"/>
      <c r="H103" s="989"/>
      <c r="I103" s="989"/>
      <c r="J103" s="989"/>
      <c r="K103" s="989"/>
      <c r="L103" s="989"/>
      <c r="M103" s="989"/>
      <c r="N103" s="989"/>
      <c r="O103" s="989"/>
    </row>
    <row r="104" spans="4:15">
      <c r="D104" s="989"/>
      <c r="E104" s="989"/>
      <c r="F104" s="989"/>
      <c r="G104" s="989"/>
      <c r="H104" s="989"/>
      <c r="I104" s="989"/>
      <c r="J104" s="989"/>
      <c r="K104" s="989"/>
      <c r="L104" s="989"/>
      <c r="M104" s="989"/>
      <c r="N104" s="989"/>
      <c r="O104" s="989"/>
    </row>
    <row r="105" spans="4:15">
      <c r="D105" s="989"/>
      <c r="E105" s="989"/>
      <c r="F105" s="989"/>
      <c r="G105" s="989"/>
      <c r="H105" s="989"/>
      <c r="I105" s="989"/>
      <c r="J105" s="989"/>
      <c r="K105" s="989"/>
      <c r="L105" s="989"/>
      <c r="M105" s="989"/>
      <c r="N105" s="989"/>
      <c r="O105" s="989"/>
    </row>
    <row r="106" spans="4:15">
      <c r="D106" s="989"/>
      <c r="E106" s="989"/>
      <c r="F106" s="989"/>
      <c r="G106" s="989"/>
      <c r="H106" s="989"/>
      <c r="I106" s="989"/>
      <c r="J106" s="989"/>
      <c r="K106" s="989"/>
      <c r="L106" s="989"/>
      <c r="M106" s="989"/>
      <c r="N106" s="989"/>
      <c r="O106" s="989"/>
    </row>
    <row r="107" spans="4:15">
      <c r="D107" s="989"/>
      <c r="E107" s="989"/>
      <c r="F107" s="989"/>
      <c r="G107" s="989"/>
      <c r="H107" s="989"/>
      <c r="I107" s="989"/>
      <c r="J107" s="989"/>
      <c r="K107" s="989"/>
      <c r="L107" s="989"/>
      <c r="M107" s="989"/>
      <c r="N107" s="989"/>
      <c r="O107" s="989"/>
    </row>
    <row r="108" spans="4:15">
      <c r="D108" s="989"/>
      <c r="E108" s="989"/>
      <c r="F108" s="989"/>
      <c r="G108" s="989"/>
      <c r="H108" s="989"/>
      <c r="I108" s="989"/>
      <c r="J108" s="989"/>
      <c r="K108" s="989"/>
      <c r="L108" s="989"/>
      <c r="M108" s="989"/>
      <c r="N108" s="989"/>
      <c r="O108" s="989"/>
    </row>
    <row r="109" spans="4:15">
      <c r="D109" s="989"/>
      <c r="E109" s="989"/>
      <c r="F109" s="989"/>
      <c r="G109" s="989"/>
      <c r="H109" s="989"/>
      <c r="I109" s="989"/>
      <c r="J109" s="989"/>
      <c r="K109" s="989"/>
      <c r="L109" s="989"/>
      <c r="M109" s="989"/>
      <c r="N109" s="989"/>
      <c r="O109" s="989"/>
    </row>
    <row r="110" spans="4:15">
      <c r="D110" s="989"/>
      <c r="E110" s="989"/>
      <c r="F110" s="989"/>
      <c r="G110" s="989"/>
      <c r="H110" s="989"/>
      <c r="I110" s="989"/>
      <c r="J110" s="989"/>
      <c r="K110" s="989"/>
      <c r="L110" s="989"/>
      <c r="M110" s="989"/>
      <c r="N110" s="989"/>
      <c r="O110" s="989"/>
    </row>
    <row r="111" spans="4:15">
      <c r="D111" s="989"/>
      <c r="E111" s="989"/>
      <c r="F111" s="989"/>
      <c r="G111" s="989"/>
      <c r="H111" s="989"/>
      <c r="I111" s="989"/>
      <c r="J111" s="989"/>
      <c r="K111" s="989"/>
      <c r="L111" s="989"/>
      <c r="M111" s="989"/>
      <c r="N111" s="989"/>
      <c r="O111" s="989"/>
    </row>
    <row r="112" spans="4:15">
      <c r="D112" s="989"/>
      <c r="E112" s="989"/>
      <c r="F112" s="989"/>
      <c r="G112" s="989"/>
      <c r="H112" s="989"/>
      <c r="I112" s="989"/>
      <c r="J112" s="989"/>
      <c r="K112" s="989"/>
      <c r="L112" s="989"/>
      <c r="M112" s="989"/>
      <c r="N112" s="989"/>
      <c r="O112" s="989"/>
    </row>
    <row r="113" spans="4:15">
      <c r="D113" s="989"/>
      <c r="E113" s="989"/>
      <c r="F113" s="989"/>
      <c r="G113" s="989"/>
      <c r="H113" s="989"/>
      <c r="I113" s="989"/>
      <c r="J113" s="989"/>
      <c r="K113" s="989"/>
      <c r="L113" s="989"/>
      <c r="M113" s="989"/>
      <c r="N113" s="989"/>
      <c r="O113" s="989"/>
    </row>
    <row r="114" spans="4:15">
      <c r="D114" s="989"/>
      <c r="E114" s="989"/>
      <c r="F114" s="989"/>
      <c r="G114" s="989"/>
      <c r="H114" s="989"/>
      <c r="I114" s="989"/>
      <c r="J114" s="989"/>
      <c r="K114" s="989"/>
      <c r="L114" s="989"/>
      <c r="M114" s="989"/>
      <c r="N114" s="989"/>
      <c r="O114" s="989"/>
    </row>
    <row r="115" spans="4:15">
      <c r="D115" s="989"/>
      <c r="E115" s="989"/>
      <c r="F115" s="989"/>
      <c r="G115" s="989"/>
      <c r="H115" s="989"/>
      <c r="I115" s="989"/>
      <c r="J115" s="989"/>
      <c r="K115" s="989"/>
      <c r="L115" s="989"/>
      <c r="M115" s="989"/>
      <c r="N115" s="989"/>
      <c r="O115" s="989"/>
    </row>
    <row r="116" spans="4:15">
      <c r="D116" s="989"/>
      <c r="E116" s="989"/>
      <c r="F116" s="989"/>
      <c r="G116" s="989"/>
      <c r="H116" s="989"/>
      <c r="I116" s="989"/>
      <c r="J116" s="989"/>
      <c r="K116" s="989"/>
      <c r="L116" s="989"/>
      <c r="M116" s="989"/>
      <c r="N116" s="989"/>
      <c r="O116" s="989"/>
    </row>
    <row r="117" spans="4:15">
      <c r="D117" s="989"/>
      <c r="E117" s="989"/>
      <c r="F117" s="989"/>
      <c r="G117" s="989"/>
      <c r="H117" s="989"/>
      <c r="I117" s="989"/>
      <c r="J117" s="989"/>
      <c r="K117" s="989"/>
      <c r="L117" s="989"/>
      <c r="M117" s="989"/>
      <c r="N117" s="989"/>
      <c r="O117" s="989"/>
    </row>
    <row r="118" spans="4:15">
      <c r="D118" s="989"/>
      <c r="E118" s="989"/>
      <c r="F118" s="989"/>
      <c r="G118" s="989"/>
      <c r="H118" s="989"/>
      <c r="I118" s="989"/>
      <c r="J118" s="989"/>
      <c r="K118" s="989"/>
      <c r="L118" s="989"/>
      <c r="M118" s="989"/>
      <c r="N118" s="989"/>
      <c r="O118" s="989"/>
    </row>
    <row r="119" spans="4:15">
      <c r="D119" s="989"/>
      <c r="E119" s="989"/>
      <c r="F119" s="989"/>
      <c r="G119" s="989"/>
      <c r="H119" s="989"/>
      <c r="I119" s="989"/>
      <c r="J119" s="989"/>
      <c r="K119" s="989"/>
      <c r="L119" s="989"/>
      <c r="M119" s="989"/>
      <c r="N119" s="989"/>
      <c r="O119" s="989"/>
    </row>
    <row r="120" spans="4:15">
      <c r="D120" s="989"/>
      <c r="E120" s="989"/>
      <c r="F120" s="989"/>
      <c r="G120" s="989"/>
      <c r="H120" s="989"/>
      <c r="I120" s="989"/>
      <c r="J120" s="989"/>
      <c r="K120" s="989"/>
      <c r="L120" s="989"/>
      <c r="M120" s="989"/>
      <c r="N120" s="989"/>
      <c r="O120" s="989"/>
    </row>
    <row r="121" spans="4:15">
      <c r="D121" s="989"/>
      <c r="E121" s="989"/>
      <c r="F121" s="989"/>
      <c r="G121" s="989"/>
      <c r="H121" s="989"/>
      <c r="I121" s="989"/>
      <c r="J121" s="989"/>
      <c r="K121" s="989"/>
      <c r="L121" s="989"/>
      <c r="M121" s="989"/>
      <c r="N121" s="989"/>
      <c r="O121" s="989"/>
    </row>
    <row r="122" spans="4:15">
      <c r="D122" s="989"/>
      <c r="E122" s="989"/>
      <c r="F122" s="989"/>
      <c r="G122" s="989"/>
      <c r="H122" s="989"/>
      <c r="I122" s="989"/>
      <c r="J122" s="989"/>
      <c r="K122" s="989"/>
      <c r="L122" s="989"/>
      <c r="M122" s="989"/>
      <c r="N122" s="989"/>
      <c r="O122" s="989"/>
    </row>
    <row r="123" spans="4:15">
      <c r="D123" s="989"/>
      <c r="E123" s="989"/>
      <c r="F123" s="989"/>
      <c r="G123" s="989"/>
      <c r="H123" s="989"/>
      <c r="I123" s="989"/>
      <c r="J123" s="989"/>
      <c r="K123" s="989"/>
      <c r="L123" s="989"/>
      <c r="M123" s="989"/>
      <c r="N123" s="989"/>
      <c r="O123" s="989"/>
    </row>
    <row r="124" spans="4:15">
      <c r="D124" s="989"/>
      <c r="E124" s="989"/>
      <c r="F124" s="989"/>
      <c r="G124" s="989"/>
      <c r="H124" s="989"/>
      <c r="I124" s="989"/>
      <c r="J124" s="989"/>
      <c r="K124" s="989"/>
      <c r="L124" s="989"/>
      <c r="M124" s="989"/>
      <c r="N124" s="989"/>
      <c r="O124" s="989"/>
    </row>
    <row r="125" spans="4:15">
      <c r="D125" s="989"/>
      <c r="E125" s="989"/>
      <c r="F125" s="989"/>
      <c r="G125" s="989"/>
      <c r="H125" s="989"/>
      <c r="I125" s="989"/>
      <c r="J125" s="989"/>
      <c r="K125" s="989"/>
      <c r="L125" s="989"/>
      <c r="M125" s="989"/>
      <c r="N125" s="989"/>
      <c r="O125" s="989"/>
    </row>
    <row r="126" spans="4:15">
      <c r="D126" s="989"/>
      <c r="E126" s="989"/>
      <c r="F126" s="989"/>
      <c r="G126" s="989"/>
      <c r="H126" s="989"/>
      <c r="I126" s="989"/>
      <c r="J126" s="989"/>
      <c r="K126" s="989"/>
      <c r="L126" s="989"/>
      <c r="M126" s="989"/>
      <c r="N126" s="989"/>
      <c r="O126" s="989"/>
    </row>
    <row r="127" spans="4:15">
      <c r="D127" s="989"/>
      <c r="E127" s="989"/>
      <c r="F127" s="989"/>
      <c r="G127" s="989"/>
      <c r="H127" s="989"/>
      <c r="I127" s="989"/>
      <c r="J127" s="989"/>
      <c r="K127" s="989"/>
      <c r="L127" s="989"/>
      <c r="M127" s="989"/>
      <c r="N127" s="989"/>
      <c r="O127" s="989"/>
    </row>
    <row r="128" spans="4:15">
      <c r="D128" s="989"/>
      <c r="E128" s="989"/>
      <c r="F128" s="989"/>
      <c r="G128" s="989"/>
      <c r="H128" s="989"/>
      <c r="I128" s="989"/>
      <c r="J128" s="989"/>
      <c r="K128" s="989"/>
      <c r="L128" s="989"/>
      <c r="M128" s="989"/>
      <c r="N128" s="989"/>
      <c r="O128" s="989"/>
    </row>
    <row r="129" spans="4:15">
      <c r="D129" s="989"/>
      <c r="E129" s="989"/>
      <c r="F129" s="989"/>
      <c r="G129" s="989"/>
      <c r="H129" s="989"/>
      <c r="I129" s="989"/>
      <c r="J129" s="989"/>
      <c r="K129" s="989"/>
      <c r="L129" s="989"/>
      <c r="M129" s="989"/>
      <c r="N129" s="989"/>
      <c r="O129" s="989"/>
    </row>
    <row r="130" spans="4:15">
      <c r="D130" s="989"/>
      <c r="E130" s="989"/>
      <c r="F130" s="989"/>
      <c r="G130" s="989"/>
      <c r="H130" s="989"/>
      <c r="I130" s="989"/>
      <c r="J130" s="989"/>
      <c r="K130" s="989"/>
      <c r="L130" s="989"/>
      <c r="M130" s="989"/>
      <c r="N130" s="989"/>
      <c r="O130" s="989"/>
    </row>
    <row r="131" spans="4:15">
      <c r="D131" s="989"/>
      <c r="E131" s="989"/>
      <c r="F131" s="989"/>
      <c r="G131" s="989"/>
      <c r="H131" s="989"/>
      <c r="I131" s="989"/>
      <c r="J131" s="989"/>
      <c r="K131" s="989"/>
      <c r="L131" s="989"/>
      <c r="M131" s="989"/>
      <c r="N131" s="989"/>
      <c r="O131" s="989"/>
    </row>
    <row r="132" spans="4:15">
      <c r="D132" s="989"/>
      <c r="E132" s="989"/>
      <c r="F132" s="989"/>
      <c r="G132" s="989"/>
      <c r="H132" s="989"/>
      <c r="I132" s="989"/>
      <c r="J132" s="989"/>
      <c r="K132" s="989"/>
      <c r="L132" s="989"/>
      <c r="M132" s="989"/>
      <c r="N132" s="989"/>
      <c r="O132" s="989"/>
    </row>
    <row r="133" spans="4:15">
      <c r="D133" s="989"/>
      <c r="E133" s="989"/>
      <c r="F133" s="989"/>
      <c r="G133" s="989"/>
      <c r="H133" s="989"/>
      <c r="I133" s="989"/>
      <c r="J133" s="989"/>
      <c r="K133" s="989"/>
      <c r="L133" s="989"/>
      <c r="M133" s="989"/>
      <c r="N133" s="989"/>
      <c r="O133" s="989"/>
    </row>
    <row r="134" spans="4:15">
      <c r="D134" s="989"/>
      <c r="E134" s="989"/>
      <c r="F134" s="989"/>
      <c r="G134" s="989"/>
      <c r="H134" s="989"/>
      <c r="I134" s="989"/>
      <c r="J134" s="989"/>
      <c r="K134" s="989"/>
      <c r="L134" s="989"/>
      <c r="M134" s="989"/>
      <c r="N134" s="989"/>
      <c r="O134" s="989"/>
    </row>
    <row r="135" spans="4:15">
      <c r="D135" s="989"/>
      <c r="E135" s="989"/>
      <c r="F135" s="989"/>
      <c r="G135" s="989"/>
      <c r="H135" s="989"/>
      <c r="I135" s="989"/>
      <c r="J135" s="989"/>
      <c r="K135" s="989"/>
      <c r="L135" s="989"/>
      <c r="M135" s="989"/>
      <c r="N135" s="989"/>
      <c r="O135" s="989"/>
    </row>
    <row r="136" spans="4:15">
      <c r="D136" s="989"/>
      <c r="E136" s="989"/>
      <c r="F136" s="989"/>
      <c r="G136" s="989"/>
      <c r="H136" s="989"/>
      <c r="I136" s="989"/>
      <c r="J136" s="989"/>
      <c r="K136" s="989"/>
      <c r="L136" s="989"/>
      <c r="M136" s="989"/>
      <c r="N136" s="989"/>
      <c r="O136" s="989"/>
    </row>
    <row r="137" spans="4:15">
      <c r="D137" s="989"/>
      <c r="E137" s="989"/>
      <c r="F137" s="989"/>
      <c r="G137" s="989"/>
      <c r="H137" s="989"/>
      <c r="I137" s="989"/>
      <c r="J137" s="989"/>
      <c r="K137" s="989"/>
      <c r="L137" s="989"/>
      <c r="M137" s="989"/>
      <c r="N137" s="989"/>
      <c r="O137" s="989"/>
    </row>
    <row r="138" spans="4:15">
      <c r="D138" s="989"/>
      <c r="E138" s="989"/>
      <c r="F138" s="989"/>
      <c r="G138" s="989"/>
      <c r="H138" s="989"/>
      <c r="I138" s="989"/>
      <c r="J138" s="989"/>
      <c r="K138" s="989"/>
      <c r="L138" s="989"/>
      <c r="M138" s="989"/>
      <c r="N138" s="989"/>
      <c r="O138" s="989"/>
    </row>
    <row r="139" spans="4:15">
      <c r="D139" s="989"/>
      <c r="E139" s="989"/>
      <c r="F139" s="989"/>
      <c r="G139" s="989"/>
      <c r="H139" s="989"/>
      <c r="I139" s="989"/>
      <c r="J139" s="989"/>
      <c r="K139" s="989"/>
      <c r="L139" s="989"/>
      <c r="M139" s="989"/>
      <c r="N139" s="989"/>
      <c r="O139" s="989"/>
    </row>
    <row r="140" spans="4:15">
      <c r="D140" s="989"/>
      <c r="E140" s="989"/>
      <c r="F140" s="989"/>
      <c r="G140" s="989"/>
      <c r="H140" s="989"/>
      <c r="I140" s="989"/>
      <c r="J140" s="989"/>
      <c r="K140" s="989"/>
      <c r="L140" s="989"/>
      <c r="M140" s="989"/>
      <c r="N140" s="989"/>
      <c r="O140" s="989"/>
    </row>
    <row r="141" spans="4:15">
      <c r="D141" s="989"/>
      <c r="E141" s="989"/>
      <c r="F141" s="989"/>
      <c r="G141" s="989"/>
      <c r="H141" s="989"/>
      <c r="I141" s="989"/>
      <c r="J141" s="989"/>
      <c r="K141" s="989"/>
      <c r="L141" s="989"/>
      <c r="M141" s="989"/>
      <c r="N141" s="989"/>
      <c r="O141" s="989"/>
    </row>
    <row r="142" spans="4:15">
      <c r="D142" s="989"/>
      <c r="E142" s="989"/>
      <c r="F142" s="989"/>
      <c r="G142" s="989"/>
      <c r="H142" s="989"/>
      <c r="I142" s="989"/>
      <c r="J142" s="989"/>
      <c r="K142" s="989"/>
      <c r="L142" s="989"/>
      <c r="M142" s="989"/>
      <c r="N142" s="989"/>
      <c r="O142" s="989"/>
    </row>
    <row r="143" spans="4:15">
      <c r="D143" s="989"/>
      <c r="E143" s="989"/>
      <c r="F143" s="989"/>
      <c r="G143" s="989"/>
      <c r="H143" s="989"/>
      <c r="I143" s="989"/>
      <c r="J143" s="989"/>
      <c r="K143" s="989"/>
      <c r="L143" s="989"/>
      <c r="M143" s="989"/>
      <c r="N143" s="989"/>
      <c r="O143" s="989"/>
    </row>
    <row r="144" spans="4:15">
      <c r="D144" s="989"/>
      <c r="E144" s="989"/>
      <c r="F144" s="989"/>
      <c r="G144" s="989"/>
      <c r="H144" s="989"/>
      <c r="I144" s="989"/>
      <c r="J144" s="989"/>
      <c r="K144" s="989"/>
      <c r="L144" s="989"/>
      <c r="M144" s="989"/>
      <c r="N144" s="989"/>
      <c r="O144" s="989"/>
    </row>
    <row r="145" spans="4:15">
      <c r="D145" s="989"/>
      <c r="E145" s="989"/>
      <c r="F145" s="989"/>
      <c r="G145" s="989"/>
      <c r="H145" s="989"/>
      <c r="I145" s="989"/>
      <c r="J145" s="989"/>
      <c r="K145" s="989"/>
      <c r="L145" s="989"/>
      <c r="M145" s="989"/>
      <c r="N145" s="989"/>
      <c r="O145" s="989"/>
    </row>
    <row r="146" spans="4:15">
      <c r="D146" s="989"/>
      <c r="E146" s="989"/>
      <c r="F146" s="989"/>
      <c r="G146" s="989"/>
      <c r="H146" s="989"/>
      <c r="I146" s="989"/>
      <c r="J146" s="989"/>
      <c r="K146" s="989"/>
      <c r="L146" s="989"/>
      <c r="M146" s="989"/>
      <c r="N146" s="989"/>
      <c r="O146" s="989"/>
    </row>
    <row r="147" spans="4:15">
      <c r="D147" s="989"/>
      <c r="E147" s="989"/>
      <c r="F147" s="989"/>
      <c r="G147" s="989"/>
      <c r="H147" s="989"/>
      <c r="I147" s="989"/>
      <c r="J147" s="989"/>
      <c r="K147" s="989"/>
      <c r="L147" s="989"/>
      <c r="M147" s="989"/>
      <c r="N147" s="989"/>
      <c r="O147" s="989"/>
    </row>
    <row r="148" spans="4:15">
      <c r="D148" s="989"/>
      <c r="E148" s="989"/>
      <c r="F148" s="989"/>
      <c r="G148" s="989"/>
      <c r="H148" s="989"/>
      <c r="I148" s="989"/>
      <c r="J148" s="989"/>
      <c r="K148" s="989"/>
      <c r="L148" s="989"/>
      <c r="M148" s="989"/>
      <c r="N148" s="989"/>
      <c r="O148" s="989"/>
    </row>
    <row r="149" spans="4:15">
      <c r="D149" s="989"/>
      <c r="E149" s="989"/>
      <c r="F149" s="989"/>
      <c r="G149" s="989"/>
      <c r="H149" s="989"/>
      <c r="I149" s="989"/>
      <c r="J149" s="989"/>
      <c r="K149" s="989"/>
      <c r="L149" s="989"/>
      <c r="M149" s="989"/>
      <c r="N149" s="989"/>
      <c r="O149" s="989"/>
    </row>
    <row r="150" spans="4:15">
      <c r="D150" s="989"/>
      <c r="E150" s="989"/>
      <c r="F150" s="989"/>
      <c r="G150" s="989"/>
      <c r="H150" s="989"/>
      <c r="I150" s="989"/>
      <c r="J150" s="989"/>
      <c r="K150" s="989"/>
      <c r="L150" s="989"/>
      <c r="M150" s="989"/>
      <c r="N150" s="989"/>
      <c r="O150" s="989"/>
    </row>
    <row r="151" spans="4:15">
      <c r="D151" s="989"/>
      <c r="E151" s="989"/>
      <c r="F151" s="989"/>
      <c r="G151" s="989"/>
      <c r="H151" s="989"/>
      <c r="I151" s="989"/>
      <c r="J151" s="989"/>
      <c r="K151" s="989"/>
      <c r="L151" s="989"/>
      <c r="M151" s="989"/>
      <c r="N151" s="989"/>
      <c r="O151" s="989"/>
    </row>
    <row r="152" spans="4:15">
      <c r="D152" s="989"/>
      <c r="E152" s="989"/>
      <c r="F152" s="989"/>
      <c r="G152" s="989"/>
      <c r="H152" s="989"/>
      <c r="I152" s="989"/>
      <c r="J152" s="989"/>
      <c r="K152" s="989"/>
      <c r="L152" s="989"/>
      <c r="M152" s="989"/>
      <c r="N152" s="989"/>
      <c r="O152" s="989"/>
    </row>
    <row r="153" spans="4:15">
      <c r="D153" s="989"/>
      <c r="E153" s="989"/>
      <c r="F153" s="989"/>
      <c r="G153" s="989"/>
      <c r="H153" s="989"/>
      <c r="I153" s="989"/>
      <c r="J153" s="989"/>
      <c r="K153" s="989"/>
      <c r="L153" s="989"/>
      <c r="M153" s="989"/>
      <c r="N153" s="989"/>
      <c r="O153" s="989"/>
    </row>
    <row r="154" spans="4:15">
      <c r="D154" s="989"/>
      <c r="E154" s="989"/>
      <c r="F154" s="989"/>
      <c r="G154" s="989"/>
      <c r="H154" s="989"/>
      <c r="I154" s="989"/>
      <c r="J154" s="989"/>
      <c r="K154" s="989"/>
      <c r="L154" s="989"/>
      <c r="M154" s="989"/>
      <c r="N154" s="989"/>
      <c r="O154" s="989"/>
    </row>
    <row r="155" spans="4:15">
      <c r="D155" s="989"/>
      <c r="E155" s="989"/>
      <c r="F155" s="989"/>
      <c r="G155" s="989"/>
      <c r="H155" s="989"/>
      <c r="I155" s="989"/>
      <c r="J155" s="989"/>
      <c r="K155" s="989"/>
      <c r="L155" s="989"/>
      <c r="M155" s="989"/>
      <c r="N155" s="989"/>
      <c r="O155" s="989"/>
    </row>
    <row r="156" spans="4:15">
      <c r="D156" s="989"/>
      <c r="E156" s="989"/>
      <c r="F156" s="989"/>
      <c r="G156" s="989"/>
      <c r="H156" s="989"/>
      <c r="I156" s="989"/>
      <c r="J156" s="989"/>
      <c r="K156" s="989"/>
      <c r="L156" s="989"/>
      <c r="M156" s="989"/>
      <c r="N156" s="989"/>
      <c r="O156" s="989"/>
    </row>
    <row r="157" spans="4:15">
      <c r="D157" s="989"/>
      <c r="E157" s="989"/>
      <c r="F157" s="989"/>
      <c r="G157" s="989"/>
      <c r="H157" s="989"/>
      <c r="I157" s="989"/>
      <c r="J157" s="989"/>
      <c r="K157" s="989"/>
      <c r="L157" s="989"/>
      <c r="M157" s="989"/>
      <c r="N157" s="989"/>
      <c r="O157" s="989"/>
    </row>
    <row r="158" spans="4:15">
      <c r="D158" s="989"/>
      <c r="E158" s="989"/>
      <c r="F158" s="989"/>
      <c r="G158" s="989"/>
      <c r="H158" s="989"/>
      <c r="I158" s="989"/>
      <c r="J158" s="989"/>
      <c r="K158" s="989"/>
      <c r="L158" s="989"/>
      <c r="M158" s="989"/>
      <c r="N158" s="989"/>
      <c r="O158" s="989"/>
    </row>
    <row r="159" spans="4:15">
      <c r="D159" s="989"/>
      <c r="E159" s="989"/>
      <c r="F159" s="989"/>
      <c r="G159" s="989"/>
      <c r="H159" s="989"/>
      <c r="I159" s="989"/>
      <c r="J159" s="989"/>
      <c r="K159" s="989"/>
      <c r="L159" s="989"/>
      <c r="M159" s="989"/>
      <c r="N159" s="989"/>
      <c r="O159" s="989"/>
    </row>
    <row r="160" spans="4:15">
      <c r="D160" s="989"/>
      <c r="E160" s="989"/>
      <c r="F160" s="989"/>
      <c r="G160" s="989"/>
      <c r="H160" s="989"/>
      <c r="I160" s="989"/>
      <c r="J160" s="989"/>
      <c r="K160" s="989"/>
      <c r="L160" s="989"/>
      <c r="M160" s="989"/>
      <c r="N160" s="989"/>
      <c r="O160" s="989"/>
    </row>
    <row r="161" spans="4:15">
      <c r="D161" s="989"/>
      <c r="E161" s="989"/>
      <c r="F161" s="989"/>
      <c r="G161" s="989"/>
      <c r="H161" s="989"/>
      <c r="I161" s="989"/>
      <c r="J161" s="989"/>
      <c r="K161" s="989"/>
      <c r="L161" s="989"/>
      <c r="M161" s="989"/>
      <c r="N161" s="989"/>
      <c r="O161" s="989"/>
    </row>
    <row r="162" spans="4:15">
      <c r="D162" s="989"/>
      <c r="E162" s="989"/>
      <c r="F162" s="989"/>
      <c r="G162" s="989"/>
      <c r="H162" s="989"/>
      <c r="I162" s="989"/>
      <c r="J162" s="989"/>
      <c r="K162" s="989"/>
      <c r="L162" s="989"/>
      <c r="M162" s="989"/>
      <c r="N162" s="989"/>
      <c r="O162" s="989"/>
    </row>
    <row r="163" spans="4:15">
      <c r="D163" s="989"/>
      <c r="E163" s="989"/>
      <c r="F163" s="989"/>
      <c r="G163" s="989"/>
      <c r="H163" s="989"/>
      <c r="I163" s="989"/>
      <c r="J163" s="989"/>
      <c r="K163" s="989"/>
      <c r="L163" s="989"/>
      <c r="M163" s="989"/>
      <c r="N163" s="989"/>
      <c r="O163" s="989"/>
    </row>
    <row r="164" spans="4:15">
      <c r="D164" s="989"/>
      <c r="E164" s="989"/>
      <c r="F164" s="989"/>
      <c r="G164" s="989"/>
      <c r="H164" s="989"/>
      <c r="I164" s="989"/>
      <c r="J164" s="989"/>
      <c r="K164" s="989"/>
      <c r="L164" s="989"/>
      <c r="M164" s="989"/>
      <c r="N164" s="989"/>
      <c r="O164" s="989"/>
    </row>
    <row r="165" spans="4:15">
      <c r="D165" s="989"/>
      <c r="E165" s="989"/>
      <c r="F165" s="989"/>
      <c r="G165" s="989"/>
      <c r="H165" s="989"/>
      <c r="I165" s="989"/>
      <c r="J165" s="989"/>
      <c r="K165" s="989"/>
      <c r="L165" s="989"/>
      <c r="M165" s="989"/>
      <c r="N165" s="989"/>
      <c r="O165" s="989"/>
    </row>
    <row r="166" spans="4:15">
      <c r="D166" s="989"/>
      <c r="E166" s="989"/>
      <c r="F166" s="989"/>
      <c r="G166" s="989"/>
      <c r="H166" s="989"/>
      <c r="I166" s="989"/>
      <c r="J166" s="989"/>
      <c r="K166" s="989"/>
      <c r="L166" s="989"/>
      <c r="M166" s="989"/>
      <c r="N166" s="989"/>
      <c r="O166" s="989"/>
    </row>
    <row r="167" spans="4:15">
      <c r="D167" s="989"/>
      <c r="E167" s="989"/>
      <c r="F167" s="989"/>
      <c r="G167" s="989"/>
      <c r="H167" s="989"/>
      <c r="I167" s="989"/>
      <c r="J167" s="989"/>
      <c r="K167" s="989"/>
      <c r="L167" s="989"/>
      <c r="M167" s="989"/>
      <c r="N167" s="989"/>
      <c r="O167" s="989"/>
    </row>
    <row r="168" spans="4:15">
      <c r="D168" s="989"/>
      <c r="E168" s="989"/>
      <c r="F168" s="989"/>
      <c r="G168" s="989"/>
      <c r="H168" s="989"/>
      <c r="I168" s="989"/>
      <c r="J168" s="989"/>
      <c r="K168" s="989"/>
      <c r="L168" s="989"/>
      <c r="M168" s="989"/>
      <c r="N168" s="989"/>
      <c r="O168" s="989"/>
    </row>
    <row r="169" spans="4:15">
      <c r="D169" s="989"/>
      <c r="E169" s="989"/>
      <c r="F169" s="989"/>
      <c r="G169" s="989"/>
      <c r="H169" s="989"/>
      <c r="I169" s="989"/>
      <c r="J169" s="989"/>
      <c r="K169" s="989"/>
      <c r="L169" s="989"/>
      <c r="M169" s="989"/>
      <c r="N169" s="989"/>
      <c r="O169" s="989"/>
    </row>
    <row r="170" spans="4:15">
      <c r="D170" s="989"/>
      <c r="E170" s="989"/>
      <c r="F170" s="989"/>
      <c r="G170" s="989"/>
      <c r="H170" s="989"/>
      <c r="I170" s="989"/>
      <c r="J170" s="989"/>
      <c r="K170" s="989"/>
      <c r="L170" s="989"/>
      <c r="M170" s="989"/>
      <c r="N170" s="989"/>
      <c r="O170" s="989"/>
    </row>
    <row r="171" spans="4:15">
      <c r="D171" s="989"/>
      <c r="E171" s="989"/>
      <c r="F171" s="989"/>
      <c r="G171" s="989"/>
      <c r="H171" s="989"/>
      <c r="I171" s="989"/>
      <c r="J171" s="989"/>
      <c r="K171" s="989"/>
      <c r="L171" s="989"/>
      <c r="M171" s="989"/>
      <c r="N171" s="989"/>
      <c r="O171" s="989"/>
    </row>
    <row r="172" spans="4:15">
      <c r="D172" s="989"/>
      <c r="E172" s="989"/>
      <c r="F172" s="989"/>
      <c r="G172" s="989"/>
      <c r="H172" s="989"/>
      <c r="I172" s="989"/>
      <c r="J172" s="989"/>
      <c r="K172" s="989"/>
      <c r="L172" s="989"/>
      <c r="M172" s="989"/>
      <c r="N172" s="989"/>
      <c r="O172" s="989"/>
    </row>
    <row r="173" spans="4:15">
      <c r="D173" s="989"/>
      <c r="E173" s="989"/>
      <c r="F173" s="989"/>
      <c r="G173" s="989"/>
      <c r="H173" s="989"/>
      <c r="I173" s="989"/>
      <c r="J173" s="989"/>
      <c r="K173" s="989"/>
      <c r="L173" s="989"/>
      <c r="M173" s="989"/>
      <c r="N173" s="989"/>
      <c r="O173" s="989"/>
    </row>
    <row r="174" spans="4:15">
      <c r="D174" s="989"/>
      <c r="E174" s="989"/>
      <c r="F174" s="989"/>
      <c r="G174" s="989"/>
      <c r="H174" s="989"/>
      <c r="I174" s="989"/>
      <c r="J174" s="989"/>
      <c r="K174" s="989"/>
      <c r="L174" s="989"/>
      <c r="M174" s="989"/>
      <c r="N174" s="989"/>
      <c r="O174" s="989"/>
    </row>
    <row r="175" spans="4:15">
      <c r="D175" s="989"/>
      <c r="E175" s="989"/>
      <c r="F175" s="989"/>
      <c r="G175" s="989"/>
      <c r="H175" s="989"/>
      <c r="I175" s="989"/>
      <c r="J175" s="989"/>
      <c r="K175" s="989"/>
      <c r="L175" s="989"/>
      <c r="M175" s="989"/>
      <c r="N175" s="989"/>
      <c r="O175" s="989"/>
    </row>
    <row r="176" spans="4:15">
      <c r="D176" s="989"/>
      <c r="E176" s="989"/>
      <c r="F176" s="989"/>
      <c r="G176" s="989"/>
      <c r="H176" s="989"/>
      <c r="I176" s="989"/>
      <c r="J176" s="989"/>
      <c r="K176" s="989"/>
      <c r="L176" s="989"/>
      <c r="M176" s="989"/>
      <c r="N176" s="989"/>
      <c r="O176" s="989"/>
    </row>
    <row r="177" spans="4:15">
      <c r="D177" s="989"/>
      <c r="E177" s="989"/>
      <c r="F177" s="989"/>
      <c r="G177" s="989"/>
      <c r="H177" s="989"/>
      <c r="I177" s="989"/>
      <c r="J177" s="989"/>
      <c r="K177" s="989"/>
      <c r="L177" s="989"/>
      <c r="M177" s="989"/>
      <c r="N177" s="989"/>
      <c r="O177" s="989"/>
    </row>
    <row r="178" spans="4:15">
      <c r="D178" s="989"/>
      <c r="E178" s="989"/>
      <c r="F178" s="989"/>
      <c r="G178" s="989"/>
      <c r="H178" s="989"/>
      <c r="I178" s="989"/>
      <c r="J178" s="989"/>
      <c r="K178" s="989"/>
      <c r="L178" s="989"/>
      <c r="M178" s="989"/>
      <c r="N178" s="989"/>
      <c r="O178" s="989"/>
    </row>
    <row r="179" spans="4:15">
      <c r="D179" s="989"/>
      <c r="E179" s="989"/>
      <c r="F179" s="989"/>
      <c r="G179" s="989"/>
      <c r="H179" s="989"/>
      <c r="I179" s="989"/>
      <c r="J179" s="989"/>
      <c r="K179" s="989"/>
      <c r="L179" s="989"/>
      <c r="M179" s="989"/>
      <c r="N179" s="989"/>
      <c r="O179" s="989"/>
    </row>
    <row r="180" spans="4:15">
      <c r="D180" s="989"/>
      <c r="E180" s="989"/>
      <c r="F180" s="989"/>
      <c r="G180" s="989"/>
      <c r="H180" s="989"/>
      <c r="I180" s="989"/>
      <c r="J180" s="989"/>
      <c r="K180" s="989"/>
      <c r="L180" s="989"/>
      <c r="M180" s="989"/>
      <c r="N180" s="989"/>
      <c r="O180" s="989"/>
    </row>
    <row r="181" spans="4:15">
      <c r="D181" s="989"/>
      <c r="E181" s="989"/>
      <c r="F181" s="989"/>
      <c r="G181" s="989"/>
      <c r="H181" s="989"/>
      <c r="I181" s="989"/>
      <c r="J181" s="989"/>
      <c r="K181" s="989"/>
      <c r="L181" s="989"/>
      <c r="M181" s="989"/>
      <c r="N181" s="989"/>
      <c r="O181" s="989"/>
    </row>
    <row r="182" spans="4:15">
      <c r="D182" s="989"/>
      <c r="E182" s="989"/>
      <c r="F182" s="989"/>
      <c r="G182" s="989"/>
      <c r="H182" s="989"/>
      <c r="I182" s="989"/>
      <c r="J182" s="989"/>
      <c r="K182" s="989"/>
      <c r="L182" s="989"/>
      <c r="M182" s="989"/>
      <c r="N182" s="989"/>
      <c r="O182" s="989"/>
    </row>
    <row r="183" spans="4:15">
      <c r="D183" s="989"/>
      <c r="E183" s="989"/>
      <c r="F183" s="989"/>
      <c r="G183" s="989"/>
      <c r="H183" s="989"/>
      <c r="I183" s="989"/>
      <c r="J183" s="989"/>
      <c r="K183" s="989"/>
      <c r="L183" s="989"/>
      <c r="M183" s="989"/>
      <c r="N183" s="989"/>
      <c r="O183" s="989"/>
    </row>
    <row r="184" spans="4:15">
      <c r="D184" s="989"/>
      <c r="E184" s="989"/>
      <c r="F184" s="989"/>
      <c r="G184" s="989"/>
      <c r="H184" s="989"/>
      <c r="I184" s="989"/>
      <c r="J184" s="989"/>
      <c r="K184" s="989"/>
      <c r="L184" s="989"/>
      <c r="M184" s="989"/>
      <c r="N184" s="989"/>
      <c r="O184" s="989"/>
    </row>
    <row r="185" spans="4:15">
      <c r="D185" s="989"/>
      <c r="E185" s="989"/>
      <c r="F185" s="989"/>
      <c r="G185" s="989"/>
      <c r="H185" s="989"/>
      <c r="I185" s="989"/>
      <c r="J185" s="989"/>
      <c r="K185" s="989"/>
      <c r="L185" s="989"/>
      <c r="M185" s="989"/>
      <c r="N185" s="989"/>
      <c r="O185" s="989"/>
    </row>
    <row r="186" spans="4:15">
      <c r="D186" s="989"/>
      <c r="E186" s="989"/>
      <c r="F186" s="989"/>
      <c r="G186" s="989"/>
      <c r="H186" s="989"/>
      <c r="I186" s="989"/>
      <c r="J186" s="989"/>
      <c r="K186" s="989"/>
      <c r="L186" s="989"/>
      <c r="M186" s="989"/>
      <c r="N186" s="989"/>
      <c r="O186" s="989"/>
    </row>
    <row r="187" spans="4:15">
      <c r="D187" s="989"/>
      <c r="E187" s="989"/>
      <c r="F187" s="989"/>
      <c r="G187" s="989"/>
      <c r="H187" s="989"/>
      <c r="I187" s="989"/>
      <c r="J187" s="989"/>
      <c r="K187" s="989"/>
      <c r="L187" s="989"/>
      <c r="M187" s="989"/>
      <c r="N187" s="989"/>
      <c r="O187" s="989"/>
    </row>
    <row r="188" spans="4:15">
      <c r="D188" s="989"/>
      <c r="E188" s="989"/>
      <c r="F188" s="989"/>
      <c r="G188" s="989"/>
      <c r="H188" s="989"/>
      <c r="I188" s="989"/>
      <c r="J188" s="989"/>
      <c r="K188" s="989"/>
      <c r="L188" s="989"/>
      <c r="M188" s="989"/>
      <c r="N188" s="989"/>
      <c r="O188" s="989"/>
    </row>
    <row r="189" spans="4:15">
      <c r="D189" s="989"/>
      <c r="E189" s="989"/>
      <c r="F189" s="989"/>
      <c r="G189" s="989"/>
      <c r="H189" s="989"/>
      <c r="I189" s="989"/>
      <c r="J189" s="989"/>
      <c r="K189" s="989"/>
      <c r="L189" s="989"/>
      <c r="M189" s="989"/>
      <c r="N189" s="989"/>
      <c r="O189" s="989"/>
    </row>
    <row r="190" spans="4:15">
      <c r="D190" s="989"/>
      <c r="E190" s="989"/>
      <c r="F190" s="989"/>
      <c r="G190" s="989"/>
      <c r="H190" s="989"/>
      <c r="I190" s="989"/>
      <c r="J190" s="989"/>
      <c r="K190" s="989"/>
      <c r="L190" s="989"/>
      <c r="M190" s="989"/>
      <c r="N190" s="989"/>
      <c r="O190" s="989"/>
    </row>
    <row r="191" spans="4:15">
      <c r="D191" s="989"/>
      <c r="E191" s="989"/>
      <c r="F191" s="989"/>
      <c r="G191" s="989"/>
      <c r="H191" s="989"/>
      <c r="I191" s="989"/>
      <c r="J191" s="989"/>
      <c r="K191" s="989"/>
      <c r="L191" s="989"/>
      <c r="M191" s="989"/>
      <c r="N191" s="989"/>
      <c r="O191" s="989"/>
    </row>
    <row r="192" spans="4:15">
      <c r="D192" s="989"/>
      <c r="E192" s="989"/>
      <c r="F192" s="989"/>
      <c r="G192" s="989"/>
      <c r="H192" s="989"/>
      <c r="I192" s="989"/>
      <c r="J192" s="989"/>
      <c r="K192" s="989"/>
      <c r="L192" s="989"/>
      <c r="M192" s="989"/>
      <c r="N192" s="989"/>
      <c r="O192" s="989"/>
    </row>
    <row r="193" spans="4:15">
      <c r="D193" s="989"/>
      <c r="E193" s="989"/>
      <c r="F193" s="989"/>
      <c r="G193" s="989"/>
      <c r="H193" s="989"/>
      <c r="I193" s="989"/>
      <c r="J193" s="989"/>
      <c r="K193" s="989"/>
      <c r="L193" s="989"/>
      <c r="M193" s="989"/>
      <c r="N193" s="989"/>
      <c r="O193" s="989"/>
    </row>
    <row r="194" spans="4:15">
      <c r="D194" s="989"/>
      <c r="E194" s="989"/>
      <c r="F194" s="989"/>
      <c r="G194" s="989"/>
      <c r="H194" s="989"/>
      <c r="I194" s="989"/>
      <c r="J194" s="989"/>
      <c r="K194" s="989"/>
      <c r="L194" s="989"/>
      <c r="M194" s="989"/>
      <c r="N194" s="989"/>
      <c r="O194" s="989"/>
    </row>
    <row r="195" spans="4:15">
      <c r="D195" s="989"/>
      <c r="E195" s="989"/>
      <c r="F195" s="989"/>
      <c r="G195" s="989"/>
      <c r="H195" s="989"/>
      <c r="I195" s="989"/>
      <c r="J195" s="989"/>
      <c r="K195" s="989"/>
      <c r="L195" s="989"/>
      <c r="M195" s="989"/>
      <c r="N195" s="989"/>
      <c r="O195" s="989"/>
    </row>
    <row r="196" spans="4:15">
      <c r="D196" s="989"/>
      <c r="E196" s="989"/>
      <c r="F196" s="989"/>
      <c r="G196" s="989"/>
      <c r="H196" s="989"/>
      <c r="I196" s="989"/>
      <c r="J196" s="989"/>
      <c r="K196" s="989"/>
      <c r="L196" s="989"/>
      <c r="M196" s="989"/>
      <c r="N196" s="989"/>
      <c r="O196" s="989"/>
    </row>
    <row r="197" spans="4:15">
      <c r="D197" s="989"/>
      <c r="E197" s="989"/>
      <c r="F197" s="989"/>
      <c r="G197" s="989"/>
      <c r="H197" s="989"/>
      <c r="I197" s="989"/>
      <c r="J197" s="989"/>
      <c r="K197" s="989"/>
      <c r="L197" s="989"/>
      <c r="M197" s="989"/>
      <c r="N197" s="989"/>
      <c r="O197" s="989"/>
    </row>
    <row r="198" spans="4:15">
      <c r="D198" s="989"/>
      <c r="E198" s="989"/>
      <c r="F198" s="989"/>
      <c r="G198" s="989"/>
      <c r="H198" s="989"/>
      <c r="I198" s="989"/>
      <c r="J198" s="989"/>
      <c r="K198" s="989"/>
      <c r="L198" s="989"/>
      <c r="M198" s="989"/>
      <c r="N198" s="989"/>
      <c r="O198" s="989"/>
    </row>
    <row r="199" spans="4:15">
      <c r="D199" s="989"/>
      <c r="E199" s="989"/>
      <c r="F199" s="989"/>
      <c r="G199" s="989"/>
      <c r="H199" s="989"/>
      <c r="I199" s="989"/>
      <c r="J199" s="989"/>
      <c r="K199" s="989"/>
      <c r="L199" s="989"/>
      <c r="M199" s="989"/>
      <c r="N199" s="989"/>
      <c r="O199" s="989"/>
    </row>
    <row r="200" spans="4:15">
      <c r="D200" s="989"/>
      <c r="E200" s="989"/>
      <c r="F200" s="989"/>
      <c r="G200" s="989"/>
      <c r="H200" s="989"/>
      <c r="I200" s="989"/>
      <c r="J200" s="989"/>
      <c r="K200" s="989"/>
      <c r="L200" s="989"/>
      <c r="M200" s="989"/>
      <c r="N200" s="989"/>
      <c r="O200" s="989"/>
    </row>
    <row r="201" spans="4:15">
      <c r="D201" s="989"/>
      <c r="E201" s="989"/>
      <c r="F201" s="989"/>
      <c r="G201" s="989"/>
      <c r="H201" s="989"/>
      <c r="I201" s="989"/>
      <c r="J201" s="989"/>
      <c r="K201" s="989"/>
      <c r="L201" s="989"/>
      <c r="M201" s="989"/>
      <c r="N201" s="989"/>
      <c r="O201" s="989"/>
    </row>
    <row r="202" spans="4:15">
      <c r="D202" s="989"/>
      <c r="E202" s="989"/>
      <c r="F202" s="989"/>
      <c r="G202" s="989"/>
      <c r="H202" s="989"/>
      <c r="I202" s="989"/>
      <c r="J202" s="989"/>
      <c r="K202" s="989"/>
      <c r="L202" s="989"/>
      <c r="M202" s="989"/>
      <c r="N202" s="989"/>
      <c r="O202" s="989"/>
    </row>
    <row r="203" spans="4:15">
      <c r="D203" s="989"/>
      <c r="E203" s="989"/>
      <c r="F203" s="989"/>
      <c r="G203" s="989"/>
      <c r="H203" s="989"/>
      <c r="I203" s="989"/>
      <c r="J203" s="989"/>
      <c r="K203" s="989"/>
      <c r="L203" s="989"/>
      <c r="M203" s="989"/>
      <c r="N203" s="989"/>
      <c r="O203" s="989"/>
    </row>
    <row r="204" spans="4:15">
      <c r="D204" s="989"/>
      <c r="E204" s="989"/>
      <c r="F204" s="989"/>
      <c r="G204" s="989"/>
      <c r="H204" s="989"/>
      <c r="I204" s="989"/>
      <c r="J204" s="989"/>
      <c r="K204" s="989"/>
      <c r="L204" s="989"/>
      <c r="M204" s="989"/>
      <c r="N204" s="989"/>
      <c r="O204" s="989"/>
    </row>
    <row r="205" spans="4:15">
      <c r="D205" s="989"/>
      <c r="E205" s="989"/>
      <c r="F205" s="989"/>
      <c r="G205" s="989"/>
      <c r="H205" s="989"/>
      <c r="I205" s="989"/>
      <c r="J205" s="989"/>
      <c r="K205" s="989"/>
      <c r="L205" s="989"/>
      <c r="M205" s="989"/>
      <c r="N205" s="989"/>
      <c r="O205" s="989"/>
    </row>
    <row r="206" spans="4:15">
      <c r="D206" s="989"/>
      <c r="E206" s="989"/>
      <c r="F206" s="989"/>
      <c r="G206" s="989"/>
      <c r="H206" s="989"/>
      <c r="I206" s="989"/>
      <c r="J206" s="989"/>
      <c r="K206" s="989"/>
      <c r="L206" s="989"/>
      <c r="M206" s="989"/>
      <c r="N206" s="989"/>
      <c r="O206" s="989"/>
    </row>
    <row r="207" spans="4:15">
      <c r="D207" s="989"/>
      <c r="E207" s="989"/>
      <c r="F207" s="989"/>
      <c r="G207" s="989"/>
      <c r="H207" s="989"/>
      <c r="I207" s="989"/>
      <c r="J207" s="989"/>
      <c r="K207" s="989"/>
      <c r="L207" s="989"/>
      <c r="M207" s="989"/>
      <c r="N207" s="989"/>
      <c r="O207" s="989"/>
    </row>
    <row r="208" spans="4:15">
      <c r="D208" s="989"/>
      <c r="E208" s="989"/>
      <c r="F208" s="989"/>
      <c r="G208" s="989"/>
      <c r="H208" s="989"/>
      <c r="I208" s="989"/>
      <c r="J208" s="989"/>
      <c r="K208" s="989"/>
      <c r="L208" s="989"/>
      <c r="M208" s="989"/>
      <c r="N208" s="989"/>
      <c r="O208" s="989"/>
    </row>
    <row r="209" spans="4:15">
      <c r="D209" s="989"/>
      <c r="E209" s="989"/>
      <c r="F209" s="989"/>
      <c r="G209" s="989"/>
      <c r="H209" s="989"/>
      <c r="I209" s="989"/>
      <c r="J209" s="989"/>
      <c r="K209" s="989"/>
      <c r="L209" s="989"/>
      <c r="M209" s="989"/>
      <c r="N209" s="989"/>
      <c r="O209" s="989"/>
    </row>
    <row r="210" spans="4:15">
      <c r="D210" s="989"/>
      <c r="E210" s="989"/>
      <c r="F210" s="989"/>
      <c r="G210" s="989"/>
      <c r="H210" s="989"/>
      <c r="I210" s="989"/>
      <c r="J210" s="989"/>
      <c r="K210" s="989"/>
      <c r="L210" s="989"/>
      <c r="M210" s="989"/>
      <c r="N210" s="989"/>
      <c r="O210" s="989"/>
    </row>
    <row r="211" spans="4:15">
      <c r="D211" s="989"/>
      <c r="E211" s="989"/>
      <c r="F211" s="989"/>
      <c r="G211" s="989"/>
      <c r="H211" s="989"/>
      <c r="I211" s="989"/>
      <c r="J211" s="989"/>
      <c r="K211" s="989"/>
      <c r="L211" s="989"/>
      <c r="M211" s="989"/>
      <c r="N211" s="989"/>
      <c r="O211" s="989"/>
    </row>
    <row r="212" spans="4:15">
      <c r="D212" s="989"/>
      <c r="E212" s="989"/>
      <c r="F212" s="989"/>
      <c r="G212" s="989"/>
      <c r="H212" s="989"/>
      <c r="I212" s="989"/>
      <c r="J212" s="989"/>
      <c r="K212" s="989"/>
      <c r="L212" s="989"/>
      <c r="M212" s="989"/>
      <c r="N212" s="989"/>
      <c r="O212" s="989"/>
    </row>
    <row r="213" spans="4:15">
      <c r="D213" s="989"/>
      <c r="E213" s="989"/>
      <c r="F213" s="989"/>
      <c r="G213" s="989"/>
      <c r="H213" s="989"/>
      <c r="I213" s="989"/>
      <c r="J213" s="989"/>
      <c r="K213" s="989"/>
      <c r="L213" s="989"/>
      <c r="M213" s="989"/>
      <c r="N213" s="989"/>
      <c r="O213" s="989"/>
    </row>
    <row r="214" spans="4:15">
      <c r="D214" s="989"/>
      <c r="E214" s="989"/>
      <c r="F214" s="989"/>
      <c r="G214" s="989"/>
      <c r="H214" s="989"/>
      <c r="I214" s="989"/>
      <c r="J214" s="989"/>
      <c r="K214" s="989"/>
      <c r="L214" s="989"/>
      <c r="M214" s="989"/>
      <c r="N214" s="989"/>
      <c r="O214" s="989"/>
    </row>
    <row r="215" spans="4:15">
      <c r="D215" s="989"/>
      <c r="E215" s="989"/>
      <c r="F215" s="989"/>
      <c r="G215" s="989"/>
      <c r="H215" s="989"/>
      <c r="I215" s="989"/>
      <c r="J215" s="989"/>
      <c r="K215" s="989"/>
      <c r="L215" s="989"/>
      <c r="M215" s="989"/>
      <c r="N215" s="989"/>
      <c r="O215" s="989"/>
    </row>
    <row r="216" spans="4:15">
      <c r="D216" s="989"/>
      <c r="E216" s="989"/>
      <c r="F216" s="989"/>
      <c r="G216" s="989"/>
      <c r="H216" s="989"/>
      <c r="I216" s="989"/>
      <c r="J216" s="989"/>
      <c r="K216" s="989"/>
      <c r="L216" s="989"/>
      <c r="M216" s="989"/>
      <c r="N216" s="989"/>
      <c r="O216" s="989"/>
    </row>
    <row r="217" spans="4:15">
      <c r="D217" s="989"/>
      <c r="E217" s="989"/>
      <c r="F217" s="989"/>
      <c r="G217" s="989"/>
      <c r="H217" s="989"/>
      <c r="I217" s="989"/>
      <c r="J217" s="989"/>
      <c r="K217" s="989"/>
      <c r="L217" s="989"/>
      <c r="M217" s="989"/>
      <c r="N217" s="989"/>
      <c r="O217" s="989"/>
    </row>
    <row r="218" spans="4:15">
      <c r="D218" s="989"/>
      <c r="E218" s="989"/>
      <c r="F218" s="989"/>
      <c r="G218" s="989"/>
      <c r="H218" s="989"/>
      <c r="I218" s="989"/>
      <c r="J218" s="989"/>
      <c r="K218" s="989"/>
      <c r="L218" s="989"/>
      <c r="M218" s="989"/>
      <c r="N218" s="989"/>
      <c r="O218" s="989"/>
    </row>
    <row r="219" spans="4:15">
      <c r="D219" s="989"/>
      <c r="E219" s="989"/>
      <c r="F219" s="989"/>
      <c r="G219" s="989"/>
      <c r="H219" s="989"/>
      <c r="I219" s="989"/>
      <c r="J219" s="989"/>
      <c r="K219" s="989"/>
      <c r="L219" s="989"/>
      <c r="M219" s="989"/>
      <c r="N219" s="989"/>
      <c r="O219" s="989"/>
    </row>
    <row r="220" spans="4:15">
      <c r="D220" s="989"/>
      <c r="E220" s="989"/>
      <c r="F220" s="989"/>
      <c r="G220" s="989"/>
      <c r="H220" s="989"/>
      <c r="I220" s="989"/>
      <c r="J220" s="989"/>
      <c r="K220" s="989"/>
      <c r="L220" s="989"/>
      <c r="M220" s="989"/>
      <c r="N220" s="989"/>
      <c r="O220" s="989"/>
    </row>
    <row r="221" spans="4:15">
      <c r="D221" s="989"/>
      <c r="E221" s="989"/>
      <c r="F221" s="989"/>
      <c r="G221" s="989"/>
      <c r="H221" s="989"/>
      <c r="I221" s="989"/>
      <c r="J221" s="989"/>
      <c r="K221" s="989"/>
      <c r="L221" s="989"/>
      <c r="M221" s="989"/>
      <c r="N221" s="989"/>
      <c r="O221" s="989"/>
    </row>
    <row r="222" spans="4:15">
      <c r="D222" s="989"/>
      <c r="E222" s="989"/>
      <c r="F222" s="989"/>
      <c r="G222" s="989"/>
      <c r="H222" s="989"/>
      <c r="I222" s="989"/>
      <c r="J222" s="989"/>
      <c r="K222" s="989"/>
      <c r="L222" s="989"/>
      <c r="M222" s="989"/>
      <c r="N222" s="989"/>
      <c r="O222" s="989"/>
    </row>
    <row r="223" spans="4:15">
      <c r="D223" s="989"/>
      <c r="E223" s="989"/>
      <c r="F223" s="989"/>
      <c r="G223" s="989"/>
      <c r="H223" s="989"/>
      <c r="I223" s="989"/>
      <c r="J223" s="989"/>
      <c r="K223" s="989"/>
      <c r="L223" s="989"/>
      <c r="M223" s="989"/>
      <c r="N223" s="989"/>
      <c r="O223" s="989"/>
    </row>
    <row r="224" spans="4:15">
      <c r="D224" s="989"/>
      <c r="E224" s="989"/>
      <c r="F224" s="989"/>
      <c r="G224" s="989"/>
      <c r="H224" s="989"/>
      <c r="I224" s="989"/>
      <c r="J224" s="989"/>
      <c r="K224" s="989"/>
      <c r="L224" s="989"/>
      <c r="M224" s="989"/>
      <c r="N224" s="989"/>
      <c r="O224" s="989"/>
    </row>
    <row r="225" spans="4:15">
      <c r="D225" s="989"/>
      <c r="E225" s="989"/>
      <c r="F225" s="989"/>
      <c r="G225" s="989"/>
      <c r="H225" s="989"/>
      <c r="I225" s="989"/>
      <c r="J225" s="989"/>
      <c r="K225" s="989"/>
      <c r="L225" s="989"/>
      <c r="M225" s="989"/>
      <c r="N225" s="989"/>
      <c r="O225" s="989"/>
    </row>
    <row r="226" spans="4:15">
      <c r="D226" s="989"/>
      <c r="E226" s="989"/>
      <c r="F226" s="989"/>
      <c r="G226" s="989"/>
      <c r="H226" s="989"/>
      <c r="I226" s="989"/>
      <c r="J226" s="989"/>
      <c r="K226" s="989"/>
      <c r="L226" s="989"/>
      <c r="M226" s="989"/>
      <c r="N226" s="989"/>
      <c r="O226" s="989"/>
    </row>
    <row r="227" spans="4:15">
      <c r="D227" s="989"/>
      <c r="E227" s="989"/>
      <c r="F227" s="989"/>
      <c r="G227" s="989"/>
      <c r="H227" s="989"/>
      <c r="I227" s="989"/>
      <c r="J227" s="989"/>
      <c r="K227" s="989"/>
      <c r="L227" s="989"/>
      <c r="M227" s="989"/>
      <c r="N227" s="989"/>
      <c r="O227" s="989"/>
    </row>
    <row r="228" spans="4:15">
      <c r="D228" s="989"/>
      <c r="E228" s="989"/>
      <c r="F228" s="989"/>
      <c r="G228" s="989"/>
      <c r="H228" s="989"/>
      <c r="I228" s="989"/>
      <c r="J228" s="989"/>
      <c r="K228" s="989"/>
      <c r="L228" s="989"/>
      <c r="M228" s="989"/>
      <c r="N228" s="989"/>
      <c r="O228" s="989"/>
    </row>
    <row r="229" spans="4:15">
      <c r="D229" s="989"/>
      <c r="E229" s="989"/>
      <c r="F229" s="989"/>
      <c r="G229" s="989"/>
      <c r="H229" s="989"/>
      <c r="I229" s="989"/>
      <c r="J229" s="989"/>
      <c r="K229" s="989"/>
      <c r="L229" s="989"/>
      <c r="M229" s="989"/>
      <c r="N229" s="989"/>
      <c r="O229" s="989"/>
    </row>
    <row r="230" spans="4:15">
      <c r="D230" s="989"/>
      <c r="E230" s="989"/>
      <c r="F230" s="989"/>
      <c r="G230" s="989"/>
      <c r="H230" s="989"/>
      <c r="I230" s="989"/>
      <c r="J230" s="989"/>
      <c r="K230" s="989"/>
      <c r="L230" s="989"/>
      <c r="M230" s="989"/>
      <c r="N230" s="989"/>
      <c r="O230" s="989"/>
    </row>
    <row r="231" spans="4:15">
      <c r="D231" s="989"/>
      <c r="E231" s="989"/>
      <c r="F231" s="989"/>
      <c r="G231" s="989"/>
      <c r="H231" s="989"/>
      <c r="I231" s="989"/>
      <c r="J231" s="989"/>
      <c r="K231" s="989"/>
      <c r="L231" s="989"/>
      <c r="M231" s="989"/>
      <c r="N231" s="989"/>
      <c r="O231" s="989"/>
    </row>
    <row r="232" spans="4:15">
      <c r="D232" s="989"/>
      <c r="E232" s="989"/>
      <c r="F232" s="989"/>
      <c r="G232" s="989"/>
      <c r="H232" s="989"/>
      <c r="I232" s="989"/>
      <c r="J232" s="989"/>
      <c r="K232" s="989"/>
      <c r="L232" s="989"/>
      <c r="M232" s="989"/>
      <c r="N232" s="989"/>
      <c r="O232" s="989"/>
    </row>
    <row r="233" spans="4:15">
      <c r="D233" s="989"/>
      <c r="E233" s="989"/>
      <c r="F233" s="989"/>
      <c r="G233" s="989"/>
      <c r="H233" s="989"/>
      <c r="I233" s="989"/>
      <c r="J233" s="989"/>
      <c r="K233" s="989"/>
      <c r="L233" s="989"/>
      <c r="M233" s="989"/>
      <c r="N233" s="989"/>
      <c r="O233" s="989"/>
    </row>
    <row r="234" spans="4:15">
      <c r="D234" s="989"/>
      <c r="E234" s="989"/>
      <c r="F234" s="989"/>
      <c r="G234" s="989"/>
      <c r="H234" s="989"/>
      <c r="I234" s="989"/>
      <c r="J234" s="989"/>
      <c r="K234" s="989"/>
      <c r="L234" s="989"/>
      <c r="M234" s="989"/>
      <c r="N234" s="989"/>
      <c r="O234" s="989"/>
    </row>
    <row r="235" spans="4:15">
      <c r="D235" s="989"/>
      <c r="E235" s="989"/>
      <c r="F235" s="989"/>
      <c r="G235" s="989"/>
      <c r="H235" s="989"/>
      <c r="I235" s="989"/>
      <c r="J235" s="989"/>
      <c r="K235" s="989"/>
      <c r="L235" s="989"/>
      <c r="M235" s="989"/>
      <c r="N235" s="989"/>
      <c r="O235" s="989"/>
    </row>
    <row r="236" spans="4:15">
      <c r="D236" s="989"/>
      <c r="E236" s="989"/>
      <c r="F236" s="989"/>
      <c r="G236" s="989"/>
      <c r="H236" s="989"/>
      <c r="I236" s="989"/>
      <c r="J236" s="989"/>
      <c r="K236" s="989"/>
      <c r="L236" s="989"/>
      <c r="M236" s="989"/>
      <c r="N236" s="989"/>
      <c r="O236" s="989"/>
    </row>
    <row r="237" spans="4:15">
      <c r="D237" s="989"/>
      <c r="E237" s="989"/>
      <c r="F237" s="989"/>
      <c r="G237" s="989"/>
      <c r="H237" s="989"/>
      <c r="I237" s="989"/>
      <c r="J237" s="989"/>
      <c r="K237" s="989"/>
      <c r="L237" s="989"/>
      <c r="M237" s="989"/>
      <c r="N237" s="989"/>
      <c r="O237" s="989"/>
    </row>
    <row r="238" spans="4:15">
      <c r="D238" s="989"/>
      <c r="E238" s="989"/>
      <c r="F238" s="989"/>
      <c r="G238" s="989"/>
      <c r="H238" s="989"/>
      <c r="I238" s="989"/>
      <c r="J238" s="989"/>
      <c r="K238" s="989"/>
      <c r="L238" s="989"/>
      <c r="M238" s="989"/>
      <c r="N238" s="989"/>
      <c r="O238" s="989"/>
    </row>
    <row r="239" spans="4:15">
      <c r="D239" s="989"/>
      <c r="E239" s="989"/>
      <c r="F239" s="989"/>
      <c r="G239" s="989"/>
      <c r="H239" s="989"/>
      <c r="I239" s="989"/>
      <c r="J239" s="989"/>
      <c r="K239" s="989"/>
      <c r="L239" s="989"/>
      <c r="M239" s="989"/>
      <c r="N239" s="989"/>
      <c r="O239" s="989"/>
    </row>
    <row r="240" spans="4:15">
      <c r="D240" s="989"/>
      <c r="E240" s="989"/>
      <c r="F240" s="989"/>
      <c r="G240" s="989"/>
      <c r="H240" s="989"/>
      <c r="I240" s="989"/>
      <c r="J240" s="989"/>
      <c r="K240" s="989"/>
      <c r="L240" s="989"/>
      <c r="M240" s="989"/>
      <c r="N240" s="989"/>
      <c r="O240" s="989"/>
    </row>
    <row r="241" spans="4:15">
      <c r="D241" s="989"/>
      <c r="E241" s="989"/>
      <c r="F241" s="989"/>
      <c r="G241" s="989"/>
      <c r="H241" s="989"/>
      <c r="I241" s="989"/>
      <c r="J241" s="989"/>
      <c r="K241" s="989"/>
      <c r="L241" s="989"/>
      <c r="M241" s="989"/>
      <c r="N241" s="989"/>
      <c r="O241" s="989"/>
    </row>
    <row r="242" spans="4:15">
      <c r="D242" s="989"/>
      <c r="E242" s="989"/>
      <c r="F242" s="989"/>
      <c r="G242" s="989"/>
      <c r="H242" s="989"/>
      <c r="I242" s="989"/>
      <c r="J242" s="989"/>
      <c r="K242" s="989"/>
      <c r="L242" s="989"/>
      <c r="M242" s="989"/>
      <c r="N242" s="989"/>
      <c r="O242" s="989"/>
    </row>
    <row r="243" spans="4:15">
      <c r="D243" s="989"/>
      <c r="E243" s="989"/>
      <c r="F243" s="989"/>
      <c r="G243" s="989"/>
      <c r="H243" s="989"/>
      <c r="I243" s="989"/>
      <c r="J243" s="989"/>
      <c r="K243" s="989"/>
      <c r="L243" s="989"/>
      <c r="M243" s="989"/>
      <c r="N243" s="989"/>
      <c r="O243" s="989"/>
    </row>
    <row r="244" spans="4:15">
      <c r="D244" s="989"/>
      <c r="E244" s="989"/>
      <c r="F244" s="989"/>
      <c r="G244" s="989"/>
      <c r="H244" s="989"/>
      <c r="I244" s="989"/>
      <c r="J244" s="989"/>
      <c r="K244" s="989"/>
      <c r="L244" s="989"/>
      <c r="M244" s="989"/>
      <c r="N244" s="989"/>
      <c r="O244" s="989"/>
    </row>
    <row r="245" spans="4:15">
      <c r="D245" s="989"/>
      <c r="E245" s="989"/>
      <c r="F245" s="989"/>
      <c r="G245" s="989"/>
      <c r="H245" s="989"/>
      <c r="I245" s="989"/>
      <c r="J245" s="989"/>
      <c r="K245" s="989"/>
      <c r="L245" s="989"/>
      <c r="M245" s="989"/>
      <c r="N245" s="989"/>
      <c r="O245" s="989"/>
    </row>
    <row r="246" spans="4:15">
      <c r="D246" s="989"/>
      <c r="E246" s="989"/>
      <c r="F246" s="989"/>
      <c r="G246" s="989"/>
      <c r="H246" s="989"/>
      <c r="I246" s="989"/>
      <c r="J246" s="989"/>
      <c r="K246" s="989"/>
      <c r="L246" s="989"/>
      <c r="M246" s="989"/>
      <c r="N246" s="989"/>
      <c r="O246" s="989"/>
    </row>
    <row r="247" spans="4:15">
      <c r="D247" s="989"/>
      <c r="E247" s="989"/>
      <c r="F247" s="989"/>
      <c r="G247" s="989"/>
      <c r="H247" s="989"/>
      <c r="I247" s="989"/>
      <c r="J247" s="989"/>
      <c r="K247" s="989"/>
      <c r="L247" s="989"/>
      <c r="M247" s="989"/>
      <c r="N247" s="989"/>
      <c r="O247" s="989"/>
    </row>
    <row r="248" spans="4:15">
      <c r="D248" s="989"/>
      <c r="E248" s="989"/>
      <c r="F248" s="989"/>
      <c r="G248" s="989"/>
      <c r="H248" s="989"/>
      <c r="I248" s="989"/>
      <c r="J248" s="989"/>
      <c r="K248" s="989"/>
      <c r="L248" s="989"/>
      <c r="M248" s="989"/>
      <c r="N248" s="989"/>
      <c r="O248" s="989"/>
    </row>
    <row r="249" spans="4:15">
      <c r="D249" s="989"/>
      <c r="E249" s="989"/>
      <c r="F249" s="989"/>
      <c r="G249" s="989"/>
      <c r="H249" s="989"/>
      <c r="I249" s="989"/>
      <c r="J249" s="989"/>
      <c r="K249" s="989"/>
      <c r="L249" s="989"/>
      <c r="M249" s="989"/>
      <c r="N249" s="989"/>
      <c r="O249" s="989"/>
    </row>
    <row r="250" spans="4:15">
      <c r="D250" s="989"/>
      <c r="E250" s="989"/>
      <c r="F250" s="989"/>
      <c r="G250" s="989"/>
      <c r="H250" s="989"/>
      <c r="I250" s="989"/>
      <c r="J250" s="989"/>
      <c r="K250" s="989"/>
      <c r="L250" s="989"/>
      <c r="M250" s="989"/>
      <c r="N250" s="989"/>
      <c r="O250" s="989"/>
    </row>
    <row r="251" spans="4:15">
      <c r="D251" s="989"/>
      <c r="E251" s="989"/>
      <c r="F251" s="989"/>
      <c r="G251" s="989"/>
      <c r="H251" s="989"/>
      <c r="I251" s="989"/>
      <c r="J251" s="989"/>
      <c r="K251" s="989"/>
      <c r="L251" s="989"/>
      <c r="M251" s="989"/>
      <c r="N251" s="989"/>
      <c r="O251" s="989"/>
    </row>
    <row r="252" spans="4:15">
      <c r="D252" s="989"/>
      <c r="E252" s="989"/>
      <c r="F252" s="989"/>
      <c r="G252" s="989"/>
      <c r="H252" s="989"/>
      <c r="I252" s="989"/>
      <c r="J252" s="989"/>
      <c r="K252" s="989"/>
      <c r="L252" s="989"/>
      <c r="M252" s="989"/>
      <c r="N252" s="989"/>
      <c r="O252" s="989"/>
    </row>
    <row r="253" spans="4:15">
      <c r="D253" s="989"/>
      <c r="E253" s="989"/>
      <c r="F253" s="989"/>
      <c r="G253" s="989"/>
      <c r="H253" s="989"/>
      <c r="I253" s="989"/>
      <c r="J253" s="989"/>
      <c r="K253" s="989"/>
      <c r="L253" s="989"/>
      <c r="M253" s="989"/>
      <c r="N253" s="989"/>
      <c r="O253" s="989"/>
    </row>
    <row r="254" spans="4:15">
      <c r="D254" s="989"/>
      <c r="E254" s="989"/>
      <c r="F254" s="989"/>
      <c r="G254" s="989"/>
      <c r="H254" s="989"/>
      <c r="I254" s="989"/>
      <c r="J254" s="989"/>
      <c r="K254" s="989"/>
      <c r="L254" s="989"/>
      <c r="M254" s="989"/>
      <c r="N254" s="989"/>
      <c r="O254" s="989"/>
    </row>
    <row r="255" spans="4:15">
      <c r="D255" s="989"/>
      <c r="E255" s="989"/>
      <c r="F255" s="989"/>
      <c r="G255" s="989"/>
      <c r="H255" s="989"/>
      <c r="I255" s="989"/>
      <c r="J255" s="989"/>
      <c r="K255" s="989"/>
      <c r="L255" s="989"/>
      <c r="M255" s="989"/>
      <c r="N255" s="989"/>
      <c r="O255" s="989"/>
    </row>
    <row r="256" spans="4:15">
      <c r="D256" s="989"/>
      <c r="E256" s="989"/>
      <c r="F256" s="989"/>
      <c r="G256" s="989"/>
      <c r="H256" s="989"/>
      <c r="I256" s="989"/>
      <c r="J256" s="989"/>
      <c r="K256" s="989"/>
      <c r="L256" s="989"/>
      <c r="M256" s="989"/>
      <c r="N256" s="989"/>
      <c r="O256" s="989"/>
    </row>
    <row r="257" spans="4:15">
      <c r="D257" s="989"/>
      <c r="E257" s="989"/>
      <c r="F257" s="989"/>
      <c r="G257" s="989"/>
      <c r="H257" s="989"/>
      <c r="I257" s="989"/>
      <c r="J257" s="989"/>
      <c r="K257" s="989"/>
      <c r="L257" s="989"/>
      <c r="M257" s="989"/>
      <c r="N257" s="989"/>
      <c r="O257" s="989"/>
    </row>
    <row r="258" spans="4:15">
      <c r="D258" s="989"/>
      <c r="E258" s="989"/>
      <c r="F258" s="989"/>
      <c r="G258" s="989"/>
      <c r="H258" s="989"/>
      <c r="I258" s="989"/>
      <c r="J258" s="989"/>
      <c r="K258" s="989"/>
      <c r="L258" s="989"/>
      <c r="M258" s="989"/>
      <c r="N258" s="989"/>
      <c r="O258" s="989"/>
    </row>
    <row r="259" spans="4:15">
      <c r="D259" s="989"/>
      <c r="E259" s="989"/>
      <c r="F259" s="989"/>
      <c r="G259" s="989"/>
      <c r="H259" s="989"/>
      <c r="I259" s="989"/>
      <c r="J259" s="989"/>
      <c r="K259" s="989"/>
      <c r="L259" s="989"/>
      <c r="M259" s="989"/>
      <c r="N259" s="989"/>
      <c r="O259" s="989"/>
    </row>
    <row r="260" spans="4:15">
      <c r="D260" s="989"/>
      <c r="E260" s="989"/>
      <c r="F260" s="989"/>
      <c r="G260" s="989"/>
      <c r="H260" s="989"/>
      <c r="I260" s="989"/>
      <c r="J260" s="989"/>
      <c r="K260" s="989"/>
      <c r="L260" s="989"/>
      <c r="M260" s="989"/>
      <c r="N260" s="989"/>
      <c r="O260" s="989"/>
    </row>
    <row r="261" spans="4:15">
      <c r="D261" s="989"/>
      <c r="E261" s="989"/>
      <c r="F261" s="989"/>
      <c r="G261" s="989"/>
      <c r="H261" s="989"/>
      <c r="I261" s="989"/>
      <c r="J261" s="989"/>
      <c r="K261" s="989"/>
      <c r="L261" s="989"/>
      <c r="M261" s="989"/>
      <c r="N261" s="989"/>
      <c r="O261" s="989"/>
    </row>
    <row r="262" spans="4:15">
      <c r="D262" s="989"/>
      <c r="E262" s="989"/>
      <c r="F262" s="989"/>
      <c r="G262" s="989"/>
      <c r="H262" s="989"/>
      <c r="I262" s="989"/>
      <c r="J262" s="989"/>
      <c r="K262" s="989"/>
      <c r="L262" s="989"/>
      <c r="M262" s="989"/>
      <c r="N262" s="989"/>
      <c r="O262" s="989"/>
    </row>
    <row r="263" spans="4:15">
      <c r="D263" s="989"/>
      <c r="E263" s="989"/>
      <c r="F263" s="989"/>
      <c r="G263" s="989"/>
      <c r="H263" s="989"/>
      <c r="I263" s="989"/>
      <c r="J263" s="989"/>
      <c r="K263" s="989"/>
      <c r="L263" s="989"/>
      <c r="M263" s="989"/>
      <c r="N263" s="989"/>
      <c r="O263" s="989"/>
    </row>
    <row r="264" spans="4:15">
      <c r="D264" s="989"/>
      <c r="E264" s="989"/>
      <c r="F264" s="989"/>
      <c r="G264" s="989"/>
      <c r="H264" s="989"/>
      <c r="I264" s="989"/>
      <c r="J264" s="989"/>
      <c r="K264" s="989"/>
      <c r="L264" s="989"/>
      <c r="M264" s="989"/>
      <c r="N264" s="989"/>
      <c r="O264" s="989"/>
    </row>
    <row r="265" spans="4:15">
      <c r="D265" s="989"/>
      <c r="E265" s="989"/>
      <c r="F265" s="989"/>
      <c r="G265" s="989"/>
      <c r="H265" s="989"/>
      <c r="I265" s="989"/>
      <c r="J265" s="989"/>
      <c r="K265" s="989"/>
      <c r="L265" s="989"/>
      <c r="M265" s="989"/>
      <c r="N265" s="989"/>
      <c r="O265" s="989"/>
    </row>
    <row r="266" spans="4:15">
      <c r="D266" s="989"/>
      <c r="E266" s="989"/>
      <c r="F266" s="989"/>
      <c r="G266" s="989"/>
      <c r="H266" s="989"/>
      <c r="I266" s="989"/>
      <c r="J266" s="989"/>
      <c r="K266" s="989"/>
      <c r="L266" s="989"/>
      <c r="M266" s="989"/>
      <c r="N266" s="989"/>
      <c r="O266" s="989"/>
    </row>
    <row r="267" spans="4:15">
      <c r="D267" s="989"/>
      <c r="E267" s="989"/>
      <c r="F267" s="989"/>
      <c r="G267" s="989"/>
      <c r="H267" s="989"/>
      <c r="I267" s="989"/>
      <c r="J267" s="989"/>
      <c r="K267" s="989"/>
      <c r="L267" s="989"/>
      <c r="M267" s="989"/>
      <c r="N267" s="989"/>
      <c r="O267" s="989"/>
    </row>
    <row r="268" spans="4:15">
      <c r="D268" s="989"/>
      <c r="E268" s="989"/>
      <c r="F268" s="989"/>
      <c r="G268" s="989"/>
      <c r="H268" s="989"/>
      <c r="I268" s="989"/>
      <c r="J268" s="989"/>
      <c r="K268" s="989"/>
      <c r="L268" s="989"/>
      <c r="M268" s="989"/>
      <c r="N268" s="989"/>
      <c r="O268" s="989"/>
    </row>
    <row r="269" spans="4:15">
      <c r="D269" s="989"/>
      <c r="E269" s="989"/>
      <c r="F269" s="989"/>
      <c r="G269" s="989"/>
      <c r="H269" s="989"/>
      <c r="I269" s="989"/>
      <c r="J269" s="989"/>
      <c r="K269" s="989"/>
      <c r="L269" s="989"/>
      <c r="M269" s="989"/>
      <c r="N269" s="989"/>
      <c r="O269" s="989"/>
    </row>
    <row r="270" spans="4:15">
      <c r="D270" s="989"/>
      <c r="E270" s="989"/>
      <c r="F270" s="989"/>
      <c r="G270" s="989"/>
      <c r="H270" s="989"/>
      <c r="I270" s="989"/>
      <c r="J270" s="989"/>
      <c r="K270" s="989"/>
      <c r="L270" s="989"/>
      <c r="M270" s="989"/>
      <c r="N270" s="989"/>
      <c r="O270" s="989"/>
    </row>
    <row r="271" spans="4:15">
      <c r="D271" s="989"/>
      <c r="E271" s="989"/>
      <c r="F271" s="989"/>
      <c r="G271" s="989"/>
      <c r="H271" s="989"/>
      <c r="I271" s="989"/>
      <c r="J271" s="989"/>
      <c r="K271" s="989"/>
      <c r="L271" s="989"/>
      <c r="M271" s="989"/>
      <c r="N271" s="989"/>
      <c r="O271" s="989"/>
    </row>
    <row r="272" spans="4:15">
      <c r="D272" s="989"/>
      <c r="E272" s="989"/>
      <c r="F272" s="989"/>
      <c r="G272" s="989"/>
      <c r="H272" s="989"/>
      <c r="I272" s="989"/>
      <c r="J272" s="989"/>
      <c r="K272" s="989"/>
      <c r="L272" s="989"/>
      <c r="M272" s="989"/>
      <c r="N272" s="989"/>
      <c r="O272" s="989"/>
    </row>
    <row r="273" spans="4:15">
      <c r="D273" s="989"/>
      <c r="E273" s="989"/>
      <c r="F273" s="989"/>
      <c r="G273" s="989"/>
      <c r="H273" s="989"/>
      <c r="I273" s="989"/>
      <c r="J273" s="989"/>
      <c r="K273" s="989"/>
      <c r="L273" s="989"/>
      <c r="M273" s="989"/>
      <c r="N273" s="989"/>
      <c r="O273" s="989"/>
    </row>
    <row r="274" spans="4:15">
      <c r="D274" s="989"/>
      <c r="E274" s="989"/>
      <c r="F274" s="989"/>
      <c r="G274" s="989"/>
      <c r="H274" s="989"/>
      <c r="I274" s="989"/>
      <c r="J274" s="989"/>
      <c r="K274" s="989"/>
      <c r="L274" s="989"/>
      <c r="M274" s="989"/>
      <c r="N274" s="989"/>
      <c r="O274" s="989"/>
    </row>
    <row r="275" spans="4:15">
      <c r="D275" s="989"/>
      <c r="E275" s="989"/>
      <c r="F275" s="989"/>
      <c r="G275" s="989"/>
      <c r="H275" s="989"/>
      <c r="I275" s="989"/>
      <c r="J275" s="989"/>
      <c r="K275" s="989"/>
      <c r="L275" s="989"/>
      <c r="M275" s="989"/>
      <c r="N275" s="989"/>
      <c r="O275" s="989"/>
    </row>
    <row r="276" spans="4:15">
      <c r="D276" s="989"/>
      <c r="E276" s="989"/>
      <c r="F276" s="989"/>
      <c r="G276" s="989"/>
      <c r="H276" s="989"/>
      <c r="I276" s="989"/>
      <c r="J276" s="989"/>
      <c r="K276" s="989"/>
      <c r="L276" s="989"/>
      <c r="M276" s="989"/>
      <c r="N276" s="989"/>
      <c r="O276" s="989"/>
    </row>
    <row r="277" spans="4:15">
      <c r="D277" s="989"/>
      <c r="E277" s="989"/>
      <c r="F277" s="989"/>
      <c r="G277" s="989"/>
      <c r="H277" s="989"/>
      <c r="I277" s="989"/>
      <c r="J277" s="989"/>
      <c r="K277" s="989"/>
      <c r="L277" s="989"/>
      <c r="M277" s="989"/>
      <c r="N277" s="989"/>
      <c r="O277" s="989"/>
    </row>
    <row r="278" spans="4:15">
      <c r="D278" s="989"/>
      <c r="E278" s="989"/>
      <c r="F278" s="989"/>
      <c r="G278" s="989"/>
      <c r="H278" s="989"/>
      <c r="I278" s="989"/>
      <c r="J278" s="989"/>
      <c r="K278" s="989"/>
      <c r="L278" s="989"/>
      <c r="M278" s="989"/>
      <c r="N278" s="989"/>
      <c r="O278" s="989"/>
    </row>
    <row r="279" spans="4:15">
      <c r="D279" s="989"/>
      <c r="E279" s="989"/>
      <c r="F279" s="989"/>
      <c r="G279" s="989"/>
      <c r="H279" s="989"/>
      <c r="I279" s="989"/>
      <c r="J279" s="989"/>
      <c r="K279" s="989"/>
      <c r="L279" s="989"/>
      <c r="M279" s="989"/>
      <c r="N279" s="989"/>
      <c r="O279" s="989"/>
    </row>
    <row r="280" spans="4:15">
      <c r="D280" s="989"/>
      <c r="E280" s="989"/>
      <c r="F280" s="989"/>
      <c r="G280" s="989"/>
      <c r="H280" s="989"/>
      <c r="I280" s="989"/>
      <c r="J280" s="989"/>
      <c r="K280" s="989"/>
      <c r="L280" s="989"/>
      <c r="M280" s="989"/>
      <c r="N280" s="989"/>
      <c r="O280" s="989"/>
    </row>
    <row r="281" spans="4:15">
      <c r="D281" s="989"/>
      <c r="E281" s="989"/>
      <c r="F281" s="989"/>
      <c r="G281" s="989"/>
      <c r="H281" s="989"/>
      <c r="I281" s="989"/>
      <c r="J281" s="989"/>
      <c r="K281" s="989"/>
      <c r="L281" s="989"/>
      <c r="M281" s="989"/>
      <c r="N281" s="989"/>
      <c r="O281" s="989"/>
    </row>
    <row r="282" spans="4:15">
      <c r="D282" s="989"/>
      <c r="E282" s="989"/>
      <c r="F282" s="989"/>
      <c r="G282" s="989"/>
      <c r="H282" s="989"/>
      <c r="I282" s="989"/>
      <c r="J282" s="989"/>
      <c r="K282" s="989"/>
      <c r="L282" s="989"/>
      <c r="M282" s="989"/>
      <c r="N282" s="989"/>
      <c r="O282" s="989"/>
    </row>
    <row r="283" spans="4:15">
      <c r="D283" s="989"/>
      <c r="E283" s="989"/>
      <c r="F283" s="989"/>
      <c r="G283" s="989"/>
      <c r="H283" s="989"/>
      <c r="I283" s="989"/>
      <c r="J283" s="989"/>
      <c r="K283" s="989"/>
      <c r="L283" s="989"/>
      <c r="M283" s="989"/>
      <c r="N283" s="989"/>
      <c r="O283" s="989"/>
    </row>
    <row r="284" spans="4:15">
      <c r="D284" s="989"/>
      <c r="E284" s="989"/>
      <c r="F284" s="989"/>
      <c r="G284" s="989"/>
      <c r="H284" s="989"/>
      <c r="I284" s="989"/>
      <c r="J284" s="989"/>
      <c r="K284" s="989"/>
      <c r="L284" s="989"/>
      <c r="M284" s="989"/>
      <c r="N284" s="989"/>
      <c r="O284" s="989"/>
    </row>
    <row r="285" spans="4:15">
      <c r="D285" s="989"/>
      <c r="E285" s="989"/>
      <c r="F285" s="989"/>
      <c r="G285" s="989"/>
      <c r="H285" s="989"/>
      <c r="I285" s="989"/>
      <c r="J285" s="989"/>
      <c r="K285" s="989"/>
      <c r="L285" s="989"/>
      <c r="M285" s="989"/>
      <c r="N285" s="989"/>
      <c r="O285" s="989"/>
    </row>
    <row r="286" spans="4:15">
      <c r="D286" s="989"/>
      <c r="E286" s="989"/>
      <c r="F286" s="989"/>
      <c r="G286" s="989"/>
      <c r="H286" s="989"/>
      <c r="I286" s="989"/>
      <c r="J286" s="989"/>
      <c r="K286" s="989"/>
      <c r="L286" s="989"/>
      <c r="M286" s="989"/>
      <c r="N286" s="989"/>
      <c r="O286" s="989"/>
    </row>
    <row r="287" spans="4:15">
      <c r="D287" s="989"/>
      <c r="E287" s="989"/>
      <c r="F287" s="989"/>
      <c r="G287" s="989"/>
      <c r="H287" s="989"/>
      <c r="I287" s="989"/>
      <c r="J287" s="989"/>
      <c r="K287" s="989"/>
      <c r="L287" s="989"/>
      <c r="M287" s="989"/>
      <c r="N287" s="989"/>
      <c r="O287" s="989"/>
    </row>
    <row r="288" spans="4:15">
      <c r="D288" s="989"/>
      <c r="E288" s="989"/>
      <c r="F288" s="989"/>
      <c r="G288" s="989"/>
      <c r="H288" s="989"/>
      <c r="I288" s="989"/>
      <c r="J288" s="989"/>
      <c r="K288" s="989"/>
      <c r="L288" s="989"/>
      <c r="M288" s="989"/>
      <c r="N288" s="989"/>
      <c r="O288" s="989"/>
    </row>
    <row r="289" spans="4:15">
      <c r="D289" s="989"/>
      <c r="E289" s="989"/>
      <c r="F289" s="989"/>
      <c r="G289" s="989"/>
      <c r="H289" s="989"/>
      <c r="I289" s="989"/>
      <c r="J289" s="989"/>
      <c r="K289" s="989"/>
      <c r="L289" s="989"/>
      <c r="M289" s="989"/>
      <c r="N289" s="989"/>
      <c r="O289" s="989"/>
    </row>
    <row r="290" spans="4:15">
      <c r="D290" s="989"/>
      <c r="E290" s="989"/>
      <c r="F290" s="989"/>
      <c r="G290" s="989"/>
      <c r="H290" s="989"/>
      <c r="I290" s="989"/>
      <c r="J290" s="989"/>
      <c r="K290" s="989"/>
      <c r="L290" s="989"/>
      <c r="M290" s="989"/>
      <c r="N290" s="989"/>
      <c r="O290" s="989"/>
    </row>
    <row r="291" spans="4:15">
      <c r="D291" s="989"/>
      <c r="E291" s="989"/>
      <c r="F291" s="989"/>
      <c r="G291" s="989"/>
      <c r="H291" s="989"/>
      <c r="I291" s="989"/>
      <c r="J291" s="989"/>
      <c r="K291" s="989"/>
      <c r="L291" s="989"/>
      <c r="M291" s="989"/>
      <c r="N291" s="989"/>
      <c r="O291" s="989"/>
    </row>
    <row r="292" spans="4:15">
      <c r="D292" s="989"/>
      <c r="E292" s="989"/>
      <c r="F292" s="989"/>
      <c r="G292" s="989"/>
      <c r="H292" s="989"/>
      <c r="I292" s="989"/>
      <c r="J292" s="989"/>
      <c r="K292" s="989"/>
      <c r="L292" s="989"/>
      <c r="M292" s="989"/>
      <c r="N292" s="989"/>
      <c r="O292" s="989"/>
    </row>
    <row r="293" spans="4:15">
      <c r="D293" s="989"/>
      <c r="E293" s="989"/>
      <c r="F293" s="989"/>
      <c r="G293" s="989"/>
      <c r="H293" s="989"/>
      <c r="I293" s="989"/>
      <c r="J293" s="989"/>
      <c r="K293" s="989"/>
      <c r="L293" s="989"/>
      <c r="M293" s="989"/>
      <c r="N293" s="989"/>
      <c r="O293" s="989"/>
    </row>
    <row r="294" spans="4:15">
      <c r="D294" s="989"/>
      <c r="E294" s="989"/>
      <c r="F294" s="989"/>
      <c r="G294" s="989"/>
      <c r="H294" s="989"/>
      <c r="I294" s="989"/>
      <c r="J294" s="989"/>
      <c r="K294" s="989"/>
      <c r="L294" s="989"/>
      <c r="M294" s="989"/>
      <c r="N294" s="989"/>
      <c r="O294" s="989"/>
    </row>
    <row r="295" spans="4:15">
      <c r="D295" s="989"/>
      <c r="E295" s="989"/>
      <c r="F295" s="989"/>
      <c r="G295" s="989"/>
      <c r="H295" s="989"/>
      <c r="I295" s="989"/>
      <c r="J295" s="989"/>
      <c r="K295" s="989"/>
      <c r="L295" s="989"/>
      <c r="M295" s="989"/>
      <c r="N295" s="989"/>
      <c r="O295" s="989"/>
    </row>
    <row r="296" spans="4:15">
      <c r="D296" s="989"/>
      <c r="E296" s="989"/>
      <c r="F296" s="989"/>
      <c r="G296" s="989"/>
      <c r="H296" s="989"/>
      <c r="I296" s="989"/>
      <c r="J296" s="989"/>
      <c r="K296" s="989"/>
      <c r="L296" s="989"/>
      <c r="M296" s="989"/>
      <c r="N296" s="989"/>
      <c r="O296" s="989"/>
    </row>
    <row r="297" spans="4:15">
      <c r="D297" s="989"/>
      <c r="E297" s="989"/>
      <c r="F297" s="989"/>
      <c r="G297" s="989"/>
      <c r="H297" s="989"/>
      <c r="I297" s="989"/>
      <c r="J297" s="989"/>
      <c r="K297" s="989"/>
      <c r="L297" s="989"/>
      <c r="M297" s="989"/>
      <c r="N297" s="989"/>
      <c r="O297" s="989"/>
    </row>
    <row r="298" spans="4:15">
      <c r="D298" s="989"/>
      <c r="E298" s="989"/>
      <c r="F298" s="989"/>
      <c r="G298" s="989"/>
      <c r="H298" s="989"/>
      <c r="I298" s="989"/>
      <c r="J298" s="989"/>
      <c r="K298" s="989"/>
      <c r="L298" s="989"/>
      <c r="M298" s="989"/>
      <c r="N298" s="989"/>
      <c r="O298" s="989"/>
    </row>
    <row r="299" spans="4:15">
      <c r="D299" s="989"/>
      <c r="E299" s="989"/>
      <c r="F299" s="989"/>
      <c r="G299" s="989"/>
      <c r="H299" s="989"/>
      <c r="I299" s="989"/>
      <c r="J299" s="989"/>
      <c r="K299" s="989"/>
      <c r="L299" s="989"/>
      <c r="M299" s="989"/>
      <c r="N299" s="989"/>
      <c r="O299" s="989"/>
    </row>
    <row r="300" spans="4:15">
      <c r="D300" s="989"/>
      <c r="E300" s="989"/>
      <c r="F300" s="989"/>
      <c r="G300" s="989"/>
      <c r="H300" s="989"/>
      <c r="I300" s="989"/>
      <c r="J300" s="989"/>
      <c r="K300" s="989"/>
      <c r="L300" s="989"/>
      <c r="M300" s="989"/>
      <c r="N300" s="989"/>
      <c r="O300" s="989"/>
    </row>
    <row r="301" spans="4:15">
      <c r="D301" s="989"/>
      <c r="E301" s="989"/>
      <c r="F301" s="989"/>
      <c r="G301" s="989"/>
      <c r="H301" s="989"/>
      <c r="I301" s="989"/>
      <c r="J301" s="989"/>
      <c r="K301" s="989"/>
      <c r="L301" s="989"/>
      <c r="M301" s="989"/>
      <c r="N301" s="989"/>
      <c r="O301" s="989"/>
    </row>
    <row r="302" spans="4:15">
      <c r="D302" s="989"/>
      <c r="E302" s="989"/>
      <c r="F302" s="989"/>
      <c r="G302" s="989"/>
      <c r="H302" s="989"/>
      <c r="I302" s="989"/>
      <c r="J302" s="989"/>
      <c r="K302" s="989"/>
      <c r="L302" s="989"/>
      <c r="M302" s="989"/>
      <c r="N302" s="989"/>
      <c r="O302" s="989"/>
    </row>
    <row r="303" spans="4:15">
      <c r="D303" s="989"/>
      <c r="E303" s="989"/>
      <c r="F303" s="989"/>
      <c r="G303" s="989"/>
      <c r="H303" s="989"/>
      <c r="I303" s="989"/>
      <c r="J303" s="989"/>
      <c r="K303" s="989"/>
      <c r="L303" s="989"/>
      <c r="M303" s="989"/>
      <c r="N303" s="989"/>
      <c r="O303" s="989"/>
    </row>
    <row r="304" spans="4:15">
      <c r="D304" s="989"/>
      <c r="E304" s="989"/>
      <c r="F304" s="989"/>
      <c r="G304" s="989"/>
      <c r="H304" s="989"/>
      <c r="I304" s="989"/>
      <c r="J304" s="989"/>
      <c r="K304" s="989"/>
      <c r="L304" s="989"/>
      <c r="M304" s="989"/>
      <c r="N304" s="989"/>
      <c r="O304" s="989"/>
    </row>
    <row r="305" spans="4:15">
      <c r="D305" s="989"/>
      <c r="E305" s="989"/>
      <c r="F305" s="989"/>
      <c r="G305" s="989"/>
      <c r="H305" s="989"/>
      <c r="I305" s="989"/>
      <c r="J305" s="989"/>
      <c r="K305" s="989"/>
      <c r="L305" s="989"/>
      <c r="M305" s="989"/>
      <c r="N305" s="989"/>
      <c r="O305" s="989"/>
    </row>
    <row r="306" spans="4:15">
      <c r="D306" s="989"/>
      <c r="E306" s="989"/>
      <c r="F306" s="989"/>
      <c r="G306" s="989"/>
      <c r="H306" s="989"/>
      <c r="I306" s="989"/>
      <c r="J306" s="989"/>
      <c r="K306" s="989"/>
      <c r="L306" s="989"/>
      <c r="M306" s="989"/>
      <c r="N306" s="989"/>
      <c r="O306" s="989"/>
    </row>
    <row r="307" spans="4:15">
      <c r="D307" s="989"/>
      <c r="E307" s="989"/>
      <c r="F307" s="989"/>
      <c r="G307" s="989"/>
      <c r="H307" s="989"/>
      <c r="I307" s="989"/>
      <c r="J307" s="989"/>
      <c r="K307" s="989"/>
      <c r="L307" s="989"/>
      <c r="M307" s="989"/>
      <c r="N307" s="989"/>
      <c r="O307" s="989"/>
    </row>
    <row r="308" spans="4:15">
      <c r="D308" s="989"/>
      <c r="E308" s="989"/>
      <c r="F308" s="989"/>
      <c r="G308" s="989"/>
      <c r="H308" s="989"/>
      <c r="I308" s="989"/>
      <c r="J308" s="989"/>
      <c r="K308" s="989"/>
      <c r="L308" s="989"/>
      <c r="M308" s="989"/>
      <c r="N308" s="989"/>
      <c r="O308" s="989"/>
    </row>
    <row r="309" spans="4:15">
      <c r="D309" s="989"/>
      <c r="E309" s="989"/>
      <c r="F309" s="989"/>
      <c r="G309" s="989"/>
      <c r="H309" s="989"/>
      <c r="I309" s="989"/>
      <c r="J309" s="989"/>
      <c r="K309" s="989"/>
      <c r="L309" s="989"/>
      <c r="M309" s="989"/>
      <c r="N309" s="989"/>
      <c r="O309" s="989"/>
    </row>
    <row r="310" spans="4:15">
      <c r="D310" s="989"/>
      <c r="E310" s="989"/>
      <c r="F310" s="989"/>
      <c r="G310" s="989"/>
      <c r="H310" s="989"/>
      <c r="I310" s="989"/>
      <c r="J310" s="989"/>
      <c r="K310" s="989"/>
      <c r="L310" s="989"/>
      <c r="M310" s="989"/>
      <c r="N310" s="989"/>
      <c r="O310" s="989"/>
    </row>
    <row r="311" spans="4:15">
      <c r="D311" s="989"/>
      <c r="E311" s="989"/>
      <c r="F311" s="989"/>
      <c r="G311" s="989"/>
      <c r="H311" s="989"/>
      <c r="I311" s="989"/>
      <c r="J311" s="989"/>
      <c r="K311" s="989"/>
      <c r="L311" s="989"/>
      <c r="M311" s="989"/>
      <c r="N311" s="989"/>
      <c r="O311" s="989"/>
    </row>
    <row r="312" spans="4:15">
      <c r="D312" s="989"/>
      <c r="E312" s="989"/>
      <c r="F312" s="989"/>
      <c r="G312" s="989"/>
      <c r="H312" s="989"/>
      <c r="I312" s="989"/>
      <c r="J312" s="989"/>
      <c r="K312" s="989"/>
      <c r="L312" s="989"/>
      <c r="M312" s="989"/>
      <c r="N312" s="989"/>
      <c r="O312" s="989"/>
    </row>
    <row r="313" spans="4:15">
      <c r="D313" s="989"/>
      <c r="E313" s="989"/>
      <c r="F313" s="989"/>
      <c r="G313" s="989"/>
      <c r="H313" s="989"/>
      <c r="I313" s="989"/>
      <c r="J313" s="989"/>
      <c r="K313" s="989"/>
      <c r="L313" s="989"/>
      <c r="M313" s="989"/>
      <c r="N313" s="989"/>
      <c r="O313" s="989"/>
    </row>
    <row r="314" spans="4:15">
      <c r="D314" s="989"/>
      <c r="E314" s="989"/>
      <c r="F314" s="989"/>
      <c r="G314" s="989"/>
      <c r="H314" s="989"/>
      <c r="I314" s="989"/>
      <c r="J314" s="989"/>
      <c r="K314" s="989"/>
      <c r="L314" s="989"/>
      <c r="M314" s="989"/>
      <c r="N314" s="989"/>
      <c r="O314" s="989"/>
    </row>
    <row r="315" spans="4:15">
      <c r="D315" s="989"/>
      <c r="E315" s="989"/>
      <c r="F315" s="989"/>
      <c r="G315" s="989"/>
      <c r="H315" s="989"/>
      <c r="I315" s="989"/>
      <c r="J315" s="989"/>
      <c r="K315" s="989"/>
      <c r="L315" s="989"/>
      <c r="M315" s="989"/>
      <c r="N315" s="989"/>
      <c r="O315" s="989"/>
    </row>
    <row r="316" spans="4:15">
      <c r="D316" s="989"/>
      <c r="E316" s="989"/>
      <c r="F316" s="989"/>
      <c r="G316" s="989"/>
      <c r="H316" s="989"/>
      <c r="I316" s="989"/>
      <c r="J316" s="989"/>
      <c r="K316" s="989"/>
      <c r="L316" s="989"/>
      <c r="M316" s="989"/>
      <c r="N316" s="989"/>
      <c r="O316" s="989"/>
    </row>
    <row r="317" spans="4:15">
      <c r="D317" s="989"/>
      <c r="E317" s="989"/>
      <c r="F317" s="989"/>
      <c r="G317" s="989"/>
      <c r="H317" s="989"/>
      <c r="I317" s="989"/>
      <c r="J317" s="989"/>
      <c r="K317" s="989"/>
      <c r="L317" s="989"/>
      <c r="M317" s="989"/>
      <c r="N317" s="989"/>
      <c r="O317" s="989"/>
    </row>
    <row r="318" spans="4:15">
      <c r="D318" s="989"/>
      <c r="E318" s="989"/>
      <c r="F318" s="989"/>
      <c r="G318" s="989"/>
      <c r="H318" s="989"/>
      <c r="I318" s="989"/>
      <c r="J318" s="989"/>
      <c r="K318" s="989"/>
      <c r="L318" s="989"/>
      <c r="M318" s="989"/>
      <c r="N318" s="989"/>
      <c r="O318" s="989"/>
    </row>
    <row r="319" spans="4:15">
      <c r="D319" s="989"/>
      <c r="E319" s="989"/>
      <c r="F319" s="989"/>
      <c r="G319" s="989"/>
      <c r="H319" s="989"/>
      <c r="I319" s="989"/>
      <c r="J319" s="989"/>
      <c r="K319" s="989"/>
      <c r="L319" s="989"/>
      <c r="M319" s="989"/>
      <c r="N319" s="989"/>
      <c r="O319" s="989"/>
    </row>
    <row r="320" spans="4:15">
      <c r="D320" s="989"/>
      <c r="E320" s="989"/>
      <c r="F320" s="989"/>
      <c r="G320" s="989"/>
      <c r="H320" s="989"/>
      <c r="I320" s="989"/>
      <c r="J320" s="989"/>
      <c r="K320" s="989"/>
      <c r="L320" s="989"/>
      <c r="M320" s="989"/>
      <c r="N320" s="989"/>
      <c r="O320" s="989"/>
    </row>
    <row r="321" spans="4:15">
      <c r="D321" s="989"/>
      <c r="E321" s="989"/>
      <c r="F321" s="989"/>
      <c r="G321" s="989"/>
      <c r="H321" s="989"/>
      <c r="I321" s="989"/>
      <c r="J321" s="989"/>
      <c r="K321" s="989"/>
      <c r="L321" s="989"/>
      <c r="M321" s="989"/>
      <c r="N321" s="989"/>
      <c r="O321" s="989"/>
    </row>
    <row r="322" spans="4:15">
      <c r="D322" s="989"/>
      <c r="E322" s="989"/>
      <c r="F322" s="989"/>
      <c r="G322" s="989"/>
      <c r="H322" s="989"/>
      <c r="I322" s="989"/>
      <c r="J322" s="989"/>
      <c r="K322" s="989"/>
      <c r="L322" s="989"/>
      <c r="M322" s="989"/>
      <c r="N322" s="989"/>
      <c r="O322" s="989"/>
    </row>
    <row r="323" spans="4:15">
      <c r="D323" s="989"/>
      <c r="E323" s="989"/>
      <c r="F323" s="989"/>
      <c r="G323" s="989"/>
      <c r="H323" s="989"/>
      <c r="I323" s="989"/>
      <c r="J323" s="989"/>
      <c r="K323" s="989"/>
      <c r="L323" s="989"/>
      <c r="M323" s="989"/>
      <c r="N323" s="989"/>
      <c r="O323" s="989"/>
    </row>
    <row r="324" spans="4:15">
      <c r="D324" s="989"/>
      <c r="E324" s="989"/>
      <c r="F324" s="989"/>
      <c r="G324" s="989"/>
      <c r="H324" s="989"/>
      <c r="I324" s="989"/>
      <c r="J324" s="989"/>
      <c r="K324" s="989"/>
      <c r="L324" s="989"/>
      <c r="M324" s="989"/>
      <c r="N324" s="989"/>
      <c r="O324" s="989"/>
    </row>
    <row r="325" spans="4:15">
      <c r="D325" s="989"/>
      <c r="E325" s="989"/>
      <c r="F325" s="989"/>
      <c r="G325" s="989"/>
      <c r="H325" s="989"/>
      <c r="I325" s="989"/>
      <c r="J325" s="989"/>
      <c r="K325" s="989"/>
      <c r="L325" s="989"/>
      <c r="M325" s="989"/>
      <c r="N325" s="989"/>
      <c r="O325" s="989"/>
    </row>
    <row r="326" spans="4:15">
      <c r="D326" s="989"/>
      <c r="E326" s="989"/>
      <c r="F326" s="989"/>
      <c r="G326" s="989"/>
      <c r="H326" s="989"/>
      <c r="I326" s="989"/>
      <c r="J326" s="989"/>
      <c r="K326" s="989"/>
      <c r="L326" s="989"/>
      <c r="M326" s="989"/>
      <c r="N326" s="989"/>
      <c r="O326" s="989"/>
    </row>
    <row r="327" spans="4:15">
      <c r="D327" s="989"/>
      <c r="E327" s="989"/>
      <c r="F327" s="989"/>
      <c r="G327" s="989"/>
      <c r="H327" s="989"/>
      <c r="I327" s="989"/>
      <c r="J327" s="989"/>
      <c r="K327" s="989"/>
      <c r="L327" s="989"/>
      <c r="M327" s="989"/>
      <c r="N327" s="989"/>
      <c r="O327" s="989"/>
    </row>
    <row r="328" spans="4:15">
      <c r="D328" s="989"/>
      <c r="E328" s="989"/>
      <c r="F328" s="989"/>
      <c r="G328" s="989"/>
      <c r="H328" s="989"/>
      <c r="I328" s="989"/>
      <c r="J328" s="989"/>
      <c r="K328" s="989"/>
      <c r="L328" s="989"/>
      <c r="M328" s="989"/>
      <c r="N328" s="989"/>
      <c r="O328" s="989"/>
    </row>
    <row r="329" spans="4:15">
      <c r="D329" s="989"/>
      <c r="E329" s="989"/>
      <c r="F329" s="989"/>
      <c r="G329" s="989"/>
      <c r="H329" s="989"/>
      <c r="I329" s="989"/>
      <c r="J329" s="989"/>
      <c r="K329" s="989"/>
      <c r="L329" s="989"/>
      <c r="M329" s="989"/>
      <c r="N329" s="989"/>
      <c r="O329" s="989"/>
    </row>
    <row r="330" spans="4:15">
      <c r="D330" s="989"/>
      <c r="E330" s="989"/>
      <c r="F330" s="989"/>
      <c r="G330" s="989"/>
      <c r="H330" s="989"/>
      <c r="I330" s="989"/>
      <c r="J330" s="989"/>
      <c r="K330" s="989"/>
      <c r="L330" s="989"/>
      <c r="M330" s="989"/>
      <c r="N330" s="989"/>
      <c r="O330" s="989"/>
    </row>
    <row r="331" spans="4:15">
      <c r="D331" s="989"/>
      <c r="E331" s="989"/>
      <c r="F331" s="989"/>
      <c r="G331" s="989"/>
      <c r="H331" s="989"/>
      <c r="I331" s="989"/>
      <c r="J331" s="989"/>
      <c r="K331" s="989"/>
      <c r="L331" s="989"/>
      <c r="M331" s="989"/>
      <c r="N331" s="989"/>
      <c r="O331" s="989"/>
    </row>
    <row r="332" spans="4:15">
      <c r="D332" s="989"/>
      <c r="E332" s="989"/>
      <c r="F332" s="989"/>
      <c r="G332" s="989"/>
      <c r="H332" s="989"/>
      <c r="I332" s="989"/>
      <c r="J332" s="989"/>
      <c r="K332" s="989"/>
      <c r="L332" s="989"/>
      <c r="M332" s="989"/>
      <c r="N332" s="989"/>
      <c r="O332" s="989"/>
    </row>
    <row r="333" spans="4:15">
      <c r="D333" s="989"/>
      <c r="E333" s="989"/>
      <c r="F333" s="989"/>
      <c r="G333" s="989"/>
      <c r="H333" s="989"/>
      <c r="I333" s="989"/>
      <c r="J333" s="989"/>
      <c r="K333" s="989"/>
      <c r="L333" s="989"/>
      <c r="M333" s="989"/>
      <c r="N333" s="989"/>
      <c r="O333" s="989"/>
    </row>
    <row r="334" spans="4:15">
      <c r="D334" s="989"/>
      <c r="E334" s="989"/>
      <c r="F334" s="989"/>
      <c r="G334" s="989"/>
      <c r="H334" s="989"/>
      <c r="I334" s="989"/>
      <c r="J334" s="989"/>
      <c r="K334" s="989"/>
      <c r="L334" s="989"/>
      <c r="M334" s="989"/>
      <c r="N334" s="989"/>
      <c r="O334" s="989"/>
    </row>
    <row r="335" spans="4:15">
      <c r="D335" s="989"/>
      <c r="E335" s="989"/>
      <c r="F335" s="989"/>
      <c r="G335" s="989"/>
      <c r="H335" s="989"/>
      <c r="I335" s="989"/>
      <c r="J335" s="989"/>
      <c r="K335" s="989"/>
      <c r="L335" s="989"/>
      <c r="M335" s="989"/>
      <c r="N335" s="989"/>
      <c r="O335" s="989"/>
    </row>
    <row r="336" spans="4:15">
      <c r="D336" s="989"/>
      <c r="E336" s="989"/>
      <c r="F336" s="989"/>
      <c r="G336" s="989"/>
      <c r="H336" s="989"/>
      <c r="I336" s="989"/>
      <c r="J336" s="989"/>
      <c r="K336" s="989"/>
      <c r="L336" s="989"/>
      <c r="M336" s="989"/>
      <c r="N336" s="989"/>
      <c r="O336" s="989"/>
    </row>
    <row r="337" spans="4:15">
      <c r="D337" s="989"/>
      <c r="E337" s="989"/>
      <c r="F337" s="989"/>
      <c r="G337" s="989"/>
      <c r="H337" s="989"/>
      <c r="I337" s="989"/>
      <c r="J337" s="989"/>
      <c r="K337" s="989"/>
      <c r="L337" s="989"/>
      <c r="M337" s="989"/>
      <c r="N337" s="989"/>
      <c r="O337" s="989"/>
    </row>
    <row r="338" spans="4:15">
      <c r="D338" s="989"/>
      <c r="E338" s="989"/>
      <c r="F338" s="989"/>
      <c r="G338" s="989"/>
      <c r="H338" s="989"/>
      <c r="I338" s="989"/>
      <c r="J338" s="989"/>
      <c r="K338" s="989"/>
      <c r="L338" s="989"/>
      <c r="M338" s="989"/>
      <c r="N338" s="989"/>
      <c r="O338" s="989"/>
    </row>
    <row r="339" spans="4:15">
      <c r="D339" s="989"/>
      <c r="E339" s="989"/>
      <c r="F339" s="989"/>
      <c r="G339" s="989"/>
      <c r="H339" s="989"/>
      <c r="I339" s="989"/>
      <c r="J339" s="989"/>
      <c r="K339" s="989"/>
      <c r="L339" s="989"/>
      <c r="M339" s="989"/>
      <c r="N339" s="989"/>
      <c r="O339" s="989"/>
    </row>
    <row r="340" spans="4:15">
      <c r="D340" s="989"/>
      <c r="E340" s="989"/>
      <c r="F340" s="989"/>
      <c r="G340" s="989"/>
      <c r="H340" s="989"/>
      <c r="I340" s="989"/>
      <c r="J340" s="989"/>
      <c r="K340" s="989"/>
      <c r="L340" s="989"/>
      <c r="M340" s="989"/>
      <c r="N340" s="989"/>
      <c r="O340" s="989"/>
    </row>
    <row r="341" spans="4:15">
      <c r="D341" s="989"/>
      <c r="E341" s="989"/>
      <c r="F341" s="989"/>
      <c r="G341" s="989"/>
      <c r="H341" s="989"/>
      <c r="I341" s="989"/>
      <c r="J341" s="989"/>
      <c r="K341" s="989"/>
      <c r="L341" s="989"/>
      <c r="M341" s="989"/>
      <c r="N341" s="989"/>
      <c r="O341" s="989"/>
    </row>
    <row r="342" spans="4:15">
      <c r="D342" s="989"/>
      <c r="E342" s="989"/>
      <c r="F342" s="989"/>
      <c r="G342" s="989"/>
      <c r="H342" s="989"/>
      <c r="I342" s="989"/>
      <c r="J342" s="989"/>
      <c r="K342" s="989"/>
      <c r="L342" s="989"/>
      <c r="M342" s="989"/>
      <c r="N342" s="989"/>
      <c r="O342" s="989"/>
    </row>
    <row r="343" spans="4:15">
      <c r="D343" s="989"/>
      <c r="E343" s="989"/>
      <c r="F343" s="989"/>
      <c r="G343" s="989"/>
      <c r="H343" s="989"/>
      <c r="I343" s="989"/>
      <c r="J343" s="989"/>
      <c r="K343" s="989"/>
      <c r="L343" s="989"/>
      <c r="M343" s="989"/>
      <c r="N343" s="989"/>
      <c r="O343" s="989"/>
    </row>
    <row r="344" spans="4:15">
      <c r="D344" s="989"/>
      <c r="E344" s="989"/>
      <c r="F344" s="989"/>
      <c r="G344" s="989"/>
      <c r="H344" s="989"/>
      <c r="I344" s="989"/>
      <c r="J344" s="989"/>
      <c r="K344" s="989"/>
      <c r="L344" s="989"/>
      <c r="M344" s="989"/>
      <c r="N344" s="989"/>
      <c r="O344" s="989"/>
    </row>
    <row r="345" spans="4:15">
      <c r="D345" s="989"/>
      <c r="E345" s="989"/>
      <c r="F345" s="989"/>
      <c r="G345" s="989"/>
      <c r="H345" s="989"/>
      <c r="I345" s="989"/>
      <c r="J345" s="989"/>
      <c r="K345" s="989"/>
      <c r="L345" s="989"/>
      <c r="M345" s="989"/>
      <c r="N345" s="989"/>
      <c r="O345" s="989"/>
    </row>
    <row r="346" spans="4:15">
      <c r="D346" s="989"/>
      <c r="E346" s="989"/>
      <c r="F346" s="989"/>
      <c r="G346" s="989"/>
      <c r="H346" s="989"/>
      <c r="I346" s="989"/>
      <c r="J346" s="989"/>
      <c r="K346" s="989"/>
      <c r="L346" s="989"/>
      <c r="M346" s="989"/>
      <c r="N346" s="989"/>
      <c r="O346" s="989"/>
    </row>
    <row r="347" spans="4:15">
      <c r="D347" s="989"/>
      <c r="E347" s="989"/>
      <c r="F347" s="989"/>
      <c r="G347" s="989"/>
      <c r="H347" s="989"/>
      <c r="I347" s="989"/>
      <c r="J347" s="989"/>
      <c r="K347" s="989"/>
      <c r="L347" s="989"/>
      <c r="M347" s="989"/>
      <c r="N347" s="989"/>
      <c r="O347" s="989"/>
    </row>
    <row r="348" spans="4:15">
      <c r="D348" s="989"/>
      <c r="E348" s="989"/>
      <c r="F348" s="989"/>
      <c r="G348" s="989"/>
      <c r="H348" s="989"/>
      <c r="I348" s="989"/>
      <c r="J348" s="989"/>
      <c r="K348" s="989"/>
      <c r="L348" s="989"/>
      <c r="M348" s="989"/>
      <c r="N348" s="989"/>
      <c r="O348" s="989"/>
    </row>
    <row r="349" spans="4:15">
      <c r="D349" s="989"/>
      <c r="E349" s="989"/>
      <c r="F349" s="989"/>
      <c r="G349" s="989"/>
      <c r="H349" s="989"/>
      <c r="I349" s="989"/>
      <c r="J349" s="989"/>
      <c r="K349" s="989"/>
      <c r="L349" s="989"/>
      <c r="M349" s="989"/>
      <c r="N349" s="989"/>
      <c r="O349" s="989"/>
    </row>
    <row r="350" spans="4:15">
      <c r="D350" s="989"/>
      <c r="E350" s="989"/>
      <c r="F350" s="989"/>
      <c r="G350" s="989"/>
      <c r="H350" s="989"/>
      <c r="I350" s="989"/>
      <c r="J350" s="989"/>
      <c r="K350" s="989"/>
      <c r="L350" s="989"/>
      <c r="M350" s="989"/>
      <c r="N350" s="989"/>
      <c r="O350" s="989"/>
    </row>
    <row r="351" spans="4:15">
      <c r="D351" s="989"/>
      <c r="E351" s="989"/>
      <c r="F351" s="989"/>
      <c r="G351" s="989"/>
      <c r="H351" s="989"/>
      <c r="I351" s="989"/>
      <c r="J351" s="989"/>
      <c r="K351" s="989"/>
      <c r="L351" s="989"/>
      <c r="M351" s="989"/>
      <c r="N351" s="989"/>
      <c r="O351" s="989"/>
    </row>
    <row r="352" spans="4:15">
      <c r="D352" s="989"/>
      <c r="E352" s="989"/>
      <c r="F352" s="989"/>
      <c r="G352" s="989"/>
      <c r="H352" s="989"/>
      <c r="I352" s="989"/>
      <c r="J352" s="989"/>
      <c r="K352" s="989"/>
      <c r="L352" s="989"/>
      <c r="M352" s="989"/>
      <c r="N352" s="989"/>
      <c r="O352" s="989"/>
    </row>
    <row r="353" spans="4:15">
      <c r="D353" s="989"/>
      <c r="E353" s="989"/>
      <c r="F353" s="989"/>
      <c r="G353" s="989"/>
      <c r="H353" s="989"/>
      <c r="I353" s="989"/>
      <c r="J353" s="989"/>
      <c r="K353" s="989"/>
      <c r="L353" s="989"/>
      <c r="M353" s="989"/>
      <c r="N353" s="989"/>
      <c r="O353" s="989"/>
    </row>
    <row r="354" spans="4:15">
      <c r="D354" s="989"/>
      <c r="E354" s="989"/>
      <c r="F354" s="989"/>
      <c r="G354" s="989"/>
      <c r="H354" s="989"/>
      <c r="I354" s="989"/>
      <c r="J354" s="989"/>
      <c r="K354" s="989"/>
      <c r="L354" s="989"/>
      <c r="M354" s="989"/>
      <c r="N354" s="989"/>
      <c r="O354" s="989"/>
    </row>
    <row r="355" spans="4:15">
      <c r="D355" s="989"/>
      <c r="E355" s="989"/>
      <c r="F355" s="989"/>
      <c r="G355" s="989"/>
      <c r="H355" s="989"/>
      <c r="I355" s="989"/>
      <c r="J355" s="989"/>
      <c r="K355" s="989"/>
      <c r="L355" s="989"/>
      <c r="M355" s="989"/>
      <c r="N355" s="989"/>
      <c r="O355" s="989"/>
    </row>
    <row r="356" spans="4:15">
      <c r="D356" s="989"/>
      <c r="E356" s="989"/>
      <c r="F356" s="989"/>
      <c r="G356" s="989"/>
      <c r="H356" s="989"/>
      <c r="I356" s="989"/>
      <c r="J356" s="989"/>
      <c r="K356" s="989"/>
      <c r="L356" s="989"/>
      <c r="M356" s="989"/>
      <c r="N356" s="989"/>
      <c r="O356" s="989"/>
    </row>
    <row r="357" spans="4:15">
      <c r="D357" s="989"/>
      <c r="E357" s="989"/>
      <c r="F357" s="989"/>
      <c r="G357" s="989"/>
      <c r="H357" s="989"/>
      <c r="I357" s="989"/>
      <c r="J357" s="989"/>
      <c r="K357" s="989"/>
      <c r="L357" s="989"/>
      <c r="M357" s="989"/>
      <c r="N357" s="989"/>
      <c r="O357" s="989"/>
    </row>
    <row r="358" spans="4:15">
      <c r="D358" s="989"/>
      <c r="E358" s="989"/>
      <c r="F358" s="989"/>
      <c r="G358" s="989"/>
      <c r="H358" s="989"/>
      <c r="I358" s="989"/>
      <c r="J358" s="989"/>
      <c r="K358" s="989"/>
      <c r="L358" s="989"/>
      <c r="M358" s="989"/>
      <c r="N358" s="989"/>
      <c r="O358" s="989"/>
    </row>
    <row r="359" spans="4:15">
      <c r="D359" s="989"/>
      <c r="E359" s="989"/>
      <c r="F359" s="989"/>
      <c r="G359" s="989"/>
      <c r="H359" s="989"/>
      <c r="I359" s="989"/>
      <c r="J359" s="989"/>
      <c r="K359" s="989"/>
      <c r="L359" s="989"/>
      <c r="M359" s="989"/>
      <c r="N359" s="989"/>
      <c r="O359" s="989"/>
    </row>
    <row r="360" spans="4:15">
      <c r="D360" s="989"/>
      <c r="E360" s="989"/>
      <c r="F360" s="989"/>
      <c r="G360" s="989"/>
      <c r="H360" s="989"/>
      <c r="I360" s="989"/>
      <c r="J360" s="989"/>
      <c r="K360" s="989"/>
      <c r="L360" s="989"/>
      <c r="M360" s="989"/>
      <c r="N360" s="989"/>
      <c r="O360" s="989"/>
    </row>
    <row r="361" spans="4:15">
      <c r="D361" s="989"/>
      <c r="E361" s="989"/>
      <c r="F361" s="989"/>
      <c r="G361" s="989"/>
      <c r="H361" s="989"/>
      <c r="I361" s="989"/>
      <c r="J361" s="989"/>
      <c r="K361" s="989"/>
      <c r="L361" s="989"/>
      <c r="M361" s="989"/>
      <c r="N361" s="989"/>
      <c r="O361" s="989"/>
    </row>
    <row r="362" spans="4:15">
      <c r="D362" s="989"/>
      <c r="E362" s="989"/>
      <c r="F362" s="989"/>
      <c r="G362" s="989"/>
      <c r="H362" s="989"/>
      <c r="I362" s="989"/>
      <c r="J362" s="989"/>
      <c r="K362" s="989"/>
      <c r="L362" s="989"/>
      <c r="M362" s="989"/>
      <c r="N362" s="989"/>
      <c r="O362" s="989"/>
    </row>
    <row r="363" spans="4:15">
      <c r="D363" s="989"/>
      <c r="E363" s="989"/>
      <c r="F363" s="989"/>
      <c r="G363" s="989"/>
      <c r="H363" s="989"/>
      <c r="I363" s="989"/>
      <c r="J363" s="989"/>
      <c r="K363" s="989"/>
      <c r="L363" s="989"/>
      <c r="M363" s="989"/>
      <c r="N363" s="989"/>
      <c r="O363" s="989"/>
    </row>
    <row r="364" spans="4:15">
      <c r="D364" s="989"/>
      <c r="E364" s="989"/>
      <c r="F364" s="989"/>
      <c r="G364" s="989"/>
      <c r="H364" s="989"/>
      <c r="I364" s="989"/>
      <c r="J364" s="989"/>
      <c r="K364" s="989"/>
      <c r="L364" s="989"/>
      <c r="M364" s="989"/>
      <c r="N364" s="989"/>
      <c r="O364" s="989"/>
    </row>
    <row r="365" spans="4:15">
      <c r="D365" s="989"/>
      <c r="E365" s="989"/>
      <c r="F365" s="989"/>
      <c r="G365" s="989"/>
      <c r="H365" s="989"/>
      <c r="I365" s="989"/>
      <c r="J365" s="989"/>
      <c r="K365" s="989"/>
      <c r="L365" s="989"/>
      <c r="M365" s="989"/>
      <c r="N365" s="989"/>
      <c r="O365" s="989"/>
    </row>
    <row r="366" spans="4:15">
      <c r="D366" s="989"/>
      <c r="E366" s="989"/>
      <c r="F366" s="989"/>
      <c r="G366" s="989"/>
      <c r="H366" s="989"/>
      <c r="I366" s="989"/>
      <c r="J366" s="989"/>
      <c r="K366" s="989"/>
      <c r="L366" s="989"/>
      <c r="M366" s="989"/>
      <c r="N366" s="989"/>
      <c r="O366" s="989"/>
    </row>
    <row r="367" spans="4:15">
      <c r="D367" s="989"/>
      <c r="E367" s="989"/>
      <c r="F367" s="989"/>
      <c r="G367" s="989"/>
      <c r="H367" s="989"/>
      <c r="I367" s="989"/>
      <c r="J367" s="989"/>
      <c r="K367" s="989"/>
      <c r="L367" s="989"/>
      <c r="M367" s="989"/>
      <c r="N367" s="989"/>
      <c r="O367" s="989"/>
    </row>
    <row r="368" spans="4:15">
      <c r="D368" s="989"/>
      <c r="E368" s="989"/>
      <c r="F368" s="989"/>
      <c r="G368" s="989"/>
      <c r="H368" s="989"/>
      <c r="I368" s="989"/>
      <c r="J368" s="989"/>
      <c r="K368" s="989"/>
      <c r="L368" s="989"/>
      <c r="M368" s="989"/>
      <c r="N368" s="989"/>
      <c r="O368" s="989"/>
    </row>
    <row r="369" spans="4:15">
      <c r="D369" s="989"/>
      <c r="E369" s="989"/>
      <c r="F369" s="989"/>
      <c r="G369" s="989"/>
      <c r="H369" s="989"/>
      <c r="I369" s="989"/>
      <c r="J369" s="989"/>
      <c r="K369" s="989"/>
      <c r="L369" s="989"/>
      <c r="M369" s="989"/>
      <c r="N369" s="989"/>
      <c r="O369" s="989"/>
    </row>
    <row r="370" spans="4:15">
      <c r="D370" s="989"/>
      <c r="E370" s="989"/>
      <c r="F370" s="989"/>
      <c r="G370" s="989"/>
      <c r="H370" s="989"/>
      <c r="I370" s="989"/>
      <c r="J370" s="989"/>
      <c r="K370" s="989"/>
      <c r="L370" s="989"/>
      <c r="M370" s="989"/>
      <c r="N370" s="989"/>
      <c r="O370" s="989"/>
    </row>
    <row r="371" spans="4:15">
      <c r="D371" s="989"/>
      <c r="E371" s="989"/>
      <c r="F371" s="989"/>
      <c r="G371" s="989"/>
      <c r="H371" s="989"/>
      <c r="I371" s="989"/>
      <c r="J371" s="989"/>
      <c r="K371" s="989"/>
      <c r="L371" s="989"/>
      <c r="M371" s="989"/>
      <c r="N371" s="989"/>
      <c r="O371" s="989"/>
    </row>
    <row r="372" spans="4:15">
      <c r="D372" s="989"/>
      <c r="E372" s="989"/>
      <c r="F372" s="989"/>
      <c r="G372" s="989"/>
      <c r="H372" s="989"/>
      <c r="I372" s="989"/>
      <c r="J372" s="989"/>
      <c r="K372" s="989"/>
      <c r="L372" s="989"/>
      <c r="M372" s="989"/>
      <c r="N372" s="989"/>
      <c r="O372" s="989"/>
    </row>
    <row r="373" spans="4:15">
      <c r="D373" s="989"/>
      <c r="E373" s="989"/>
      <c r="F373" s="989"/>
      <c r="G373" s="989"/>
      <c r="H373" s="989"/>
      <c r="I373" s="989"/>
      <c r="J373" s="989"/>
      <c r="K373" s="989"/>
      <c r="L373" s="989"/>
      <c r="M373" s="989"/>
      <c r="N373" s="989"/>
      <c r="O373" s="989"/>
    </row>
    <row r="374" spans="4:15">
      <c r="D374" s="989"/>
      <c r="E374" s="989"/>
      <c r="F374" s="989"/>
      <c r="G374" s="989"/>
      <c r="H374" s="989"/>
      <c r="I374" s="989"/>
      <c r="J374" s="989"/>
      <c r="K374" s="989"/>
      <c r="L374" s="989"/>
      <c r="M374" s="989"/>
      <c r="N374" s="989"/>
      <c r="O374" s="989"/>
    </row>
    <row r="375" spans="4:15">
      <c r="D375" s="989"/>
      <c r="E375" s="989"/>
      <c r="F375" s="989"/>
      <c r="G375" s="989"/>
      <c r="H375" s="989"/>
      <c r="I375" s="989"/>
      <c r="J375" s="989"/>
      <c r="K375" s="989"/>
      <c r="L375" s="989"/>
      <c r="M375" s="989"/>
      <c r="N375" s="989"/>
      <c r="O375" s="989"/>
    </row>
    <row r="376" spans="4:15">
      <c r="D376" s="989"/>
      <c r="E376" s="989"/>
      <c r="F376" s="989"/>
      <c r="G376" s="989"/>
      <c r="H376" s="989"/>
      <c r="I376" s="989"/>
      <c r="J376" s="989"/>
      <c r="K376" s="989"/>
      <c r="L376" s="989"/>
      <c r="M376" s="989"/>
      <c r="N376" s="989"/>
      <c r="O376" s="989"/>
    </row>
    <row r="377" spans="4:15">
      <c r="D377" s="989"/>
      <c r="E377" s="989"/>
      <c r="F377" s="989"/>
      <c r="G377" s="989"/>
      <c r="H377" s="989"/>
      <c r="I377" s="989"/>
      <c r="J377" s="989"/>
      <c r="K377" s="989"/>
      <c r="L377" s="989"/>
      <c r="M377" s="989"/>
      <c r="N377" s="989"/>
      <c r="O377" s="989"/>
    </row>
    <row r="378" spans="4:15">
      <c r="D378" s="989"/>
      <c r="E378" s="989"/>
      <c r="F378" s="989"/>
      <c r="G378" s="989"/>
      <c r="H378" s="989"/>
      <c r="I378" s="989"/>
      <c r="J378" s="989"/>
      <c r="K378" s="989"/>
      <c r="L378" s="989"/>
      <c r="M378" s="989"/>
      <c r="N378" s="989"/>
      <c r="O378" s="989"/>
    </row>
    <row r="379" spans="4:15">
      <c r="D379" s="989"/>
      <c r="E379" s="989"/>
      <c r="F379" s="989"/>
      <c r="G379" s="989"/>
      <c r="H379" s="989"/>
      <c r="I379" s="989"/>
      <c r="J379" s="989"/>
      <c r="K379" s="989"/>
      <c r="L379" s="989"/>
      <c r="M379" s="989"/>
      <c r="N379" s="989"/>
      <c r="O379" s="989"/>
    </row>
    <row r="380" spans="4:15">
      <c r="D380" s="989"/>
      <c r="E380" s="989"/>
      <c r="F380" s="989"/>
      <c r="G380" s="989"/>
      <c r="H380" s="989"/>
      <c r="I380" s="989"/>
      <c r="J380" s="989"/>
      <c r="K380" s="989"/>
      <c r="L380" s="989"/>
      <c r="M380" s="989"/>
      <c r="N380" s="989"/>
      <c r="O380" s="989"/>
    </row>
    <row r="381" spans="4:15">
      <c r="D381" s="989"/>
      <c r="E381" s="989"/>
      <c r="F381" s="989"/>
      <c r="G381" s="989"/>
      <c r="H381" s="989"/>
      <c r="I381" s="989"/>
      <c r="J381" s="989"/>
      <c r="K381" s="989"/>
      <c r="L381" s="989"/>
      <c r="M381" s="989"/>
      <c r="N381" s="989"/>
      <c r="O381" s="989"/>
    </row>
    <row r="382" spans="4:15">
      <c r="D382" s="989"/>
      <c r="E382" s="989"/>
      <c r="F382" s="989"/>
      <c r="G382" s="989"/>
      <c r="H382" s="989"/>
      <c r="I382" s="989"/>
      <c r="J382" s="989"/>
      <c r="K382" s="989"/>
      <c r="L382" s="989"/>
      <c r="M382" s="989"/>
      <c r="N382" s="989"/>
      <c r="O382" s="989"/>
    </row>
    <row r="383" spans="4:15">
      <c r="D383" s="989"/>
      <c r="E383" s="989"/>
      <c r="F383" s="989"/>
      <c r="G383" s="989"/>
      <c r="H383" s="989"/>
      <c r="I383" s="989"/>
      <c r="J383" s="989"/>
      <c r="K383" s="989"/>
      <c r="L383" s="989"/>
      <c r="M383" s="989"/>
      <c r="N383" s="989"/>
      <c r="O383" s="989"/>
    </row>
    <row r="384" spans="4:15">
      <c r="D384" s="989"/>
      <c r="E384" s="989"/>
      <c r="F384" s="989"/>
      <c r="G384" s="989"/>
      <c r="H384" s="989"/>
      <c r="I384" s="989"/>
      <c r="J384" s="989"/>
      <c r="K384" s="989"/>
      <c r="L384" s="989"/>
      <c r="M384" s="989"/>
      <c r="N384" s="989"/>
      <c r="O384" s="989"/>
    </row>
    <row r="385" spans="4:15">
      <c r="D385" s="989"/>
      <c r="E385" s="989"/>
      <c r="F385" s="989"/>
      <c r="G385" s="989"/>
      <c r="H385" s="989"/>
      <c r="I385" s="989"/>
      <c r="J385" s="989"/>
      <c r="K385" s="989"/>
      <c r="L385" s="989"/>
      <c r="M385" s="989"/>
      <c r="N385" s="989"/>
      <c r="O385" s="989"/>
    </row>
    <row r="386" spans="4:15">
      <c r="D386" s="989"/>
      <c r="E386" s="989"/>
      <c r="F386" s="989"/>
      <c r="G386" s="989"/>
      <c r="H386" s="989"/>
      <c r="I386" s="989"/>
      <c r="J386" s="989"/>
      <c r="K386" s="989"/>
      <c r="L386" s="989"/>
      <c r="M386" s="989"/>
      <c r="N386" s="989"/>
      <c r="O386" s="989"/>
    </row>
    <row r="387" spans="4:15">
      <c r="D387" s="989"/>
      <c r="E387" s="989"/>
      <c r="F387" s="989"/>
      <c r="G387" s="989"/>
      <c r="H387" s="989"/>
      <c r="I387" s="989"/>
      <c r="J387" s="989"/>
      <c r="K387" s="989"/>
      <c r="L387" s="989"/>
      <c r="M387" s="989"/>
      <c r="N387" s="989"/>
      <c r="O387" s="989"/>
    </row>
    <row r="388" spans="4:15">
      <c r="D388" s="989"/>
      <c r="E388" s="989"/>
      <c r="F388" s="989"/>
      <c r="G388" s="989"/>
      <c r="H388" s="989"/>
      <c r="I388" s="989"/>
      <c r="J388" s="989"/>
      <c r="K388" s="989"/>
      <c r="L388" s="989"/>
      <c r="M388" s="989"/>
      <c r="N388" s="989"/>
      <c r="O388" s="989"/>
    </row>
    <row r="389" spans="4:15">
      <c r="D389" s="989"/>
      <c r="E389" s="989"/>
      <c r="F389" s="989"/>
      <c r="G389" s="989"/>
      <c r="H389" s="989"/>
      <c r="I389" s="989"/>
      <c r="J389" s="989"/>
      <c r="K389" s="989"/>
      <c r="L389" s="989"/>
      <c r="M389" s="989"/>
      <c r="N389" s="989"/>
      <c r="O389" s="989"/>
    </row>
    <row r="390" spans="4:15">
      <c r="D390" s="989"/>
      <c r="E390" s="989"/>
      <c r="F390" s="989"/>
      <c r="G390" s="989"/>
      <c r="H390" s="989"/>
      <c r="I390" s="989"/>
      <c r="J390" s="989"/>
      <c r="K390" s="989"/>
      <c r="L390" s="989"/>
      <c r="M390" s="989"/>
      <c r="N390" s="989"/>
      <c r="O390" s="989"/>
    </row>
    <row r="391" spans="4:15">
      <c r="D391" s="989"/>
      <c r="E391" s="989"/>
      <c r="F391" s="989"/>
      <c r="G391" s="989"/>
      <c r="H391" s="989"/>
      <c r="I391" s="989"/>
      <c r="J391" s="989"/>
      <c r="K391" s="989"/>
      <c r="L391" s="989"/>
      <c r="M391" s="989"/>
      <c r="N391" s="989"/>
      <c r="O391" s="989"/>
    </row>
    <row r="392" spans="4:15">
      <c r="D392" s="989"/>
      <c r="E392" s="989"/>
      <c r="F392" s="989"/>
      <c r="G392" s="989"/>
      <c r="H392" s="989"/>
      <c r="I392" s="989"/>
      <c r="J392" s="989"/>
      <c r="K392" s="989"/>
      <c r="L392" s="989"/>
      <c r="M392" s="989"/>
      <c r="N392" s="989"/>
      <c r="O392" s="989"/>
    </row>
    <row r="393" spans="4:15">
      <c r="D393" s="989"/>
      <c r="E393" s="989"/>
      <c r="F393" s="989"/>
      <c r="G393" s="989"/>
      <c r="H393" s="989"/>
      <c r="I393" s="989"/>
      <c r="J393" s="989"/>
      <c r="K393" s="989"/>
      <c r="L393" s="989"/>
      <c r="M393" s="989"/>
      <c r="N393" s="989"/>
      <c r="O393" s="989"/>
    </row>
    <row r="394" spans="4:15">
      <c r="D394" s="989"/>
      <c r="E394" s="989"/>
      <c r="F394" s="989"/>
      <c r="G394" s="989"/>
      <c r="H394" s="989"/>
      <c r="I394" s="989"/>
      <c r="J394" s="989"/>
      <c r="K394" s="989"/>
      <c r="L394" s="989"/>
      <c r="M394" s="989"/>
      <c r="N394" s="989"/>
      <c r="O394" s="989"/>
    </row>
    <row r="395" spans="4:15">
      <c r="D395" s="989"/>
      <c r="E395" s="989"/>
      <c r="F395" s="989"/>
      <c r="G395" s="989"/>
      <c r="H395" s="989"/>
      <c r="I395" s="989"/>
      <c r="J395" s="989"/>
      <c r="K395" s="989"/>
      <c r="L395" s="989"/>
      <c r="M395" s="989"/>
      <c r="N395" s="989"/>
      <c r="O395" s="989"/>
    </row>
  </sheetData>
  <mergeCells count="7">
    <mergeCell ref="A1:P1"/>
    <mergeCell ref="A3:P3"/>
    <mergeCell ref="A5:P5"/>
    <mergeCell ref="C38:M38"/>
    <mergeCell ref="A32:M32"/>
    <mergeCell ref="A34:M34"/>
    <mergeCell ref="A36:M36"/>
  </mergeCells>
  <phoneticPr fontId="19" type="noConversion"/>
  <pageMargins left="0.98425196850393704" right="0.78740157480314965" top="1.1811023622047245" bottom="0.59055118110236227" header="0.51181102362204722" footer="0.51181102362204722"/>
  <pageSetup paperSize="5" scale="85" orientation="landscape" horizontalDpi="300" verticalDpi="300" r:id="rId1"/>
  <headerFooter alignWithMargins="0"/>
  <ignoredErrors>
    <ignoredError sqref="H10:H11 H13 H17:H27" formulaRange="1"/>
  </ignoredError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0"/>
  <sheetViews>
    <sheetView zoomScale="70" workbookViewId="0">
      <selection activeCell="R25" sqref="R25"/>
    </sheetView>
  </sheetViews>
  <sheetFormatPr baseColWidth="10" defaultColWidth="11.42578125" defaultRowHeight="12.75"/>
  <cols>
    <col min="1" max="1" width="9.42578125" style="989" customWidth="1"/>
    <col min="2" max="2" width="26.85546875" style="989" customWidth="1"/>
    <col min="3" max="3" width="9.85546875" style="989" customWidth="1"/>
    <col min="4" max="4" width="9.7109375" style="989" customWidth="1"/>
    <col min="5" max="5" width="9.28515625" style="989" customWidth="1"/>
    <col min="6" max="6" width="9.5703125" style="989" customWidth="1"/>
    <col min="7" max="7" width="9.28515625" style="989" customWidth="1"/>
    <col min="8" max="8" width="10.28515625" style="989" customWidth="1"/>
    <col min="9" max="10" width="9.7109375" style="989" customWidth="1"/>
    <col min="11" max="11" width="10" style="989" customWidth="1"/>
    <col min="12" max="12" width="9" style="989" customWidth="1"/>
    <col min="13" max="13" width="8.5703125" style="989" customWidth="1"/>
    <col min="14" max="14" width="9.140625" style="989" customWidth="1"/>
    <col min="15" max="15" width="8.28515625" style="989" customWidth="1"/>
    <col min="16" max="16" width="9.85546875" style="989" customWidth="1"/>
    <col min="17" max="16384" width="11.42578125" style="989"/>
  </cols>
  <sheetData>
    <row r="1" spans="1:16">
      <c r="A1" s="1484" t="s">
        <v>212</v>
      </c>
      <c r="B1" s="1484"/>
      <c r="C1" s="1484"/>
      <c r="D1" s="1484"/>
      <c r="E1" s="1484"/>
      <c r="F1" s="1484"/>
      <c r="G1" s="1484"/>
      <c r="H1" s="1484"/>
      <c r="I1" s="1484"/>
      <c r="J1" s="1484"/>
      <c r="K1" s="1484"/>
      <c r="L1" s="1484"/>
      <c r="M1" s="1484"/>
      <c r="N1" s="1484"/>
      <c r="O1" s="1484"/>
      <c r="P1" s="1484"/>
    </row>
    <row r="2" spans="1:16">
      <c r="A2" s="1004"/>
      <c r="B2" s="1015"/>
    </row>
    <row r="3" spans="1:16">
      <c r="A3" s="1484" t="str">
        <f>+'89'!A3</f>
        <v>SERVICIO DE SALUD   ACONCAGUA   2015</v>
      </c>
      <c r="B3" s="1484"/>
      <c r="C3" s="1484"/>
      <c r="D3" s="1484"/>
      <c r="E3" s="1484"/>
      <c r="F3" s="1484"/>
      <c r="G3" s="1484"/>
      <c r="H3" s="1484"/>
      <c r="I3" s="1484"/>
      <c r="J3" s="1484"/>
      <c r="K3" s="1484"/>
      <c r="L3" s="1484"/>
      <c r="M3" s="1484"/>
      <c r="N3" s="1484"/>
      <c r="O3" s="1484"/>
      <c r="P3" s="1484"/>
    </row>
    <row r="4" spans="1:16">
      <c r="A4" s="1004"/>
      <c r="B4" s="1015"/>
    </row>
    <row r="5" spans="1:16">
      <c r="A5" s="1484" t="s">
        <v>234</v>
      </c>
      <c r="B5" s="1484"/>
      <c r="C5" s="1484"/>
      <c r="D5" s="1484"/>
      <c r="E5" s="1484"/>
      <c r="F5" s="1484"/>
      <c r="G5" s="1484"/>
      <c r="H5" s="1484"/>
      <c r="I5" s="1484"/>
      <c r="J5" s="1484"/>
      <c r="K5" s="1484"/>
      <c r="L5" s="1484"/>
      <c r="M5" s="1484"/>
      <c r="N5" s="1484"/>
      <c r="O5" s="1484"/>
      <c r="P5" s="1484"/>
    </row>
    <row r="6" spans="1:16">
      <c r="A6" s="1016"/>
    </row>
    <row r="7" spans="1:16" ht="18.75" customHeight="1">
      <c r="A7" s="1017" t="s">
        <v>701</v>
      </c>
      <c r="B7" s="986"/>
      <c r="C7" s="1481" t="s">
        <v>702</v>
      </c>
      <c r="D7" s="1482"/>
      <c r="E7" s="1482"/>
      <c r="F7" s="1482"/>
      <c r="G7" s="1482"/>
      <c r="H7" s="1482"/>
      <c r="I7" s="1482"/>
      <c r="J7" s="1482"/>
      <c r="K7" s="1482"/>
      <c r="L7" s="1482"/>
      <c r="M7" s="1482"/>
      <c r="N7" s="1482"/>
      <c r="O7" s="1482"/>
      <c r="P7" s="1483"/>
    </row>
    <row r="8" spans="1:16" ht="23.25" customHeight="1">
      <c r="A8" s="1018" t="s">
        <v>703</v>
      </c>
      <c r="B8" s="1019" t="s">
        <v>704</v>
      </c>
      <c r="C8" s="984" t="s">
        <v>705</v>
      </c>
      <c r="D8" s="1020" t="s">
        <v>649</v>
      </c>
      <c r="E8" s="1008" t="s">
        <v>706</v>
      </c>
      <c r="F8" s="1008" t="s">
        <v>707</v>
      </c>
      <c r="G8" s="1008" t="s">
        <v>447</v>
      </c>
      <c r="H8" s="984" t="s">
        <v>708</v>
      </c>
      <c r="I8" s="1008" t="s">
        <v>709</v>
      </c>
      <c r="J8" s="1008" t="s">
        <v>411</v>
      </c>
      <c r="K8" s="1008" t="s">
        <v>429</v>
      </c>
      <c r="L8" s="1008" t="s">
        <v>434</v>
      </c>
      <c r="M8" s="1008" t="s">
        <v>710</v>
      </c>
      <c r="N8" s="1008" t="s">
        <v>436</v>
      </c>
      <c r="O8" s="1008" t="s">
        <v>711</v>
      </c>
      <c r="P8" s="1009" t="s">
        <v>535</v>
      </c>
    </row>
    <row r="9" spans="1:16">
      <c r="A9" s="1021"/>
      <c r="B9" s="1022"/>
      <c r="C9" s="986"/>
      <c r="D9" s="985"/>
      <c r="E9" s="985"/>
      <c r="F9" s="985"/>
      <c r="G9" s="985"/>
      <c r="H9" s="986"/>
      <c r="I9" s="985"/>
      <c r="J9" s="985"/>
      <c r="K9" s="985"/>
      <c r="L9" s="985"/>
      <c r="M9" s="985"/>
      <c r="N9" s="985"/>
      <c r="O9" s="985"/>
      <c r="P9" s="1010"/>
    </row>
    <row r="10" spans="1:16" ht="18" customHeight="1">
      <c r="A10" s="1023" t="s">
        <v>738</v>
      </c>
      <c r="B10" s="1024" t="s">
        <v>739</v>
      </c>
      <c r="C10" s="988">
        <f>SUM(D10:G10)</f>
        <v>0</v>
      </c>
      <c r="D10" s="987"/>
      <c r="E10" s="987"/>
      <c r="F10" s="987"/>
      <c r="G10" s="987"/>
      <c r="H10" s="988">
        <f>SUM(I10:N10)</f>
        <v>56</v>
      </c>
      <c r="M10" s="989">
        <v>40</v>
      </c>
      <c r="N10" s="989">
        <v>16</v>
      </c>
      <c r="O10" s="989">
        <v>1</v>
      </c>
      <c r="P10" s="1025">
        <f>+O10+H10+C10</f>
        <v>57</v>
      </c>
    </row>
    <row r="11" spans="1:16" ht="20.25" customHeight="1">
      <c r="A11" s="1023" t="s">
        <v>714</v>
      </c>
      <c r="B11" s="1024" t="s">
        <v>715</v>
      </c>
      <c r="C11" s="988">
        <f t="shared" ref="C11:C27" si="0">SUM(D11:G11)</f>
        <v>0</v>
      </c>
      <c r="D11" s="987"/>
      <c r="E11" s="987"/>
      <c r="F11" s="987"/>
      <c r="G11" s="987"/>
      <c r="H11" s="988">
        <f t="shared" ref="H11:H27" si="1">SUM(I11:N11)</f>
        <v>46</v>
      </c>
      <c r="M11" s="989">
        <v>33</v>
      </c>
      <c r="N11" s="989">
        <v>13</v>
      </c>
      <c r="O11" s="989">
        <v>1</v>
      </c>
      <c r="P11" s="1025">
        <f t="shared" ref="P11:P27" si="2">+O11+H11+C11</f>
        <v>47</v>
      </c>
    </row>
    <row r="12" spans="1:16" ht="19.5" customHeight="1">
      <c r="A12" s="1023" t="s">
        <v>213</v>
      </c>
      <c r="B12" s="1024" t="s">
        <v>214</v>
      </c>
      <c r="C12" s="988">
        <f t="shared" si="0"/>
        <v>0</v>
      </c>
      <c r="D12" s="987"/>
      <c r="E12" s="987"/>
      <c r="F12" s="987"/>
      <c r="G12" s="987"/>
      <c r="H12" s="988">
        <f t="shared" si="1"/>
        <v>10</v>
      </c>
      <c r="M12" s="989">
        <v>5</v>
      </c>
      <c r="N12" s="989">
        <v>5</v>
      </c>
      <c r="P12" s="1025">
        <f t="shared" si="2"/>
        <v>10</v>
      </c>
    </row>
    <row r="13" spans="1:16" ht="20.25" customHeight="1">
      <c r="A13" s="1023" t="s">
        <v>742</v>
      </c>
      <c r="B13" s="1024" t="s">
        <v>743</v>
      </c>
      <c r="C13" s="988">
        <f t="shared" si="0"/>
        <v>1</v>
      </c>
      <c r="D13" s="987">
        <v>1</v>
      </c>
      <c r="E13" s="987"/>
      <c r="F13" s="987"/>
      <c r="G13" s="987"/>
      <c r="H13" s="988">
        <f t="shared" si="1"/>
        <v>76</v>
      </c>
      <c r="I13" s="989">
        <v>1</v>
      </c>
      <c r="M13" s="989">
        <v>46</v>
      </c>
      <c r="N13" s="989">
        <v>29</v>
      </c>
      <c r="P13" s="1025">
        <f t="shared" si="2"/>
        <v>77</v>
      </c>
    </row>
    <row r="14" spans="1:16" ht="19.5" customHeight="1">
      <c r="A14" s="1023" t="s">
        <v>215</v>
      </c>
      <c r="B14" s="1024" t="s">
        <v>216</v>
      </c>
      <c r="C14" s="988">
        <f t="shared" si="0"/>
        <v>1</v>
      </c>
      <c r="D14" s="987">
        <v>1</v>
      </c>
      <c r="E14" s="987"/>
      <c r="F14" s="987"/>
      <c r="G14" s="987"/>
      <c r="H14" s="988">
        <f t="shared" si="1"/>
        <v>42</v>
      </c>
      <c r="J14" s="989">
        <v>1</v>
      </c>
      <c r="M14" s="989">
        <v>32</v>
      </c>
      <c r="N14" s="989">
        <v>9</v>
      </c>
      <c r="P14" s="1025">
        <f t="shared" si="2"/>
        <v>43</v>
      </c>
    </row>
    <row r="15" spans="1:16" ht="19.5" customHeight="1">
      <c r="A15" s="1023" t="s">
        <v>217</v>
      </c>
      <c r="B15" s="1024" t="s">
        <v>218</v>
      </c>
      <c r="C15" s="988">
        <f t="shared" si="0"/>
        <v>1</v>
      </c>
      <c r="D15" s="987">
        <v>1</v>
      </c>
      <c r="E15" s="987"/>
      <c r="F15" s="987"/>
      <c r="G15" s="987"/>
      <c r="H15" s="988">
        <f t="shared" si="1"/>
        <v>17</v>
      </c>
      <c r="M15" s="989">
        <v>12</v>
      </c>
      <c r="N15" s="989">
        <v>5</v>
      </c>
      <c r="P15" s="1025">
        <f t="shared" si="2"/>
        <v>18</v>
      </c>
    </row>
    <row r="16" spans="1:16" ht="19.5" customHeight="1">
      <c r="A16" s="1023" t="s">
        <v>219</v>
      </c>
      <c r="B16" s="1024" t="s">
        <v>220</v>
      </c>
      <c r="C16" s="988">
        <f t="shared" si="0"/>
        <v>0</v>
      </c>
      <c r="D16" s="987"/>
      <c r="E16" s="987"/>
      <c r="F16" s="987"/>
      <c r="G16" s="987"/>
      <c r="H16" s="988">
        <f t="shared" si="1"/>
        <v>8</v>
      </c>
      <c r="M16" s="989">
        <v>6</v>
      </c>
      <c r="N16" s="989">
        <v>2</v>
      </c>
      <c r="P16" s="1025">
        <f t="shared" si="2"/>
        <v>8</v>
      </c>
    </row>
    <row r="17" spans="1:16" ht="20.25" customHeight="1">
      <c r="A17" s="1023" t="s">
        <v>712</v>
      </c>
      <c r="B17" s="1024" t="s">
        <v>713</v>
      </c>
      <c r="C17" s="988">
        <f t="shared" si="0"/>
        <v>1</v>
      </c>
      <c r="D17" s="987">
        <v>1</v>
      </c>
      <c r="E17" s="987"/>
      <c r="F17" s="987"/>
      <c r="G17" s="987"/>
      <c r="H17" s="988">
        <f t="shared" si="1"/>
        <v>131</v>
      </c>
      <c r="I17" s="989">
        <v>1</v>
      </c>
      <c r="L17" s="989">
        <v>3</v>
      </c>
      <c r="M17" s="989">
        <v>84</v>
      </c>
      <c r="N17" s="989">
        <v>43</v>
      </c>
      <c r="O17" s="989">
        <v>2</v>
      </c>
      <c r="P17" s="1025">
        <f t="shared" si="2"/>
        <v>134</v>
      </c>
    </row>
    <row r="18" spans="1:16" ht="19.5" customHeight="1">
      <c r="A18" s="1023" t="s">
        <v>716</v>
      </c>
      <c r="B18" s="1024" t="s">
        <v>717</v>
      </c>
      <c r="C18" s="988">
        <f t="shared" si="0"/>
        <v>2</v>
      </c>
      <c r="D18" s="987">
        <v>2</v>
      </c>
      <c r="E18" s="987"/>
      <c r="F18" s="987"/>
      <c r="G18" s="987"/>
      <c r="H18" s="988">
        <f t="shared" si="1"/>
        <v>502</v>
      </c>
      <c r="I18" s="989">
        <v>2</v>
      </c>
      <c r="L18" s="989">
        <v>5</v>
      </c>
      <c r="M18" s="989">
        <v>320</v>
      </c>
      <c r="N18" s="989">
        <v>175</v>
      </c>
      <c r="O18" s="989">
        <v>7</v>
      </c>
      <c r="P18" s="1025">
        <f t="shared" si="2"/>
        <v>511</v>
      </c>
    </row>
    <row r="19" spans="1:16" ht="19.5" customHeight="1">
      <c r="A19" s="1023" t="s">
        <v>734</v>
      </c>
      <c r="B19" s="1024" t="s">
        <v>735</v>
      </c>
      <c r="C19" s="988">
        <f t="shared" si="0"/>
        <v>0</v>
      </c>
      <c r="D19" s="987"/>
      <c r="E19" s="987"/>
      <c r="F19" s="987"/>
      <c r="G19" s="987"/>
      <c r="H19" s="988">
        <f t="shared" si="1"/>
        <v>95</v>
      </c>
      <c r="I19" s="989">
        <v>2</v>
      </c>
      <c r="L19" s="989">
        <v>1</v>
      </c>
      <c r="M19" s="989">
        <v>64</v>
      </c>
      <c r="N19" s="989">
        <v>28</v>
      </c>
      <c r="O19" s="989">
        <v>2</v>
      </c>
      <c r="P19" s="1025">
        <f t="shared" si="2"/>
        <v>97</v>
      </c>
    </row>
    <row r="20" spans="1:16" ht="18.75" customHeight="1">
      <c r="A20" s="1023" t="s">
        <v>221</v>
      </c>
      <c r="B20" s="1024" t="s">
        <v>222</v>
      </c>
      <c r="C20" s="988">
        <f t="shared" si="0"/>
        <v>1</v>
      </c>
      <c r="D20" s="987">
        <v>1</v>
      </c>
      <c r="E20" s="987"/>
      <c r="F20" s="987"/>
      <c r="G20" s="987"/>
      <c r="H20" s="988">
        <f t="shared" si="1"/>
        <v>76</v>
      </c>
      <c r="L20" s="989">
        <v>3</v>
      </c>
      <c r="M20" s="989">
        <v>53</v>
      </c>
      <c r="N20" s="989">
        <v>20</v>
      </c>
      <c r="P20" s="1025">
        <f t="shared" si="2"/>
        <v>77</v>
      </c>
    </row>
    <row r="21" spans="1:16" ht="19.5" customHeight="1">
      <c r="A21" s="1023" t="s">
        <v>223</v>
      </c>
      <c r="B21" s="1024" t="s">
        <v>224</v>
      </c>
      <c r="C21" s="988">
        <f t="shared" si="0"/>
        <v>0</v>
      </c>
      <c r="D21" s="987"/>
      <c r="E21" s="987"/>
      <c r="F21" s="987"/>
      <c r="G21" s="987"/>
      <c r="H21" s="988">
        <f t="shared" si="1"/>
        <v>21</v>
      </c>
      <c r="I21" s="989">
        <v>1</v>
      </c>
      <c r="M21" s="989">
        <v>13</v>
      </c>
      <c r="N21" s="989">
        <v>7</v>
      </c>
      <c r="O21" s="989">
        <v>1</v>
      </c>
      <c r="P21" s="1025">
        <f t="shared" si="2"/>
        <v>22</v>
      </c>
    </row>
    <row r="22" spans="1:16" ht="19.5" customHeight="1">
      <c r="A22" s="1023" t="s">
        <v>736</v>
      </c>
      <c r="B22" s="1024" t="s">
        <v>737</v>
      </c>
      <c r="C22" s="988">
        <f t="shared" si="0"/>
        <v>1</v>
      </c>
      <c r="D22" s="987">
        <v>1</v>
      </c>
      <c r="E22" s="987"/>
      <c r="F22" s="987"/>
      <c r="G22" s="987"/>
      <c r="H22" s="988">
        <f t="shared" si="1"/>
        <v>152</v>
      </c>
      <c r="L22" s="989">
        <v>2</v>
      </c>
      <c r="M22" s="989">
        <v>117</v>
      </c>
      <c r="N22" s="989">
        <v>33</v>
      </c>
      <c r="O22" s="989">
        <v>2</v>
      </c>
      <c r="P22" s="1025">
        <f t="shared" si="2"/>
        <v>155</v>
      </c>
    </row>
    <row r="23" spans="1:16" ht="18.75" customHeight="1">
      <c r="A23" s="1023" t="s">
        <v>225</v>
      </c>
      <c r="B23" s="1024" t="s">
        <v>226</v>
      </c>
      <c r="C23" s="988">
        <f t="shared" si="0"/>
        <v>0</v>
      </c>
      <c r="D23" s="987"/>
      <c r="E23" s="987"/>
      <c r="F23" s="987"/>
      <c r="G23" s="987"/>
      <c r="H23" s="988">
        <f t="shared" si="1"/>
        <v>2</v>
      </c>
      <c r="M23" s="989">
        <v>1</v>
      </c>
      <c r="N23" s="989">
        <v>1</v>
      </c>
      <c r="P23" s="1025">
        <f t="shared" si="2"/>
        <v>2</v>
      </c>
    </row>
    <row r="24" spans="1:16" ht="19.5" customHeight="1">
      <c r="A24" s="1023" t="s">
        <v>744</v>
      </c>
      <c r="B24" s="1024" t="s">
        <v>745</v>
      </c>
      <c r="C24" s="988">
        <f t="shared" si="0"/>
        <v>0</v>
      </c>
      <c r="D24" s="987"/>
      <c r="E24" s="987"/>
      <c r="F24" s="987"/>
      <c r="G24" s="987"/>
      <c r="H24" s="988">
        <f t="shared" si="1"/>
        <v>0</v>
      </c>
      <c r="P24" s="1025">
        <f t="shared" si="2"/>
        <v>0</v>
      </c>
    </row>
    <row r="25" spans="1:16" ht="20.25" customHeight="1">
      <c r="A25" s="1023" t="s">
        <v>746</v>
      </c>
      <c r="B25" s="1024" t="s">
        <v>747</v>
      </c>
      <c r="C25" s="988">
        <f t="shared" si="0"/>
        <v>0</v>
      </c>
      <c r="D25" s="987"/>
      <c r="E25" s="987"/>
      <c r="F25" s="987"/>
      <c r="G25" s="987"/>
      <c r="H25" s="988">
        <f t="shared" si="1"/>
        <v>0</v>
      </c>
      <c r="P25" s="1025">
        <f t="shared" si="2"/>
        <v>0</v>
      </c>
    </row>
    <row r="26" spans="1:16" ht="21.75" customHeight="1">
      <c r="A26" s="1023" t="s">
        <v>740</v>
      </c>
      <c r="B26" s="1024" t="s">
        <v>761</v>
      </c>
      <c r="C26" s="988">
        <f t="shared" si="0"/>
        <v>0</v>
      </c>
      <c r="D26" s="987"/>
      <c r="E26" s="987"/>
      <c r="F26" s="987"/>
      <c r="G26" s="987"/>
      <c r="H26" s="988">
        <f t="shared" si="1"/>
        <v>56</v>
      </c>
      <c r="I26" s="989">
        <v>1</v>
      </c>
      <c r="M26" s="989">
        <v>35</v>
      </c>
      <c r="N26" s="989">
        <v>20</v>
      </c>
      <c r="O26" s="989">
        <v>1</v>
      </c>
      <c r="P26" s="1025">
        <f t="shared" si="2"/>
        <v>57</v>
      </c>
    </row>
    <row r="27" spans="1:16" ht="27.75" customHeight="1">
      <c r="A27" s="1023" t="s">
        <v>732</v>
      </c>
      <c r="B27" s="952" t="s">
        <v>227</v>
      </c>
      <c r="C27" s="988">
        <f t="shared" si="0"/>
        <v>0</v>
      </c>
      <c r="D27" s="987"/>
      <c r="E27" s="987"/>
      <c r="F27" s="987"/>
      <c r="G27" s="987"/>
      <c r="H27" s="988">
        <f t="shared" si="1"/>
        <v>118</v>
      </c>
      <c r="I27" s="989">
        <v>4</v>
      </c>
      <c r="L27" s="989">
        <v>1</v>
      </c>
      <c r="M27" s="989">
        <v>68</v>
      </c>
      <c r="N27" s="989">
        <v>45</v>
      </c>
      <c r="O27" s="989">
        <v>9</v>
      </c>
      <c r="P27" s="1025">
        <f t="shared" si="2"/>
        <v>127</v>
      </c>
    </row>
    <row r="28" spans="1:16" ht="21.75" customHeight="1">
      <c r="A28" s="1026"/>
      <c r="B28" s="1026" t="s">
        <v>863</v>
      </c>
      <c r="C28" s="1001">
        <f>SUM(C10:C27)</f>
        <v>8</v>
      </c>
      <c r="D28" s="1002">
        <f t="shared" ref="D28:P28" si="3">SUM(D10:D27)</f>
        <v>8</v>
      </c>
      <c r="E28" s="1002">
        <f t="shared" si="3"/>
        <v>0</v>
      </c>
      <c r="F28" s="1002">
        <f t="shared" si="3"/>
        <v>0</v>
      </c>
      <c r="G28" s="1002">
        <f t="shared" si="3"/>
        <v>0</v>
      </c>
      <c r="H28" s="1001">
        <f t="shared" si="3"/>
        <v>1408</v>
      </c>
      <c r="I28" s="1002">
        <f t="shared" si="3"/>
        <v>12</v>
      </c>
      <c r="J28" s="1002">
        <f t="shared" si="3"/>
        <v>1</v>
      </c>
      <c r="K28" s="1002">
        <f t="shared" si="3"/>
        <v>0</v>
      </c>
      <c r="L28" s="1002">
        <f t="shared" si="3"/>
        <v>15</v>
      </c>
      <c r="M28" s="1002">
        <f t="shared" si="3"/>
        <v>929</v>
      </c>
      <c r="N28" s="1002">
        <f t="shared" si="3"/>
        <v>451</v>
      </c>
      <c r="O28" s="1002">
        <f t="shared" si="3"/>
        <v>26</v>
      </c>
      <c r="P28" s="1014">
        <f t="shared" si="3"/>
        <v>1442</v>
      </c>
    </row>
    <row r="29" spans="1:16" ht="21.75" customHeight="1">
      <c r="A29" s="991"/>
      <c r="B29" s="991"/>
      <c r="C29" s="991"/>
      <c r="D29" s="991"/>
      <c r="E29" s="991"/>
      <c r="F29" s="991"/>
      <c r="G29" s="991"/>
      <c r="H29" s="991"/>
      <c r="I29" s="991"/>
      <c r="J29" s="991"/>
      <c r="K29" s="991"/>
      <c r="L29" s="991"/>
      <c r="M29" s="991"/>
      <c r="N29" s="1003"/>
    </row>
    <row r="30" spans="1:16" ht="21.75" customHeight="1">
      <c r="A30" s="991"/>
      <c r="B30" s="991"/>
      <c r="C30" s="1120"/>
      <c r="D30" s="991"/>
      <c r="E30" s="991"/>
      <c r="F30" s="991"/>
      <c r="G30" s="991"/>
      <c r="H30" s="991"/>
      <c r="I30" s="991"/>
      <c r="J30" s="991"/>
      <c r="K30" s="991"/>
      <c r="L30" s="991"/>
      <c r="M30" s="991"/>
      <c r="N30" s="1003"/>
    </row>
    <row r="31" spans="1:16" ht="21.75" customHeight="1">
      <c r="A31" s="991"/>
      <c r="B31" s="991"/>
      <c r="C31" s="991"/>
      <c r="D31" s="991"/>
      <c r="E31" s="991"/>
      <c r="F31" s="991"/>
      <c r="G31" s="991"/>
      <c r="H31" s="991"/>
      <c r="I31" s="991"/>
      <c r="J31" s="991"/>
      <c r="K31" s="991"/>
      <c r="L31" s="991"/>
      <c r="M31" s="991"/>
      <c r="N31" s="1003"/>
    </row>
    <row r="32" spans="1:16" ht="21.75" customHeight="1">
      <c r="A32" s="991"/>
      <c r="B32" s="991"/>
      <c r="C32" s="991"/>
      <c r="D32" s="991"/>
      <c r="E32" s="991"/>
      <c r="F32" s="991"/>
      <c r="G32" s="991"/>
      <c r="H32" s="991"/>
      <c r="I32" s="991"/>
      <c r="J32" s="991"/>
      <c r="K32" s="991"/>
      <c r="L32" s="991"/>
      <c r="M32" s="991"/>
      <c r="N32" s="1003"/>
    </row>
    <row r="33" spans="1:14">
      <c r="A33" s="1484" t="s">
        <v>228</v>
      </c>
      <c r="B33" s="1484"/>
      <c r="C33" s="1484"/>
      <c r="D33" s="1484"/>
      <c r="E33" s="1484"/>
      <c r="F33" s="1484"/>
      <c r="G33" s="1484"/>
      <c r="H33" s="1484"/>
      <c r="I33" s="1484"/>
      <c r="J33" s="1484"/>
      <c r="K33" s="1484"/>
      <c r="L33" s="1484"/>
      <c r="M33" s="1484"/>
      <c r="N33" s="1005"/>
    </row>
    <row r="34" spans="1:14">
      <c r="A34" s="1004"/>
      <c r="B34" s="1004"/>
      <c r="C34" s="1006"/>
      <c r="D34" s="1006"/>
      <c r="E34" s="1006"/>
      <c r="F34" s="1006"/>
    </row>
    <row r="35" spans="1:14">
      <c r="A35" s="1484" t="str">
        <f>+A3</f>
        <v>SERVICIO DE SALUD   ACONCAGUA   2015</v>
      </c>
      <c r="B35" s="1484"/>
      <c r="C35" s="1484"/>
      <c r="D35" s="1484"/>
      <c r="E35" s="1484"/>
      <c r="F35" s="1484"/>
      <c r="G35" s="1484"/>
      <c r="H35" s="1484"/>
      <c r="I35" s="1484"/>
      <c r="J35" s="1484"/>
      <c r="K35" s="1484"/>
      <c r="L35" s="1484"/>
      <c r="M35" s="1484"/>
    </row>
    <row r="36" spans="1:14" ht="15.75" customHeight="1">
      <c r="A36" s="1004"/>
      <c r="B36" s="1004"/>
      <c r="C36" s="1006"/>
      <c r="D36" s="1006"/>
      <c r="E36" s="1006"/>
      <c r="F36" s="1006"/>
    </row>
    <row r="37" spans="1:14">
      <c r="A37" s="1484" t="s">
        <v>234</v>
      </c>
      <c r="B37" s="1484"/>
      <c r="C37" s="1484"/>
      <c r="D37" s="1484"/>
      <c r="E37" s="1484"/>
      <c r="F37" s="1484"/>
      <c r="G37" s="1484"/>
      <c r="H37" s="1484"/>
      <c r="I37" s="1484"/>
      <c r="J37" s="1484"/>
      <c r="K37" s="1484"/>
      <c r="L37" s="1484"/>
      <c r="M37" s="1484"/>
    </row>
    <row r="39" spans="1:14" ht="21.75" customHeight="1">
      <c r="A39" s="1017" t="s">
        <v>701</v>
      </c>
      <c r="B39" s="986"/>
      <c r="C39" s="1481" t="s">
        <v>749</v>
      </c>
      <c r="D39" s="1482"/>
      <c r="E39" s="1482"/>
      <c r="F39" s="1482"/>
      <c r="G39" s="1482"/>
      <c r="H39" s="1482"/>
      <c r="I39" s="1482"/>
      <c r="J39" s="1482"/>
      <c r="K39" s="1482"/>
      <c r="L39" s="1482"/>
      <c r="M39" s="1483"/>
      <c r="N39" s="1007"/>
    </row>
    <row r="40" spans="1:14" ht="23.25" customHeight="1">
      <c r="A40" s="1018" t="s">
        <v>703</v>
      </c>
      <c r="B40" s="1019" t="s">
        <v>704</v>
      </c>
      <c r="C40" s="1008" t="s">
        <v>751</v>
      </c>
      <c r="D40" s="1008" t="s">
        <v>752</v>
      </c>
      <c r="E40" s="1008" t="s">
        <v>753</v>
      </c>
      <c r="F40" s="1008" t="s">
        <v>754</v>
      </c>
      <c r="G40" s="1008" t="s">
        <v>755</v>
      </c>
      <c r="H40" s="1008" t="s">
        <v>756</v>
      </c>
      <c r="I40" s="1008" t="s">
        <v>757</v>
      </c>
      <c r="J40" s="1008" t="s">
        <v>758</v>
      </c>
      <c r="K40" s="1008" t="s">
        <v>759</v>
      </c>
      <c r="L40" s="1008" t="s">
        <v>760</v>
      </c>
      <c r="M40" s="1009" t="s">
        <v>535</v>
      </c>
    </row>
    <row r="41" spans="1:14">
      <c r="A41" s="1021"/>
      <c r="B41" s="1022"/>
      <c r="C41" s="985"/>
      <c r="D41" s="985"/>
      <c r="E41" s="985"/>
      <c r="F41" s="985"/>
      <c r="G41" s="985"/>
      <c r="H41" s="985"/>
      <c r="I41" s="985"/>
      <c r="J41" s="985"/>
      <c r="K41" s="985"/>
      <c r="L41" s="985"/>
      <c r="M41" s="1010"/>
    </row>
    <row r="42" spans="1:14" ht="20.25" customHeight="1">
      <c r="A42" s="1023" t="s">
        <v>738</v>
      </c>
      <c r="B42" s="1024" t="s">
        <v>739</v>
      </c>
      <c r="E42" s="989">
        <v>3</v>
      </c>
      <c r="F42" s="989">
        <v>12</v>
      </c>
      <c r="G42" s="989">
        <v>4</v>
      </c>
      <c r="H42" s="989">
        <v>3</v>
      </c>
      <c r="J42" s="989">
        <v>8</v>
      </c>
      <c r="K42" s="989">
        <v>6</v>
      </c>
      <c r="L42" s="989">
        <v>21</v>
      </c>
      <c r="M42" s="1025">
        <f t="shared" ref="M42:M59" si="4">SUM(B42:L42)</f>
        <v>57</v>
      </c>
    </row>
    <row r="43" spans="1:14" ht="19.5" customHeight="1">
      <c r="A43" s="1023" t="s">
        <v>714</v>
      </c>
      <c r="B43" s="1024" t="s">
        <v>715</v>
      </c>
      <c r="J43" s="989">
        <v>5</v>
      </c>
      <c r="K43" s="989">
        <v>6</v>
      </c>
      <c r="L43" s="989">
        <v>36</v>
      </c>
      <c r="M43" s="1025">
        <f t="shared" si="4"/>
        <v>47</v>
      </c>
    </row>
    <row r="44" spans="1:14" ht="18" customHeight="1">
      <c r="A44" s="1023" t="s">
        <v>213</v>
      </c>
      <c r="B44" s="1024" t="s">
        <v>214</v>
      </c>
      <c r="H44" s="989">
        <v>1</v>
      </c>
      <c r="J44" s="989">
        <v>1</v>
      </c>
      <c r="K44" s="989">
        <v>4</v>
      </c>
      <c r="L44" s="989">
        <v>4</v>
      </c>
      <c r="M44" s="1025">
        <f t="shared" si="4"/>
        <v>10</v>
      </c>
    </row>
    <row r="45" spans="1:14" ht="19.5" customHeight="1">
      <c r="A45" s="1023" t="s">
        <v>742</v>
      </c>
      <c r="B45" s="1024" t="s">
        <v>743</v>
      </c>
      <c r="H45" s="989">
        <v>1</v>
      </c>
      <c r="J45" s="989">
        <v>5</v>
      </c>
      <c r="K45" s="989">
        <v>33</v>
      </c>
      <c r="L45" s="989">
        <v>38</v>
      </c>
      <c r="M45" s="1025">
        <f t="shared" si="4"/>
        <v>77</v>
      </c>
    </row>
    <row r="46" spans="1:14" ht="19.5" customHeight="1">
      <c r="A46" s="1023" t="s">
        <v>215</v>
      </c>
      <c r="B46" s="1024" t="s">
        <v>216</v>
      </c>
      <c r="D46" s="995"/>
      <c r="I46" s="989">
        <v>2</v>
      </c>
      <c r="J46" s="989">
        <v>17</v>
      </c>
      <c r="K46" s="989">
        <v>13</v>
      </c>
      <c r="L46" s="989">
        <v>11</v>
      </c>
      <c r="M46" s="1025">
        <f t="shared" si="4"/>
        <v>43</v>
      </c>
    </row>
    <row r="47" spans="1:14" ht="19.5" customHeight="1">
      <c r="A47" s="1023" t="s">
        <v>217</v>
      </c>
      <c r="B47" s="1024" t="s">
        <v>218</v>
      </c>
      <c r="F47" s="989">
        <v>1</v>
      </c>
      <c r="I47" s="989">
        <v>1</v>
      </c>
      <c r="J47" s="989">
        <v>4</v>
      </c>
      <c r="K47" s="989">
        <v>2</v>
      </c>
      <c r="L47" s="989">
        <v>10</v>
      </c>
      <c r="M47" s="1025">
        <f t="shared" si="4"/>
        <v>18</v>
      </c>
    </row>
    <row r="48" spans="1:14" ht="19.5" customHeight="1">
      <c r="A48" s="1023" t="s">
        <v>219</v>
      </c>
      <c r="B48" s="1024" t="s">
        <v>220</v>
      </c>
      <c r="F48" s="989">
        <v>2</v>
      </c>
      <c r="J48" s="989">
        <v>1</v>
      </c>
      <c r="K48" s="989">
        <v>2</v>
      </c>
      <c r="L48" s="989">
        <v>3</v>
      </c>
      <c r="M48" s="1025">
        <f t="shared" si="4"/>
        <v>8</v>
      </c>
    </row>
    <row r="49" spans="1:13" ht="18" customHeight="1">
      <c r="A49" s="1023" t="s">
        <v>712</v>
      </c>
      <c r="B49" s="1024" t="s">
        <v>713</v>
      </c>
      <c r="I49" s="989">
        <v>1</v>
      </c>
      <c r="J49" s="989">
        <v>6</v>
      </c>
      <c r="K49" s="989">
        <v>19</v>
      </c>
      <c r="L49" s="989">
        <v>108</v>
      </c>
      <c r="M49" s="1025">
        <f t="shared" si="4"/>
        <v>134</v>
      </c>
    </row>
    <row r="50" spans="1:13" ht="18.75" customHeight="1">
      <c r="A50" s="1023" t="s">
        <v>716</v>
      </c>
      <c r="B50" s="1024" t="s">
        <v>717</v>
      </c>
      <c r="E50" s="989">
        <v>34</v>
      </c>
      <c r="F50" s="989">
        <v>69</v>
      </c>
      <c r="G50" s="989">
        <v>26</v>
      </c>
      <c r="H50" s="989">
        <v>6</v>
      </c>
      <c r="I50" s="989">
        <v>4</v>
      </c>
      <c r="J50" s="989">
        <v>42</v>
      </c>
      <c r="K50" s="989">
        <v>52</v>
      </c>
      <c r="L50" s="989">
        <v>278</v>
      </c>
      <c r="M50" s="1025">
        <f t="shared" si="4"/>
        <v>511</v>
      </c>
    </row>
    <row r="51" spans="1:13" ht="19.5" customHeight="1">
      <c r="A51" s="1023" t="s">
        <v>734</v>
      </c>
      <c r="B51" s="1024" t="s">
        <v>735</v>
      </c>
      <c r="F51" s="989">
        <v>4</v>
      </c>
      <c r="I51" s="989">
        <v>2</v>
      </c>
      <c r="J51" s="989">
        <v>17</v>
      </c>
      <c r="K51" s="989">
        <v>24</v>
      </c>
      <c r="L51" s="989">
        <v>50</v>
      </c>
      <c r="M51" s="1025">
        <f t="shared" si="4"/>
        <v>97</v>
      </c>
    </row>
    <row r="52" spans="1:13" ht="18" customHeight="1">
      <c r="A52" s="1023" t="s">
        <v>221</v>
      </c>
      <c r="B52" s="1024" t="s">
        <v>222</v>
      </c>
      <c r="F52" s="989">
        <v>2</v>
      </c>
      <c r="G52" s="989">
        <v>1</v>
      </c>
      <c r="H52" s="989">
        <v>1</v>
      </c>
      <c r="I52" s="989">
        <v>2</v>
      </c>
      <c r="J52" s="989">
        <v>10</v>
      </c>
      <c r="K52" s="989">
        <v>17</v>
      </c>
      <c r="L52" s="989">
        <v>44</v>
      </c>
      <c r="M52" s="1025">
        <f t="shared" si="4"/>
        <v>77</v>
      </c>
    </row>
    <row r="53" spans="1:13" ht="19.5" customHeight="1">
      <c r="A53" s="1023" t="s">
        <v>223</v>
      </c>
      <c r="B53" s="1024" t="s">
        <v>224</v>
      </c>
      <c r="G53" s="989">
        <v>1</v>
      </c>
      <c r="J53" s="989">
        <v>8</v>
      </c>
      <c r="K53" s="989">
        <v>6</v>
      </c>
      <c r="L53" s="989">
        <v>7</v>
      </c>
      <c r="M53" s="1025">
        <f t="shared" si="4"/>
        <v>22</v>
      </c>
    </row>
    <row r="54" spans="1:13" ht="18.75" customHeight="1">
      <c r="A54" s="1023" t="s">
        <v>736</v>
      </c>
      <c r="B54" s="1024" t="s">
        <v>737</v>
      </c>
      <c r="E54" s="989">
        <v>4</v>
      </c>
      <c r="F54" s="989">
        <v>5</v>
      </c>
      <c r="G54" s="989">
        <v>6</v>
      </c>
      <c r="H54" s="989">
        <v>3</v>
      </c>
      <c r="I54" s="989">
        <v>7</v>
      </c>
      <c r="J54" s="989">
        <v>40</v>
      </c>
      <c r="K54" s="989">
        <v>29</v>
      </c>
      <c r="L54" s="989">
        <v>61</v>
      </c>
      <c r="M54" s="1025">
        <f t="shared" si="4"/>
        <v>155</v>
      </c>
    </row>
    <row r="55" spans="1:13" ht="18.75" customHeight="1">
      <c r="A55" s="1023" t="s">
        <v>225</v>
      </c>
      <c r="B55" s="1024" t="s">
        <v>226</v>
      </c>
      <c r="C55" s="995"/>
      <c r="D55" s="995"/>
      <c r="E55" s="995"/>
      <c r="F55" s="995"/>
      <c r="J55" s="989">
        <v>2</v>
      </c>
      <c r="L55" s="995"/>
      <c r="M55" s="1025">
        <f t="shared" si="4"/>
        <v>2</v>
      </c>
    </row>
    <row r="56" spans="1:13" ht="18" customHeight="1">
      <c r="A56" s="1023" t="s">
        <v>744</v>
      </c>
      <c r="B56" s="1024" t="s">
        <v>745</v>
      </c>
      <c r="F56" s="995"/>
      <c r="J56" s="995"/>
      <c r="K56" s="995"/>
      <c r="L56" s="995"/>
      <c r="M56" s="1025">
        <f t="shared" si="4"/>
        <v>0</v>
      </c>
    </row>
    <row r="57" spans="1:13" ht="20.25" customHeight="1">
      <c r="A57" s="1023" t="s">
        <v>746</v>
      </c>
      <c r="B57" s="1024" t="s">
        <v>747</v>
      </c>
      <c r="M57" s="1025">
        <f t="shared" si="4"/>
        <v>0</v>
      </c>
    </row>
    <row r="58" spans="1:13" ht="19.5" customHeight="1">
      <c r="A58" s="1023" t="s">
        <v>740</v>
      </c>
      <c r="B58" s="1024" t="s">
        <v>761</v>
      </c>
      <c r="F58" s="989">
        <v>8</v>
      </c>
      <c r="G58" s="989">
        <v>3</v>
      </c>
      <c r="H58" s="989">
        <v>1</v>
      </c>
      <c r="I58" s="989">
        <v>3</v>
      </c>
      <c r="J58" s="989">
        <v>5</v>
      </c>
      <c r="K58" s="989">
        <v>10</v>
      </c>
      <c r="L58" s="989">
        <v>27</v>
      </c>
      <c r="M58" s="1025">
        <f t="shared" si="4"/>
        <v>57</v>
      </c>
    </row>
    <row r="59" spans="1:13" ht="27.75" customHeight="1">
      <c r="A59" s="1023" t="s">
        <v>732</v>
      </c>
      <c r="B59" s="952" t="s">
        <v>227</v>
      </c>
      <c r="F59" s="989">
        <v>14</v>
      </c>
      <c r="G59" s="989">
        <v>5</v>
      </c>
      <c r="H59" s="989">
        <v>3</v>
      </c>
      <c r="I59" s="989">
        <v>9</v>
      </c>
      <c r="J59" s="989">
        <v>33</v>
      </c>
      <c r="K59" s="989">
        <v>32</v>
      </c>
      <c r="L59" s="989">
        <v>31</v>
      </c>
      <c r="M59" s="1025">
        <f t="shared" si="4"/>
        <v>127</v>
      </c>
    </row>
    <row r="60" spans="1:13" ht="19.5" customHeight="1">
      <c r="A60" s="1026"/>
      <c r="B60" s="1026" t="s">
        <v>863</v>
      </c>
      <c r="C60" s="1002">
        <f t="shared" ref="C60:M60" si="5">SUM(C42:C59)</f>
        <v>0</v>
      </c>
      <c r="D60" s="1002">
        <f t="shared" si="5"/>
        <v>0</v>
      </c>
      <c r="E60" s="1002">
        <f t="shared" si="5"/>
        <v>41</v>
      </c>
      <c r="F60" s="1002">
        <f t="shared" si="5"/>
        <v>117</v>
      </c>
      <c r="G60" s="1002">
        <f t="shared" si="5"/>
        <v>46</v>
      </c>
      <c r="H60" s="1002">
        <f t="shared" si="5"/>
        <v>19</v>
      </c>
      <c r="I60" s="1002">
        <f t="shared" si="5"/>
        <v>31</v>
      </c>
      <c r="J60" s="1013">
        <f t="shared" si="5"/>
        <v>204</v>
      </c>
      <c r="K60" s="1002">
        <f t="shared" si="5"/>
        <v>255</v>
      </c>
      <c r="L60" s="1002">
        <f t="shared" si="5"/>
        <v>729</v>
      </c>
      <c r="M60" s="1014">
        <f t="shared" si="5"/>
        <v>1442</v>
      </c>
    </row>
  </sheetData>
  <mergeCells count="8">
    <mergeCell ref="C39:M39"/>
    <mergeCell ref="A1:P1"/>
    <mergeCell ref="A3:P3"/>
    <mergeCell ref="A5:P5"/>
    <mergeCell ref="C7:P7"/>
    <mergeCell ref="A33:M33"/>
    <mergeCell ref="A35:M35"/>
    <mergeCell ref="A37:M37"/>
  </mergeCells>
  <phoneticPr fontId="19" type="noConversion"/>
  <pageMargins left="1.3779527559055118" right="0.78740157480314965" top="1.1811023622047245" bottom="0.59055118110236227" header="0.51181102362204722" footer="0.51181102362204722"/>
  <pageSetup paperSize="5" scale="85" orientation="landscape" horizontalDpi="300" verticalDpi="300"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0"/>
  <sheetViews>
    <sheetView zoomScale="75" workbookViewId="0">
      <selection activeCell="L68" sqref="L68"/>
    </sheetView>
  </sheetViews>
  <sheetFormatPr baseColWidth="10" defaultColWidth="11.42578125" defaultRowHeight="12.75"/>
  <cols>
    <col min="1" max="1" width="9.42578125" style="967" customWidth="1"/>
    <col min="2" max="2" width="26.85546875" style="967" customWidth="1"/>
    <col min="3" max="3" width="9.85546875" style="967" customWidth="1"/>
    <col min="4" max="4" width="9.7109375" style="967" customWidth="1"/>
    <col min="5" max="5" width="9.28515625" style="967" customWidth="1"/>
    <col min="6" max="6" width="9.5703125" style="967" customWidth="1"/>
    <col min="7" max="7" width="9.28515625" style="967" customWidth="1"/>
    <col min="8" max="8" width="11.42578125" style="967"/>
    <col min="9" max="10" width="9.7109375" style="967" customWidth="1"/>
    <col min="11" max="11" width="10" style="967" customWidth="1"/>
    <col min="12" max="12" width="9" style="967" customWidth="1"/>
    <col min="13" max="13" width="8.5703125" style="967" customWidth="1"/>
    <col min="14" max="14" width="9.140625" style="967" customWidth="1"/>
    <col min="15" max="16384" width="11.42578125" style="967"/>
  </cols>
  <sheetData>
    <row r="1" spans="1:16">
      <c r="A1" s="1485" t="s">
        <v>212</v>
      </c>
      <c r="B1" s="1485"/>
      <c r="C1" s="1485"/>
      <c r="D1" s="1485"/>
      <c r="E1" s="1485"/>
      <c r="F1" s="1485"/>
      <c r="G1" s="1485"/>
      <c r="H1" s="1485"/>
      <c r="I1" s="1485"/>
      <c r="J1" s="1485"/>
      <c r="K1" s="1485"/>
      <c r="L1" s="1485"/>
      <c r="M1" s="1485"/>
      <c r="N1" s="1485"/>
      <c r="O1" s="1485"/>
      <c r="P1" s="1485"/>
    </row>
    <row r="2" spans="1:16">
      <c r="A2" s="1027"/>
      <c r="B2" s="1027"/>
      <c r="C2" s="1028"/>
      <c r="D2" s="1028"/>
      <c r="E2" s="1028"/>
      <c r="F2" s="1028"/>
      <c r="G2" s="1028"/>
      <c r="H2" s="1028"/>
      <c r="I2" s="1028"/>
      <c r="J2" s="1028"/>
      <c r="K2" s="965"/>
      <c r="L2" s="965"/>
      <c r="M2" s="965"/>
      <c r="N2" s="965"/>
    </row>
    <row r="3" spans="1:16">
      <c r="A3" s="1485" t="str">
        <f>+'89'!A3</f>
        <v>SERVICIO DE SALUD   ACONCAGUA   2015</v>
      </c>
      <c r="B3" s="1485"/>
      <c r="C3" s="1485"/>
      <c r="D3" s="1485"/>
      <c r="E3" s="1485"/>
      <c r="F3" s="1485"/>
      <c r="G3" s="1485"/>
      <c r="H3" s="1485"/>
      <c r="I3" s="1485"/>
      <c r="J3" s="1485"/>
      <c r="K3" s="1485"/>
      <c r="L3" s="1485"/>
      <c r="M3" s="1485"/>
      <c r="N3" s="1485"/>
      <c r="O3" s="1485"/>
      <c r="P3" s="1485"/>
    </row>
    <row r="4" spans="1:16">
      <c r="A4" s="1027"/>
      <c r="B4" s="1027"/>
      <c r="C4" s="1028"/>
      <c r="D4" s="1028"/>
      <c r="E4" s="1028"/>
      <c r="F4" s="1028"/>
      <c r="G4" s="1028"/>
      <c r="H4" s="1028"/>
      <c r="I4" s="1028"/>
      <c r="J4" s="1028"/>
      <c r="K4" s="965"/>
      <c r="L4" s="965"/>
      <c r="M4" s="965"/>
      <c r="N4" s="965"/>
    </row>
    <row r="5" spans="1:16">
      <c r="A5" s="1485" t="s">
        <v>235</v>
      </c>
      <c r="B5" s="1485"/>
      <c r="C5" s="1485"/>
      <c r="D5" s="1485"/>
      <c r="E5" s="1485"/>
      <c r="F5" s="1485"/>
      <c r="G5" s="1485"/>
      <c r="H5" s="1485"/>
      <c r="I5" s="1485"/>
      <c r="J5" s="1485"/>
      <c r="K5" s="1485"/>
      <c r="L5" s="1485"/>
      <c r="M5" s="1485"/>
      <c r="N5" s="1485"/>
      <c r="O5" s="1485"/>
      <c r="P5" s="1485"/>
    </row>
    <row r="6" spans="1:16">
      <c r="A6" s="980"/>
    </row>
    <row r="7" spans="1:16" ht="18.75" customHeight="1">
      <c r="A7" s="981" t="s">
        <v>701</v>
      </c>
      <c r="B7" s="932"/>
      <c r="C7" s="933"/>
      <c r="D7" s="934" t="s">
        <v>702</v>
      </c>
      <c r="E7" s="934"/>
      <c r="F7" s="934"/>
      <c r="G7" s="934"/>
      <c r="H7" s="934"/>
      <c r="I7" s="934"/>
      <c r="J7" s="934"/>
      <c r="K7" s="934"/>
      <c r="L7" s="934"/>
      <c r="M7" s="934"/>
      <c r="N7" s="934"/>
      <c r="O7" s="934"/>
      <c r="P7" s="935"/>
    </row>
    <row r="8" spans="1:16" ht="23.25" customHeight="1">
      <c r="A8" s="982" t="s">
        <v>703</v>
      </c>
      <c r="B8" s="983" t="s">
        <v>704</v>
      </c>
      <c r="C8" s="984" t="s">
        <v>705</v>
      </c>
      <c r="D8" s="939" t="s">
        <v>649</v>
      </c>
      <c r="E8" s="940" t="s">
        <v>706</v>
      </c>
      <c r="F8" s="940" t="s">
        <v>707</v>
      </c>
      <c r="G8" s="940" t="s">
        <v>447</v>
      </c>
      <c r="H8" s="984" t="s">
        <v>708</v>
      </c>
      <c r="I8" s="940" t="s">
        <v>709</v>
      </c>
      <c r="J8" s="940" t="s">
        <v>411</v>
      </c>
      <c r="K8" s="940" t="s">
        <v>429</v>
      </c>
      <c r="L8" s="940" t="s">
        <v>434</v>
      </c>
      <c r="M8" s="940" t="s">
        <v>710</v>
      </c>
      <c r="N8" s="940" t="s">
        <v>436</v>
      </c>
      <c r="O8" s="940" t="s">
        <v>711</v>
      </c>
      <c r="P8" s="941" t="s">
        <v>535</v>
      </c>
    </row>
    <row r="9" spans="1:16">
      <c r="A9" s="942"/>
      <c r="B9" s="943"/>
      <c r="C9" s="986"/>
      <c r="D9" s="985"/>
      <c r="E9" s="985"/>
      <c r="F9" s="985"/>
      <c r="G9" s="985"/>
      <c r="H9" s="986"/>
      <c r="I9" s="985"/>
      <c r="J9" s="985"/>
      <c r="K9" s="985"/>
      <c r="L9" s="985"/>
      <c r="M9" s="985"/>
      <c r="N9" s="985"/>
      <c r="O9" s="985"/>
      <c r="P9" s="1010"/>
    </row>
    <row r="10" spans="1:16" ht="18" customHeight="1">
      <c r="A10" s="946" t="s">
        <v>738</v>
      </c>
      <c r="B10" s="947" t="s">
        <v>739</v>
      </c>
      <c r="C10" s="988">
        <f>SUM(D10:G10)</f>
        <v>0</v>
      </c>
      <c r="D10" s="1100"/>
      <c r="E10" s="1100"/>
      <c r="F10" s="1100"/>
      <c r="G10" s="1100"/>
      <c r="H10" s="988">
        <f>SUM(I10:N10)</f>
        <v>19</v>
      </c>
      <c r="I10" s="989">
        <v>2</v>
      </c>
      <c r="J10" s="989">
        <v>16</v>
      </c>
      <c r="K10" s="989">
        <v>1</v>
      </c>
      <c r="L10" s="989"/>
      <c r="M10" s="989"/>
      <c r="N10" s="989"/>
      <c r="O10" s="989"/>
      <c r="P10" s="1025">
        <f>+O10+H10+C10</f>
        <v>19</v>
      </c>
    </row>
    <row r="11" spans="1:16" ht="20.25" customHeight="1">
      <c r="A11" s="946" t="s">
        <v>714</v>
      </c>
      <c r="B11" s="947" t="s">
        <v>715</v>
      </c>
      <c r="C11" s="988">
        <f t="shared" ref="C11:C27" si="0">SUM(D11:G11)</f>
        <v>1</v>
      </c>
      <c r="D11" s="1100">
        <v>1</v>
      </c>
      <c r="E11" s="1100"/>
      <c r="F11" s="1100"/>
      <c r="G11" s="1100"/>
      <c r="H11" s="988">
        <f t="shared" ref="H11:H27" si="1">SUM(I11:N11)</f>
        <v>10</v>
      </c>
      <c r="I11" s="989">
        <v>1</v>
      </c>
      <c r="J11" s="989">
        <v>9</v>
      </c>
      <c r="K11" s="989"/>
      <c r="L11" s="989"/>
      <c r="M11" s="989"/>
      <c r="N11" s="989"/>
      <c r="O11" s="989"/>
      <c r="P11" s="1025">
        <f t="shared" ref="P11:P27" si="2">+O11+H11+C11</f>
        <v>11</v>
      </c>
    </row>
    <row r="12" spans="1:16" ht="19.5" customHeight="1">
      <c r="A12" s="946" t="s">
        <v>213</v>
      </c>
      <c r="B12" s="947" t="s">
        <v>214</v>
      </c>
      <c r="C12" s="988">
        <f t="shared" si="0"/>
        <v>0</v>
      </c>
      <c r="D12" s="1100"/>
      <c r="E12" s="1100"/>
      <c r="F12" s="1100"/>
      <c r="G12" s="1100"/>
      <c r="H12" s="988">
        <f t="shared" si="1"/>
        <v>4</v>
      </c>
      <c r="I12" s="989">
        <v>1</v>
      </c>
      <c r="J12" s="989">
        <v>3</v>
      </c>
      <c r="K12" s="989"/>
      <c r="L12" s="989"/>
      <c r="M12" s="989"/>
      <c r="N12" s="989"/>
      <c r="O12" s="989"/>
      <c r="P12" s="1025">
        <f t="shared" si="2"/>
        <v>4</v>
      </c>
    </row>
    <row r="13" spans="1:16" ht="20.25" customHeight="1">
      <c r="A13" s="946" t="s">
        <v>742</v>
      </c>
      <c r="B13" s="947" t="s">
        <v>743</v>
      </c>
      <c r="C13" s="988">
        <f t="shared" si="0"/>
        <v>0</v>
      </c>
      <c r="D13" s="1100"/>
      <c r="E13" s="1100"/>
      <c r="F13" s="1100"/>
      <c r="G13" s="1100"/>
      <c r="H13" s="988">
        <f t="shared" si="1"/>
        <v>32</v>
      </c>
      <c r="I13" s="989">
        <v>1</v>
      </c>
      <c r="J13" s="989">
        <v>31</v>
      </c>
      <c r="K13" s="989"/>
      <c r="L13" s="989"/>
      <c r="M13" s="989"/>
      <c r="N13" s="989"/>
      <c r="O13" s="989"/>
      <c r="P13" s="1025">
        <f t="shared" si="2"/>
        <v>32</v>
      </c>
    </row>
    <row r="14" spans="1:16" ht="19.5" customHeight="1">
      <c r="A14" s="946" t="s">
        <v>215</v>
      </c>
      <c r="B14" s="947" t="s">
        <v>216</v>
      </c>
      <c r="C14" s="988">
        <f t="shared" si="0"/>
        <v>1</v>
      </c>
      <c r="D14" s="1100">
        <v>1</v>
      </c>
      <c r="E14" s="1100"/>
      <c r="F14" s="1100"/>
      <c r="G14" s="1100"/>
      <c r="H14" s="988">
        <f t="shared" si="1"/>
        <v>34</v>
      </c>
      <c r="I14" s="989">
        <v>6</v>
      </c>
      <c r="J14" s="989">
        <v>27</v>
      </c>
      <c r="K14" s="989"/>
      <c r="L14" s="989"/>
      <c r="M14" s="989">
        <v>1</v>
      </c>
      <c r="N14" s="989"/>
      <c r="O14" s="989">
        <v>4</v>
      </c>
      <c r="P14" s="1025">
        <f t="shared" si="2"/>
        <v>39</v>
      </c>
    </row>
    <row r="15" spans="1:16" ht="19.5" customHeight="1">
      <c r="A15" s="946" t="s">
        <v>217</v>
      </c>
      <c r="B15" s="947" t="s">
        <v>218</v>
      </c>
      <c r="C15" s="988">
        <f t="shared" si="0"/>
        <v>0</v>
      </c>
      <c r="D15" s="1100"/>
      <c r="E15" s="1100"/>
      <c r="F15" s="1100"/>
      <c r="G15" s="1100"/>
      <c r="H15" s="988">
        <f t="shared" si="1"/>
        <v>11</v>
      </c>
      <c r="I15" s="989"/>
      <c r="J15" s="989">
        <v>10</v>
      </c>
      <c r="K15" s="989">
        <v>1</v>
      </c>
      <c r="L15" s="989"/>
      <c r="M15" s="989"/>
      <c r="N15" s="989"/>
      <c r="O15" s="989"/>
      <c r="P15" s="1025">
        <f t="shared" si="2"/>
        <v>11</v>
      </c>
    </row>
    <row r="16" spans="1:16" ht="19.5" customHeight="1">
      <c r="A16" s="946" t="s">
        <v>219</v>
      </c>
      <c r="B16" s="947" t="s">
        <v>220</v>
      </c>
      <c r="C16" s="988">
        <f>SUM(D16:G16)</f>
        <v>0</v>
      </c>
      <c r="D16" s="1100"/>
      <c r="E16" s="1100"/>
      <c r="F16" s="1100"/>
      <c r="G16" s="1100"/>
      <c r="H16" s="988">
        <f>SUM(I16:N16)</f>
        <v>2</v>
      </c>
      <c r="I16" s="989"/>
      <c r="J16" s="989">
        <v>2</v>
      </c>
      <c r="K16" s="989"/>
      <c r="L16" s="989"/>
      <c r="M16" s="989"/>
      <c r="N16" s="989"/>
      <c r="O16" s="989"/>
      <c r="P16" s="1025">
        <f>+O16+H16+C16</f>
        <v>2</v>
      </c>
    </row>
    <row r="17" spans="1:16" ht="20.25" customHeight="1">
      <c r="A17" s="946" t="s">
        <v>712</v>
      </c>
      <c r="B17" s="947" t="s">
        <v>713</v>
      </c>
      <c r="C17" s="988">
        <f t="shared" si="0"/>
        <v>1</v>
      </c>
      <c r="D17" s="1100">
        <v>1</v>
      </c>
      <c r="E17" s="1100"/>
      <c r="F17" s="1100"/>
      <c r="G17" s="1100"/>
      <c r="H17" s="988">
        <f t="shared" si="1"/>
        <v>81</v>
      </c>
      <c r="I17" s="989">
        <v>6</v>
      </c>
      <c r="J17" s="989">
        <v>75</v>
      </c>
      <c r="K17" s="989"/>
      <c r="L17" s="989"/>
      <c r="M17" s="989"/>
      <c r="N17" s="989"/>
      <c r="O17" s="989"/>
      <c r="P17" s="1025">
        <f t="shared" si="2"/>
        <v>82</v>
      </c>
    </row>
    <row r="18" spans="1:16" ht="19.5" customHeight="1">
      <c r="A18" s="946" t="s">
        <v>716</v>
      </c>
      <c r="B18" s="947" t="s">
        <v>717</v>
      </c>
      <c r="C18" s="988">
        <f t="shared" si="0"/>
        <v>1</v>
      </c>
      <c r="D18" s="1100">
        <v>1</v>
      </c>
      <c r="E18" s="1100"/>
      <c r="F18" s="1100"/>
      <c r="G18" s="1100"/>
      <c r="H18" s="988">
        <f t="shared" si="1"/>
        <v>123</v>
      </c>
      <c r="I18" s="989">
        <v>7</v>
      </c>
      <c r="J18" s="989">
        <v>116</v>
      </c>
      <c r="K18" s="989"/>
      <c r="L18" s="989"/>
      <c r="M18" s="989"/>
      <c r="N18" s="989"/>
      <c r="O18" s="989"/>
      <c r="P18" s="1025">
        <f t="shared" si="2"/>
        <v>124</v>
      </c>
    </row>
    <row r="19" spans="1:16" ht="19.5" customHeight="1">
      <c r="A19" s="946" t="s">
        <v>734</v>
      </c>
      <c r="B19" s="947" t="s">
        <v>735</v>
      </c>
      <c r="C19" s="988">
        <f t="shared" si="0"/>
        <v>0</v>
      </c>
      <c r="D19" s="1100"/>
      <c r="E19" s="1100"/>
      <c r="F19" s="1100"/>
      <c r="G19" s="1100"/>
      <c r="H19" s="988">
        <f t="shared" si="1"/>
        <v>60</v>
      </c>
      <c r="I19" s="989">
        <v>5</v>
      </c>
      <c r="J19" s="989">
        <v>54</v>
      </c>
      <c r="K19" s="989">
        <v>1</v>
      </c>
      <c r="L19" s="989"/>
      <c r="M19" s="989"/>
      <c r="N19" s="989"/>
      <c r="O19" s="989"/>
      <c r="P19" s="1025">
        <f t="shared" si="2"/>
        <v>60</v>
      </c>
    </row>
    <row r="20" spans="1:16" ht="18.75" customHeight="1">
      <c r="A20" s="946" t="s">
        <v>221</v>
      </c>
      <c r="B20" s="947" t="s">
        <v>222</v>
      </c>
      <c r="C20" s="988">
        <f t="shared" si="0"/>
        <v>0</v>
      </c>
      <c r="D20" s="1100"/>
      <c r="E20" s="990"/>
      <c r="F20" s="1100"/>
      <c r="G20" s="1100"/>
      <c r="H20" s="988">
        <f t="shared" si="1"/>
        <v>31</v>
      </c>
      <c r="I20" s="989">
        <v>2</v>
      </c>
      <c r="J20" s="989">
        <v>29</v>
      </c>
      <c r="K20" s="989"/>
      <c r="L20" s="989"/>
      <c r="M20" s="989"/>
      <c r="N20" s="989"/>
      <c r="O20" s="989"/>
      <c r="P20" s="1025">
        <f t="shared" si="2"/>
        <v>31</v>
      </c>
    </row>
    <row r="21" spans="1:16" ht="19.5" customHeight="1">
      <c r="A21" s="946" t="s">
        <v>223</v>
      </c>
      <c r="B21" s="947" t="s">
        <v>224</v>
      </c>
      <c r="C21" s="988">
        <f t="shared" si="0"/>
        <v>0</v>
      </c>
      <c r="D21" s="1100"/>
      <c r="E21" s="990"/>
      <c r="F21" s="1100"/>
      <c r="G21" s="1100"/>
      <c r="H21" s="988">
        <f t="shared" si="1"/>
        <v>5</v>
      </c>
      <c r="I21" s="989"/>
      <c r="J21" s="989">
        <v>5</v>
      </c>
      <c r="K21" s="989"/>
      <c r="L21" s="989"/>
      <c r="M21" s="989"/>
      <c r="N21" s="989"/>
      <c r="O21" s="989"/>
      <c r="P21" s="1025">
        <f t="shared" si="2"/>
        <v>5</v>
      </c>
    </row>
    <row r="22" spans="1:16" ht="19.5" customHeight="1">
      <c r="A22" s="946" t="s">
        <v>736</v>
      </c>
      <c r="B22" s="947" t="s">
        <v>737</v>
      </c>
      <c r="C22" s="988">
        <f t="shared" si="0"/>
        <v>1</v>
      </c>
      <c r="D22" s="1100"/>
      <c r="E22" s="1100">
        <v>1</v>
      </c>
      <c r="F22" s="1100"/>
      <c r="G22" s="1100"/>
      <c r="H22" s="988">
        <f t="shared" si="1"/>
        <v>65</v>
      </c>
      <c r="I22" s="989">
        <v>2</v>
      </c>
      <c r="J22" s="989">
        <v>63</v>
      </c>
      <c r="K22" s="989"/>
      <c r="L22" s="989"/>
      <c r="M22" s="989"/>
      <c r="N22" s="989"/>
      <c r="O22" s="989"/>
      <c r="P22" s="1025">
        <f t="shared" si="2"/>
        <v>66</v>
      </c>
    </row>
    <row r="23" spans="1:16" ht="18.75" customHeight="1">
      <c r="A23" s="946" t="s">
        <v>225</v>
      </c>
      <c r="B23" s="947" t="s">
        <v>226</v>
      </c>
      <c r="C23" s="988">
        <f t="shared" si="0"/>
        <v>0</v>
      </c>
      <c r="D23" s="1100"/>
      <c r="E23" s="1100"/>
      <c r="F23" s="1100"/>
      <c r="G23" s="1100"/>
      <c r="H23" s="988">
        <f t="shared" si="1"/>
        <v>0</v>
      </c>
      <c r="I23" s="989"/>
      <c r="J23" s="989"/>
      <c r="K23" s="989"/>
      <c r="L23" s="989"/>
      <c r="M23" s="989"/>
      <c r="N23" s="989"/>
      <c r="O23" s="989"/>
      <c r="P23" s="1025">
        <f t="shared" si="2"/>
        <v>0</v>
      </c>
    </row>
    <row r="24" spans="1:16" ht="19.5" customHeight="1">
      <c r="A24" s="946" t="s">
        <v>744</v>
      </c>
      <c r="B24" s="947" t="s">
        <v>745</v>
      </c>
      <c r="C24" s="988">
        <f t="shared" si="0"/>
        <v>0</v>
      </c>
      <c r="D24" s="1100"/>
      <c r="E24" s="990"/>
      <c r="F24" s="1100"/>
      <c r="G24" s="1100"/>
      <c r="H24" s="988">
        <f t="shared" si="1"/>
        <v>0</v>
      </c>
      <c r="I24" s="989"/>
      <c r="J24" s="989"/>
      <c r="K24" s="989"/>
      <c r="L24" s="989"/>
      <c r="M24" s="989"/>
      <c r="N24" s="989"/>
      <c r="O24" s="989"/>
      <c r="P24" s="1025">
        <f t="shared" si="2"/>
        <v>0</v>
      </c>
    </row>
    <row r="25" spans="1:16" ht="20.25" customHeight="1">
      <c r="A25" s="946" t="s">
        <v>746</v>
      </c>
      <c r="B25" s="947" t="s">
        <v>747</v>
      </c>
      <c r="C25" s="988">
        <f t="shared" si="0"/>
        <v>0</v>
      </c>
      <c r="D25" s="1100"/>
      <c r="E25" s="1100"/>
      <c r="F25" s="1100"/>
      <c r="G25" s="1100"/>
      <c r="H25" s="988">
        <f t="shared" si="1"/>
        <v>0</v>
      </c>
      <c r="I25" s="989"/>
      <c r="J25" s="989"/>
      <c r="K25" s="989"/>
      <c r="L25" s="989"/>
      <c r="M25" s="989"/>
      <c r="N25" s="989"/>
      <c r="O25" s="989"/>
      <c r="P25" s="1025">
        <f t="shared" si="2"/>
        <v>0</v>
      </c>
    </row>
    <row r="26" spans="1:16" ht="21.75" customHeight="1">
      <c r="A26" s="946" t="s">
        <v>740</v>
      </c>
      <c r="B26" s="947" t="s">
        <v>761</v>
      </c>
      <c r="C26" s="988">
        <f t="shared" si="0"/>
        <v>0</v>
      </c>
      <c r="D26" s="1100"/>
      <c r="E26" s="1100"/>
      <c r="F26" s="1100"/>
      <c r="G26" s="1100"/>
      <c r="H26" s="988">
        <f t="shared" si="1"/>
        <v>24</v>
      </c>
      <c r="I26" s="989">
        <v>1</v>
      </c>
      <c r="J26" s="989">
        <v>23</v>
      </c>
      <c r="K26" s="989"/>
      <c r="L26" s="989"/>
      <c r="M26" s="989"/>
      <c r="N26" s="989"/>
      <c r="O26" s="989">
        <v>1</v>
      </c>
      <c r="P26" s="1025">
        <f t="shared" si="2"/>
        <v>25</v>
      </c>
    </row>
    <row r="27" spans="1:16" ht="27.75" customHeight="1">
      <c r="A27" s="946" t="s">
        <v>732</v>
      </c>
      <c r="B27" s="952" t="s">
        <v>227</v>
      </c>
      <c r="C27" s="988">
        <f t="shared" si="0"/>
        <v>3</v>
      </c>
      <c r="D27" s="1100">
        <v>2</v>
      </c>
      <c r="E27" s="1100">
        <v>1</v>
      </c>
      <c r="F27" s="1100"/>
      <c r="G27" s="1100"/>
      <c r="H27" s="988">
        <f t="shared" si="1"/>
        <v>54</v>
      </c>
      <c r="I27" s="989">
        <v>3</v>
      </c>
      <c r="J27" s="989">
        <v>51</v>
      </c>
      <c r="K27" s="989"/>
      <c r="L27" s="989"/>
      <c r="M27" s="989"/>
      <c r="N27" s="989"/>
      <c r="O27" s="989"/>
      <c r="P27" s="1025">
        <f t="shared" si="2"/>
        <v>57</v>
      </c>
    </row>
    <row r="28" spans="1:16" ht="21.75" customHeight="1">
      <c r="A28" s="953"/>
      <c r="B28" s="953" t="s">
        <v>863</v>
      </c>
      <c r="C28" s="1001">
        <f>SUM(C10:C27)</f>
        <v>8</v>
      </c>
      <c r="D28" s="1002">
        <f t="shared" ref="D28:P28" si="3">SUM(D10:D27)</f>
        <v>6</v>
      </c>
      <c r="E28" s="1002">
        <f t="shared" si="3"/>
        <v>2</v>
      </c>
      <c r="F28" s="1002">
        <f t="shared" si="3"/>
        <v>0</v>
      </c>
      <c r="G28" s="1002">
        <f t="shared" si="3"/>
        <v>0</v>
      </c>
      <c r="H28" s="1001">
        <f t="shared" si="3"/>
        <v>555</v>
      </c>
      <c r="I28" s="1002">
        <f t="shared" si="3"/>
        <v>37</v>
      </c>
      <c r="J28" s="1002">
        <f t="shared" si="3"/>
        <v>514</v>
      </c>
      <c r="K28" s="1002">
        <f t="shared" si="3"/>
        <v>3</v>
      </c>
      <c r="L28" s="1002">
        <f t="shared" si="3"/>
        <v>0</v>
      </c>
      <c r="M28" s="1002">
        <f t="shared" si="3"/>
        <v>1</v>
      </c>
      <c r="N28" s="1002">
        <f t="shared" si="3"/>
        <v>0</v>
      </c>
      <c r="O28" s="1002">
        <f t="shared" si="3"/>
        <v>5</v>
      </c>
      <c r="P28" s="1014">
        <f t="shared" si="3"/>
        <v>568</v>
      </c>
    </row>
    <row r="29" spans="1:16" ht="21.75" customHeight="1">
      <c r="A29" s="958"/>
      <c r="B29" s="958"/>
      <c r="C29" s="991"/>
      <c r="D29" s="991"/>
      <c r="E29" s="991"/>
      <c r="F29" s="991"/>
      <c r="G29" s="991"/>
      <c r="H29" s="991"/>
      <c r="I29" s="991"/>
      <c r="J29" s="991"/>
      <c r="K29" s="991"/>
      <c r="L29" s="991"/>
      <c r="M29" s="991"/>
      <c r="N29" s="1003"/>
      <c r="O29" s="989"/>
      <c r="P29" s="989"/>
    </row>
    <row r="30" spans="1:16" ht="21.75" customHeight="1">
      <c r="A30" s="958"/>
      <c r="B30" s="958"/>
      <c r="C30" s="991"/>
      <c r="D30" s="991"/>
      <c r="E30" s="991"/>
      <c r="F30" s="991"/>
      <c r="G30" s="991"/>
      <c r="H30" s="991"/>
      <c r="I30" s="991"/>
      <c r="J30" s="991"/>
      <c r="K30" s="991"/>
      <c r="L30" s="991"/>
      <c r="M30" s="991"/>
      <c r="N30" s="1003"/>
      <c r="O30" s="989"/>
      <c r="P30" s="989"/>
    </row>
    <row r="31" spans="1:16" ht="21.75" customHeight="1">
      <c r="A31" s="958"/>
      <c r="B31" s="958"/>
      <c r="C31" s="991"/>
      <c r="D31" s="991"/>
      <c r="E31" s="991"/>
      <c r="F31" s="991"/>
      <c r="G31" s="991"/>
      <c r="H31" s="991"/>
      <c r="I31" s="991"/>
      <c r="J31" s="991"/>
      <c r="K31" s="991"/>
      <c r="L31" s="991"/>
      <c r="M31" s="991"/>
      <c r="N31" s="1003"/>
      <c r="O31" s="989"/>
      <c r="P31" s="989"/>
    </row>
    <row r="32" spans="1:16" ht="21.75" customHeight="1">
      <c r="A32" s="958"/>
      <c r="B32" s="958"/>
      <c r="C32" s="991"/>
      <c r="D32" s="991"/>
      <c r="E32" s="991"/>
      <c r="F32" s="991"/>
      <c r="G32" s="991"/>
      <c r="H32" s="991"/>
      <c r="I32" s="991"/>
      <c r="J32" s="991"/>
      <c r="K32" s="991"/>
      <c r="L32" s="991"/>
      <c r="M32" s="991"/>
      <c r="N32" s="1003"/>
      <c r="O32" s="989"/>
      <c r="P32" s="989"/>
    </row>
    <row r="33" spans="1:16">
      <c r="A33" s="1484" t="s">
        <v>228</v>
      </c>
      <c r="B33" s="1484"/>
      <c r="C33" s="1484"/>
      <c r="D33" s="1484"/>
      <c r="E33" s="1484"/>
      <c r="F33" s="1484"/>
      <c r="G33" s="1484"/>
      <c r="H33" s="1484"/>
      <c r="I33" s="1484"/>
      <c r="J33" s="1484"/>
      <c r="K33" s="1484"/>
      <c r="L33" s="1484"/>
      <c r="M33" s="1484"/>
      <c r="N33" s="1005"/>
      <c r="O33" s="989"/>
      <c r="P33" s="989"/>
    </row>
    <row r="34" spans="1:16">
      <c r="A34" s="1029"/>
      <c r="B34" s="1029"/>
      <c r="C34" s="1015"/>
      <c r="D34" s="1015"/>
      <c r="E34" s="1015"/>
      <c r="F34" s="1015"/>
      <c r="G34" s="1015"/>
      <c r="H34" s="1015"/>
      <c r="I34" s="989"/>
      <c r="J34" s="989"/>
      <c r="K34" s="989"/>
      <c r="L34" s="989"/>
      <c r="M34" s="989"/>
      <c r="N34" s="989"/>
      <c r="O34" s="989"/>
      <c r="P34" s="989"/>
    </row>
    <row r="35" spans="1:16">
      <c r="A35" s="1484" t="str">
        <f>+A3</f>
        <v>SERVICIO DE SALUD   ACONCAGUA   2015</v>
      </c>
      <c r="B35" s="1484"/>
      <c r="C35" s="1484"/>
      <c r="D35" s="1484"/>
      <c r="E35" s="1484"/>
      <c r="F35" s="1484"/>
      <c r="G35" s="1484"/>
      <c r="H35" s="1484"/>
      <c r="I35" s="1484"/>
      <c r="J35" s="1484"/>
      <c r="K35" s="1484"/>
      <c r="L35" s="1484"/>
      <c r="M35" s="1484"/>
      <c r="N35" s="989"/>
      <c r="O35" s="989"/>
      <c r="P35" s="989"/>
    </row>
    <row r="36" spans="1:16">
      <c r="A36" s="1029"/>
      <c r="B36" s="1029"/>
      <c r="C36" s="1015"/>
      <c r="D36" s="1015"/>
      <c r="E36" s="1015"/>
      <c r="F36" s="1015"/>
      <c r="G36" s="1015"/>
      <c r="H36" s="1015"/>
      <c r="I36" s="989"/>
      <c r="J36" s="989"/>
      <c r="K36" s="989"/>
      <c r="L36" s="989"/>
      <c r="M36" s="989"/>
      <c r="N36" s="989"/>
      <c r="O36" s="989"/>
      <c r="P36" s="989"/>
    </row>
    <row r="37" spans="1:16">
      <c r="A37" s="1484" t="s">
        <v>235</v>
      </c>
      <c r="B37" s="1484"/>
      <c r="C37" s="1484"/>
      <c r="D37" s="1484"/>
      <c r="E37" s="1484"/>
      <c r="F37" s="1484"/>
      <c r="G37" s="1484"/>
      <c r="H37" s="1484"/>
      <c r="I37" s="1484"/>
      <c r="J37" s="1484"/>
      <c r="K37" s="1484"/>
      <c r="L37" s="1484"/>
      <c r="M37" s="1484"/>
      <c r="N37" s="1030"/>
      <c r="O37" s="989"/>
      <c r="P37" s="989"/>
    </row>
    <row r="38" spans="1:16">
      <c r="C38" s="989"/>
      <c r="D38" s="989"/>
      <c r="E38" s="989"/>
      <c r="F38" s="989"/>
      <c r="G38" s="989"/>
      <c r="H38" s="989"/>
      <c r="I38" s="989"/>
      <c r="J38" s="989"/>
      <c r="K38" s="989"/>
      <c r="L38" s="989"/>
      <c r="M38" s="989"/>
      <c r="N38" s="989"/>
      <c r="O38" s="989"/>
      <c r="P38" s="989"/>
    </row>
    <row r="39" spans="1:16" ht="21.75" customHeight="1">
      <c r="A39" s="981" t="s">
        <v>701</v>
      </c>
      <c r="B39" s="932"/>
      <c r="C39" s="1481" t="s">
        <v>749</v>
      </c>
      <c r="D39" s="1482"/>
      <c r="E39" s="1482"/>
      <c r="F39" s="1482"/>
      <c r="G39" s="1482"/>
      <c r="H39" s="1482"/>
      <c r="I39" s="1482"/>
      <c r="J39" s="1482"/>
      <c r="K39" s="1482"/>
      <c r="L39" s="1482"/>
      <c r="M39" s="1483"/>
      <c r="N39" s="1007"/>
      <c r="O39" s="989"/>
      <c r="P39" s="989"/>
    </row>
    <row r="40" spans="1:16" ht="23.25" customHeight="1">
      <c r="A40" s="982" t="s">
        <v>703</v>
      </c>
      <c r="B40" s="983" t="s">
        <v>704</v>
      </c>
      <c r="C40" s="1008" t="s">
        <v>751</v>
      </c>
      <c r="D40" s="1008" t="s">
        <v>752</v>
      </c>
      <c r="E40" s="1008" t="s">
        <v>753</v>
      </c>
      <c r="F40" s="1008" t="s">
        <v>754</v>
      </c>
      <c r="G40" s="1008" t="s">
        <v>755</v>
      </c>
      <c r="H40" s="1008" t="s">
        <v>756</v>
      </c>
      <c r="I40" s="1008" t="s">
        <v>757</v>
      </c>
      <c r="J40" s="1008" t="s">
        <v>758</v>
      </c>
      <c r="K40" s="1008" t="s">
        <v>759</v>
      </c>
      <c r="L40" s="1008" t="s">
        <v>760</v>
      </c>
      <c r="M40" s="1009" t="s">
        <v>535</v>
      </c>
      <c r="N40" s="989"/>
      <c r="O40" s="989"/>
      <c r="P40" s="989"/>
    </row>
    <row r="41" spans="1:16">
      <c r="A41" s="942"/>
      <c r="B41" s="943"/>
      <c r="C41" s="985"/>
      <c r="D41" s="985"/>
      <c r="E41" s="985"/>
      <c r="F41" s="985"/>
      <c r="G41" s="985"/>
      <c r="H41" s="985"/>
      <c r="I41" s="985"/>
      <c r="J41" s="985"/>
      <c r="K41" s="985"/>
      <c r="L41" s="985"/>
      <c r="M41" s="1010"/>
      <c r="N41" s="989"/>
      <c r="O41" s="989"/>
      <c r="P41" s="989"/>
    </row>
    <row r="42" spans="1:16" ht="20.25" customHeight="1">
      <c r="A42" s="946" t="s">
        <v>738</v>
      </c>
      <c r="B42" s="947" t="s">
        <v>739</v>
      </c>
      <c r="C42" s="989"/>
      <c r="D42" s="989"/>
      <c r="E42" s="989"/>
      <c r="F42" s="989"/>
      <c r="G42" s="989"/>
      <c r="H42" s="989"/>
      <c r="I42" s="989">
        <v>1</v>
      </c>
      <c r="J42" s="989">
        <v>4</v>
      </c>
      <c r="K42" s="989">
        <v>5</v>
      </c>
      <c r="L42" s="989">
        <v>9</v>
      </c>
      <c r="M42" s="1025">
        <f t="shared" ref="M42:M59" si="4">SUM(B42:L42)</f>
        <v>19</v>
      </c>
      <c r="N42" s="989"/>
      <c r="O42" s="989"/>
      <c r="P42" s="989"/>
    </row>
    <row r="43" spans="1:16" ht="19.5" customHeight="1">
      <c r="A43" s="946" t="s">
        <v>714</v>
      </c>
      <c r="B43" s="947" t="s">
        <v>715</v>
      </c>
      <c r="C43" s="989"/>
      <c r="D43" s="989"/>
      <c r="E43" s="989"/>
      <c r="F43" s="989"/>
      <c r="G43" s="989"/>
      <c r="H43" s="989"/>
      <c r="I43" s="989"/>
      <c r="J43" s="989"/>
      <c r="K43" s="990">
        <v>4</v>
      </c>
      <c r="L43" s="989">
        <v>7</v>
      </c>
      <c r="M43" s="1025">
        <f t="shared" si="4"/>
        <v>11</v>
      </c>
      <c r="N43" s="989"/>
      <c r="O43" s="989"/>
      <c r="P43" s="989"/>
    </row>
    <row r="44" spans="1:16" ht="18" customHeight="1">
      <c r="A44" s="946" t="s">
        <v>213</v>
      </c>
      <c r="B44" s="947" t="s">
        <v>214</v>
      </c>
      <c r="C44" s="989"/>
      <c r="D44" s="989"/>
      <c r="E44" s="989"/>
      <c r="F44" s="989"/>
      <c r="G44" s="989"/>
      <c r="H44" s="989"/>
      <c r="I44" s="989"/>
      <c r="J44" s="989"/>
      <c r="K44" s="989">
        <v>3</v>
      </c>
      <c r="L44" s="989">
        <v>1</v>
      </c>
      <c r="M44" s="1025">
        <f t="shared" si="4"/>
        <v>4</v>
      </c>
      <c r="N44" s="989"/>
      <c r="O44" s="989"/>
      <c r="P44" s="989"/>
    </row>
    <row r="45" spans="1:16" ht="19.5" customHeight="1">
      <c r="A45" s="946" t="s">
        <v>742</v>
      </c>
      <c r="B45" s="947" t="s">
        <v>743</v>
      </c>
      <c r="C45" s="989"/>
      <c r="D45" s="989"/>
      <c r="E45" s="989"/>
      <c r="F45" s="989"/>
      <c r="G45" s="989"/>
      <c r="H45" s="989"/>
      <c r="I45" s="989"/>
      <c r="J45" s="989">
        <v>2</v>
      </c>
      <c r="K45" s="989">
        <v>9</v>
      </c>
      <c r="L45" s="989">
        <v>21</v>
      </c>
      <c r="M45" s="1025">
        <f t="shared" si="4"/>
        <v>32</v>
      </c>
      <c r="N45" s="989"/>
      <c r="O45" s="989"/>
      <c r="P45" s="989"/>
    </row>
    <row r="46" spans="1:16" ht="19.5" customHeight="1">
      <c r="A46" s="946" t="s">
        <v>215</v>
      </c>
      <c r="B46" s="947" t="s">
        <v>216</v>
      </c>
      <c r="C46" s="989"/>
      <c r="D46" s="989"/>
      <c r="E46" s="989"/>
      <c r="F46" s="989"/>
      <c r="G46" s="989"/>
      <c r="H46" s="989">
        <v>1</v>
      </c>
      <c r="I46" s="989">
        <v>3</v>
      </c>
      <c r="J46" s="989">
        <v>21</v>
      </c>
      <c r="K46" s="989">
        <v>11</v>
      </c>
      <c r="L46" s="989">
        <v>3</v>
      </c>
      <c r="M46" s="1025">
        <f t="shared" si="4"/>
        <v>39</v>
      </c>
      <c r="N46" s="989"/>
      <c r="O46" s="989"/>
      <c r="P46" s="989"/>
    </row>
    <row r="47" spans="1:16" ht="19.5" customHeight="1">
      <c r="A47" s="946" t="s">
        <v>217</v>
      </c>
      <c r="B47" s="947" t="s">
        <v>218</v>
      </c>
      <c r="C47" s="989"/>
      <c r="D47" s="989"/>
      <c r="E47" s="989"/>
      <c r="F47" s="989"/>
      <c r="G47" s="989"/>
      <c r="H47" s="989"/>
      <c r="I47" s="989"/>
      <c r="J47" s="989">
        <v>1</v>
      </c>
      <c r="K47" s="989">
        <v>3</v>
      </c>
      <c r="L47" s="989">
        <v>7</v>
      </c>
      <c r="M47" s="1025">
        <f t="shared" si="4"/>
        <v>11</v>
      </c>
      <c r="N47" s="989"/>
      <c r="O47" s="989"/>
      <c r="P47" s="989"/>
    </row>
    <row r="48" spans="1:16" ht="19.5" customHeight="1">
      <c r="A48" s="946" t="s">
        <v>219</v>
      </c>
      <c r="B48" s="947" t="s">
        <v>220</v>
      </c>
      <c r="C48" s="989"/>
      <c r="D48" s="989"/>
      <c r="E48" s="989"/>
      <c r="F48" s="989"/>
      <c r="G48" s="989"/>
      <c r="H48" s="989"/>
      <c r="I48" s="989"/>
      <c r="J48" s="990"/>
      <c r="K48" s="989">
        <v>2</v>
      </c>
      <c r="L48" s="989"/>
      <c r="M48" s="1025">
        <f t="shared" si="4"/>
        <v>2</v>
      </c>
      <c r="N48" s="989"/>
      <c r="O48" s="989"/>
      <c r="P48" s="989"/>
    </row>
    <row r="49" spans="1:16" ht="18" customHeight="1">
      <c r="A49" s="946" t="s">
        <v>712</v>
      </c>
      <c r="B49" s="947" t="s">
        <v>713</v>
      </c>
      <c r="C49" s="989"/>
      <c r="D49" s="989"/>
      <c r="E49" s="989"/>
      <c r="F49" s="989"/>
      <c r="G49" s="989"/>
      <c r="H49" s="989"/>
      <c r="I49" s="989"/>
      <c r="J49" s="989">
        <v>2</v>
      </c>
      <c r="K49" s="989">
        <v>27</v>
      </c>
      <c r="L49" s="989">
        <v>53</v>
      </c>
      <c r="M49" s="1025">
        <f t="shared" si="4"/>
        <v>82</v>
      </c>
      <c r="N49" s="989"/>
      <c r="O49" s="989"/>
      <c r="P49" s="989"/>
    </row>
    <row r="50" spans="1:16" ht="18.75" customHeight="1">
      <c r="A50" s="946" t="s">
        <v>716</v>
      </c>
      <c r="B50" s="947" t="s">
        <v>717</v>
      </c>
      <c r="C50" s="989"/>
      <c r="D50" s="989"/>
      <c r="E50" s="989"/>
      <c r="F50" s="989"/>
      <c r="G50" s="989"/>
      <c r="H50" s="989"/>
      <c r="I50" s="989">
        <v>1</v>
      </c>
      <c r="J50" s="989">
        <v>4</v>
      </c>
      <c r="K50" s="989">
        <v>23</v>
      </c>
      <c r="L50" s="989">
        <v>96</v>
      </c>
      <c r="M50" s="1025">
        <f t="shared" si="4"/>
        <v>124</v>
      </c>
      <c r="N50" s="989"/>
      <c r="O50" s="989"/>
      <c r="P50" s="989"/>
    </row>
    <row r="51" spans="1:16" ht="19.5" customHeight="1">
      <c r="A51" s="946" t="s">
        <v>734</v>
      </c>
      <c r="B51" s="947" t="s">
        <v>735</v>
      </c>
      <c r="C51" s="989"/>
      <c r="D51" s="989"/>
      <c r="E51" s="989"/>
      <c r="F51" s="989"/>
      <c r="G51" s="989"/>
      <c r="H51" s="989"/>
      <c r="I51" s="989">
        <v>1</v>
      </c>
      <c r="J51" s="989">
        <v>6</v>
      </c>
      <c r="K51" s="989">
        <v>17</v>
      </c>
      <c r="L51" s="989">
        <v>36</v>
      </c>
      <c r="M51" s="1025">
        <f t="shared" si="4"/>
        <v>60</v>
      </c>
      <c r="N51" s="989"/>
      <c r="O51" s="989"/>
      <c r="P51" s="989"/>
    </row>
    <row r="52" spans="1:16" ht="18" customHeight="1">
      <c r="A52" s="946" t="s">
        <v>221</v>
      </c>
      <c r="B52" s="947" t="s">
        <v>222</v>
      </c>
      <c r="C52" s="989"/>
      <c r="D52" s="989"/>
      <c r="E52" s="989"/>
      <c r="F52" s="989"/>
      <c r="G52" s="989"/>
      <c r="H52" s="989"/>
      <c r="I52" s="989"/>
      <c r="J52" s="989">
        <v>9</v>
      </c>
      <c r="K52" s="989">
        <v>15</v>
      </c>
      <c r="L52" s="989">
        <v>7</v>
      </c>
      <c r="M52" s="1025">
        <f t="shared" si="4"/>
        <v>31</v>
      </c>
      <c r="N52" s="989"/>
      <c r="O52" s="989"/>
      <c r="P52" s="989"/>
    </row>
    <row r="53" spans="1:16" ht="19.5" customHeight="1">
      <c r="A53" s="946" t="s">
        <v>223</v>
      </c>
      <c r="B53" s="947" t="s">
        <v>224</v>
      </c>
      <c r="C53" s="989"/>
      <c r="D53" s="989"/>
      <c r="E53" s="989"/>
      <c r="F53" s="989"/>
      <c r="G53" s="989"/>
      <c r="H53" s="989"/>
      <c r="I53" s="989"/>
      <c r="J53" s="989">
        <v>1</v>
      </c>
      <c r="K53" s="989">
        <v>1</v>
      </c>
      <c r="L53" s="989">
        <v>3</v>
      </c>
      <c r="M53" s="1025">
        <f t="shared" si="4"/>
        <v>5</v>
      </c>
      <c r="N53" s="989"/>
      <c r="O53" s="989"/>
      <c r="P53" s="989"/>
    </row>
    <row r="54" spans="1:16" ht="18.75" customHeight="1">
      <c r="A54" s="946" t="s">
        <v>736</v>
      </c>
      <c r="B54" s="947" t="s">
        <v>737</v>
      </c>
      <c r="C54" s="989"/>
      <c r="D54" s="989"/>
      <c r="E54" s="989"/>
      <c r="F54" s="989"/>
      <c r="G54" s="989"/>
      <c r="H54" s="989"/>
      <c r="I54" s="989">
        <v>1</v>
      </c>
      <c r="J54" s="989">
        <v>8</v>
      </c>
      <c r="K54" s="989">
        <v>10</v>
      </c>
      <c r="L54" s="989">
        <v>47</v>
      </c>
      <c r="M54" s="1025">
        <f t="shared" si="4"/>
        <v>66</v>
      </c>
      <c r="N54" s="989"/>
      <c r="O54" s="989"/>
      <c r="P54" s="989"/>
    </row>
    <row r="55" spans="1:16" ht="18.75" customHeight="1">
      <c r="A55" s="946" t="s">
        <v>225</v>
      </c>
      <c r="B55" s="947" t="s">
        <v>226</v>
      </c>
      <c r="C55" s="989"/>
      <c r="D55" s="989"/>
      <c r="E55" s="989"/>
      <c r="F55" s="989"/>
      <c r="G55" s="989"/>
      <c r="H55" s="989"/>
      <c r="I55" s="989"/>
      <c r="J55" s="989"/>
      <c r="K55" s="989"/>
      <c r="L55" s="1066"/>
      <c r="M55" s="1025">
        <f t="shared" si="4"/>
        <v>0</v>
      </c>
      <c r="N55" s="989"/>
      <c r="O55" s="989"/>
      <c r="P55" s="989"/>
    </row>
    <row r="56" spans="1:16" ht="18" customHeight="1">
      <c r="A56" s="946" t="s">
        <v>744</v>
      </c>
      <c r="B56" s="947" t="s">
        <v>745</v>
      </c>
      <c r="C56" s="989"/>
      <c r="D56" s="989"/>
      <c r="E56" s="989"/>
      <c r="F56" s="989"/>
      <c r="G56" s="989"/>
      <c r="H56" s="989"/>
      <c r="I56" s="989"/>
      <c r="J56" s="989"/>
      <c r="K56" s="1066"/>
      <c r="L56" s="989"/>
      <c r="M56" s="1025">
        <f t="shared" si="4"/>
        <v>0</v>
      </c>
      <c r="N56" s="989"/>
      <c r="O56" s="989"/>
      <c r="P56" s="989"/>
    </row>
    <row r="57" spans="1:16" ht="20.25" customHeight="1">
      <c r="A57" s="946" t="s">
        <v>746</v>
      </c>
      <c r="B57" s="947" t="s">
        <v>747</v>
      </c>
      <c r="C57" s="989"/>
      <c r="D57" s="989"/>
      <c r="E57" s="989"/>
      <c r="F57" s="989"/>
      <c r="G57" s="989"/>
      <c r="H57" s="989"/>
      <c r="I57" s="989"/>
      <c r="J57" s="989"/>
      <c r="K57" s="989"/>
      <c r="L57" s="989"/>
      <c r="M57" s="1025">
        <f t="shared" si="4"/>
        <v>0</v>
      </c>
      <c r="N57" s="989"/>
      <c r="O57" s="989"/>
      <c r="P57" s="989"/>
    </row>
    <row r="58" spans="1:16" ht="19.5" customHeight="1">
      <c r="A58" s="946" t="s">
        <v>740</v>
      </c>
      <c r="B58" s="947" t="s">
        <v>761</v>
      </c>
      <c r="C58" s="989"/>
      <c r="D58" s="989"/>
      <c r="E58" s="989"/>
      <c r="F58" s="989"/>
      <c r="G58" s="989"/>
      <c r="H58" s="989"/>
      <c r="I58" s="989">
        <v>2</v>
      </c>
      <c r="J58" s="989">
        <v>3</v>
      </c>
      <c r="K58" s="989">
        <v>6</v>
      </c>
      <c r="L58" s="989">
        <v>14</v>
      </c>
      <c r="M58" s="1025">
        <f t="shared" si="4"/>
        <v>25</v>
      </c>
      <c r="N58" s="989"/>
      <c r="O58" s="989"/>
      <c r="P58" s="989"/>
    </row>
    <row r="59" spans="1:16" ht="27.75" customHeight="1">
      <c r="A59" s="946" t="s">
        <v>732</v>
      </c>
      <c r="B59" s="952" t="s">
        <v>227</v>
      </c>
      <c r="C59" s="989"/>
      <c r="D59" s="989"/>
      <c r="E59" s="989"/>
      <c r="F59" s="989"/>
      <c r="G59" s="989"/>
      <c r="H59" s="989"/>
      <c r="I59" s="989">
        <v>3</v>
      </c>
      <c r="J59" s="989">
        <v>14</v>
      </c>
      <c r="K59" s="989">
        <v>16</v>
      </c>
      <c r="L59" s="989">
        <v>24</v>
      </c>
      <c r="M59" s="1025">
        <f t="shared" si="4"/>
        <v>57</v>
      </c>
      <c r="N59" s="989"/>
      <c r="O59" s="989"/>
      <c r="P59" s="989"/>
    </row>
    <row r="60" spans="1:16" ht="19.5" customHeight="1">
      <c r="A60" s="953"/>
      <c r="B60" s="953" t="s">
        <v>863</v>
      </c>
      <c r="C60" s="1012">
        <f t="shared" ref="C60:M60" si="5">SUM(C42:C59)</f>
        <v>0</v>
      </c>
      <c r="D60" s="1012">
        <f t="shared" si="5"/>
        <v>0</v>
      </c>
      <c r="E60" s="1012">
        <f t="shared" si="5"/>
        <v>0</v>
      </c>
      <c r="F60" s="1012">
        <f t="shared" si="5"/>
        <v>0</v>
      </c>
      <c r="G60" s="1012">
        <f t="shared" si="5"/>
        <v>0</v>
      </c>
      <c r="H60" s="1012">
        <f t="shared" si="5"/>
        <v>1</v>
      </c>
      <c r="I60" s="1012">
        <f t="shared" si="5"/>
        <v>12</v>
      </c>
      <c r="J60" s="1012">
        <f t="shared" si="5"/>
        <v>75</v>
      </c>
      <c r="K60" s="1012">
        <f t="shared" si="5"/>
        <v>152</v>
      </c>
      <c r="L60" s="1012">
        <f t="shared" si="5"/>
        <v>328</v>
      </c>
      <c r="M60" s="957">
        <f t="shared" si="5"/>
        <v>568</v>
      </c>
      <c r="O60" s="989"/>
    </row>
  </sheetData>
  <mergeCells count="7">
    <mergeCell ref="A1:P1"/>
    <mergeCell ref="A3:P3"/>
    <mergeCell ref="A5:P5"/>
    <mergeCell ref="C39:M39"/>
    <mergeCell ref="A33:M33"/>
    <mergeCell ref="A35:M35"/>
    <mergeCell ref="A37:M37"/>
  </mergeCells>
  <phoneticPr fontId="19" type="noConversion"/>
  <pageMargins left="1.3779527559055118" right="0.78740157480314965" top="1.1811023622047245" bottom="0.59055118110236227" header="0.51181102362204722" footer="0.51181102362204722"/>
  <pageSetup paperSize="5" scale="85" orientation="landscape" horizontalDpi="300" verticalDpi="30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7"/>
  <sheetViews>
    <sheetView topLeftCell="A10" zoomScale="75" workbookViewId="0">
      <selection activeCell="C61" sqref="C61"/>
    </sheetView>
  </sheetViews>
  <sheetFormatPr baseColWidth="10" defaultColWidth="11.42578125" defaultRowHeight="12.75"/>
  <cols>
    <col min="1" max="1" width="9.42578125" style="928" customWidth="1"/>
    <col min="2" max="2" width="26.85546875" style="928" customWidth="1"/>
    <col min="3" max="3" width="9.85546875" style="928" customWidth="1"/>
    <col min="4" max="4" width="9.7109375" style="928" customWidth="1"/>
    <col min="5" max="5" width="9.28515625" style="928" customWidth="1"/>
    <col min="6" max="6" width="9.5703125" style="928" customWidth="1"/>
    <col min="7" max="8" width="9.28515625" style="928" customWidth="1"/>
    <col min="9" max="10" width="9.7109375" style="928" customWidth="1"/>
    <col min="11" max="11" width="10" style="928" customWidth="1"/>
    <col min="12" max="12" width="9" style="928" customWidth="1"/>
    <col min="13" max="13" width="8.5703125" style="928" customWidth="1"/>
    <col min="14" max="14" width="9.140625" style="928" customWidth="1"/>
    <col min="15" max="16384" width="11.42578125" style="928"/>
  </cols>
  <sheetData>
    <row r="1" spans="1:16">
      <c r="A1" s="925" t="s">
        <v>212</v>
      </c>
      <c r="B1" s="925"/>
      <c r="C1" s="1031"/>
      <c r="D1" s="1031"/>
      <c r="E1" s="1031"/>
      <c r="F1" s="1031"/>
      <c r="G1" s="1031"/>
      <c r="H1" s="1031"/>
      <c r="I1" s="926"/>
      <c r="J1" s="926"/>
      <c r="K1" s="926"/>
      <c r="L1" s="926"/>
      <c r="M1" s="926"/>
      <c r="N1" s="926"/>
    </row>
    <row r="2" spans="1:16">
      <c r="A2" s="925"/>
      <c r="B2" s="925"/>
      <c r="C2" s="1031"/>
      <c r="D2" s="1031"/>
      <c r="E2" s="1031"/>
      <c r="F2" s="1031"/>
      <c r="G2" s="1031"/>
      <c r="H2" s="1031"/>
      <c r="I2" s="926"/>
      <c r="J2" s="926"/>
      <c r="K2" s="926"/>
      <c r="L2" s="926"/>
      <c r="M2" s="926"/>
      <c r="N2" s="926"/>
    </row>
    <row r="3" spans="1:16">
      <c r="A3" s="925" t="str">
        <f>+'89'!A3</f>
        <v>SERVICIO DE SALUD   ACONCAGUA   2015</v>
      </c>
      <c r="B3" s="925"/>
      <c r="C3" s="1031"/>
      <c r="D3" s="1031"/>
      <c r="E3" s="1031"/>
      <c r="F3" s="1031"/>
      <c r="G3" s="1031"/>
      <c r="H3" s="1031"/>
      <c r="I3" s="926"/>
      <c r="J3" s="926"/>
      <c r="K3" s="926"/>
      <c r="L3" s="926"/>
      <c r="M3" s="926"/>
      <c r="N3" s="926"/>
    </row>
    <row r="4" spans="1:16">
      <c r="A4" s="925"/>
      <c r="B4" s="925"/>
      <c r="C4" s="1031"/>
      <c r="D4" s="1031"/>
      <c r="E4" s="1031"/>
      <c r="F4" s="1031"/>
      <c r="G4" s="1031"/>
      <c r="H4" s="1031"/>
      <c r="I4" s="926"/>
      <c r="J4" s="926"/>
      <c r="K4" s="926"/>
      <c r="L4" s="926"/>
      <c r="M4" s="926"/>
      <c r="N4" s="926"/>
    </row>
    <row r="5" spans="1:16">
      <c r="A5" s="925" t="s">
        <v>236</v>
      </c>
      <c r="B5" s="925"/>
      <c r="C5" s="1031"/>
      <c r="D5" s="1031"/>
      <c r="E5" s="1031"/>
      <c r="F5" s="1031"/>
      <c r="G5" s="1031"/>
      <c r="H5" s="1031"/>
      <c r="I5" s="1032"/>
      <c r="J5" s="1032"/>
      <c r="K5" s="1032"/>
      <c r="L5" s="1032"/>
      <c r="M5" s="1032"/>
      <c r="N5" s="1032"/>
    </row>
    <row r="6" spans="1:16">
      <c r="A6" s="1033"/>
      <c r="B6" s="1033"/>
      <c r="C6" s="1033"/>
      <c r="D6" s="1033"/>
      <c r="E6" s="1033"/>
      <c r="F6" s="1033"/>
      <c r="G6" s="1033"/>
      <c r="H6" s="1033"/>
    </row>
    <row r="7" spans="1:16" ht="18.75" customHeight="1">
      <c r="A7" s="931" t="s">
        <v>701</v>
      </c>
      <c r="B7" s="932"/>
      <c r="C7" s="933"/>
      <c r="D7" s="934" t="s">
        <v>702</v>
      </c>
      <c r="E7" s="934"/>
      <c r="F7" s="934"/>
      <c r="G7" s="934"/>
      <c r="H7" s="934"/>
      <c r="I7" s="934"/>
      <c r="J7" s="934"/>
      <c r="K7" s="934"/>
      <c r="L7" s="934"/>
      <c r="M7" s="934"/>
      <c r="N7" s="934"/>
      <c r="O7" s="934"/>
      <c r="P7" s="935"/>
    </row>
    <row r="8" spans="1:16" ht="23.25" customHeight="1">
      <c r="A8" s="936" t="s">
        <v>703</v>
      </c>
      <c r="B8" s="937" t="s">
        <v>704</v>
      </c>
      <c r="C8" s="938" t="s">
        <v>705</v>
      </c>
      <c r="D8" s="939" t="s">
        <v>649</v>
      </c>
      <c r="E8" s="940" t="s">
        <v>706</v>
      </c>
      <c r="F8" s="940" t="s">
        <v>707</v>
      </c>
      <c r="G8" s="940" t="s">
        <v>447</v>
      </c>
      <c r="H8" s="938" t="s">
        <v>708</v>
      </c>
      <c r="I8" s="940" t="s">
        <v>709</v>
      </c>
      <c r="J8" s="940" t="s">
        <v>411</v>
      </c>
      <c r="K8" s="940" t="s">
        <v>429</v>
      </c>
      <c r="L8" s="940" t="s">
        <v>434</v>
      </c>
      <c r="M8" s="940" t="s">
        <v>710</v>
      </c>
      <c r="N8" s="940" t="s">
        <v>436</v>
      </c>
      <c r="O8" s="940" t="s">
        <v>711</v>
      </c>
      <c r="P8" s="941" t="s">
        <v>535</v>
      </c>
    </row>
    <row r="9" spans="1:16">
      <c r="A9" s="942"/>
      <c r="B9" s="943"/>
      <c r="C9" s="932"/>
      <c r="D9" s="944"/>
      <c r="E9" s="944"/>
      <c r="F9" s="944"/>
      <c r="G9" s="944"/>
      <c r="H9" s="932"/>
      <c r="I9" s="944"/>
      <c r="J9" s="944"/>
      <c r="K9" s="944"/>
      <c r="L9" s="944"/>
      <c r="M9" s="944"/>
      <c r="N9" s="944"/>
      <c r="O9" s="944"/>
      <c r="P9" s="969"/>
    </row>
    <row r="10" spans="1:16" ht="18" customHeight="1">
      <c r="A10" s="946" t="s">
        <v>738</v>
      </c>
      <c r="B10" s="947" t="s">
        <v>739</v>
      </c>
      <c r="C10" s="988">
        <f>SUM(D10:G10)</f>
        <v>0</v>
      </c>
      <c r="D10" s="989"/>
      <c r="E10" s="989"/>
      <c r="F10" s="989"/>
      <c r="G10" s="989"/>
      <c r="H10" s="988">
        <f>SUM(I10:N10)</f>
        <v>0</v>
      </c>
      <c r="I10" s="989"/>
      <c r="J10" s="989"/>
      <c r="K10" s="989"/>
      <c r="L10" s="989"/>
      <c r="M10" s="989"/>
      <c r="N10" s="989"/>
      <c r="O10" s="989"/>
      <c r="P10" s="1025">
        <f>+O10+H10+C10</f>
        <v>0</v>
      </c>
    </row>
    <row r="11" spans="1:16" ht="20.25" customHeight="1">
      <c r="A11" s="946" t="s">
        <v>714</v>
      </c>
      <c r="B11" s="947" t="s">
        <v>715</v>
      </c>
      <c r="C11" s="988">
        <f t="shared" ref="C11:C27" si="0">SUM(D11:G11)</f>
        <v>0</v>
      </c>
      <c r="D11" s="989"/>
      <c r="E11" s="989"/>
      <c r="F11" s="989"/>
      <c r="G11" s="989"/>
      <c r="H11" s="988">
        <f t="shared" ref="H11:H27" si="1">SUM(I11:N11)</f>
        <v>0</v>
      </c>
      <c r="I11" s="989"/>
      <c r="J11" s="989"/>
      <c r="K11" s="989"/>
      <c r="L11" s="989"/>
      <c r="M11" s="989"/>
      <c r="N11" s="989"/>
      <c r="O11" s="989"/>
      <c r="P11" s="1025">
        <f t="shared" ref="P11:P27" si="2">+O11+H11+C11</f>
        <v>0</v>
      </c>
    </row>
    <row r="12" spans="1:16" ht="19.5" customHeight="1">
      <c r="A12" s="946" t="s">
        <v>213</v>
      </c>
      <c r="B12" s="947" t="s">
        <v>214</v>
      </c>
      <c r="C12" s="988">
        <f t="shared" si="0"/>
        <v>0</v>
      </c>
      <c r="D12" s="989"/>
      <c r="E12" s="989"/>
      <c r="F12" s="989"/>
      <c r="G12" s="989"/>
      <c r="H12" s="988">
        <f t="shared" si="1"/>
        <v>0</v>
      </c>
      <c r="I12" s="989"/>
      <c r="J12" s="989"/>
      <c r="K12" s="989"/>
      <c r="L12" s="989"/>
      <c r="M12" s="989"/>
      <c r="N12" s="989"/>
      <c r="O12" s="989"/>
      <c r="P12" s="1025">
        <f t="shared" si="2"/>
        <v>0</v>
      </c>
    </row>
    <row r="13" spans="1:16" ht="20.25" customHeight="1">
      <c r="A13" s="946" t="s">
        <v>742</v>
      </c>
      <c r="B13" s="947" t="s">
        <v>743</v>
      </c>
      <c r="C13" s="988">
        <f t="shared" si="0"/>
        <v>0</v>
      </c>
      <c r="D13" s="989"/>
      <c r="E13" s="989"/>
      <c r="F13" s="989"/>
      <c r="G13" s="989"/>
      <c r="H13" s="988">
        <f t="shared" si="1"/>
        <v>0</v>
      </c>
      <c r="I13" s="989"/>
      <c r="J13" s="989"/>
      <c r="K13" s="989"/>
      <c r="L13" s="989"/>
      <c r="M13" s="989"/>
      <c r="N13" s="989"/>
      <c r="O13" s="989"/>
      <c r="P13" s="1025">
        <f t="shared" si="2"/>
        <v>0</v>
      </c>
    </row>
    <row r="14" spans="1:16" ht="19.5" customHeight="1">
      <c r="A14" s="946" t="s">
        <v>215</v>
      </c>
      <c r="B14" s="947" t="s">
        <v>216</v>
      </c>
      <c r="C14" s="988">
        <f t="shared" si="0"/>
        <v>148</v>
      </c>
      <c r="D14" s="989">
        <v>113</v>
      </c>
      <c r="E14" s="989">
        <v>24</v>
      </c>
      <c r="F14" s="989">
        <v>9</v>
      </c>
      <c r="G14" s="989">
        <v>2</v>
      </c>
      <c r="H14" s="988">
        <f t="shared" si="1"/>
        <v>378</v>
      </c>
      <c r="I14" s="989">
        <v>189</v>
      </c>
      <c r="J14" s="989">
        <v>124</v>
      </c>
      <c r="K14" s="989">
        <v>17</v>
      </c>
      <c r="L14" s="989">
        <v>10</v>
      </c>
      <c r="M14" s="989">
        <v>18</v>
      </c>
      <c r="N14" s="989">
        <v>20</v>
      </c>
      <c r="O14" s="989">
        <v>346</v>
      </c>
      <c r="P14" s="1025">
        <f t="shared" si="2"/>
        <v>872</v>
      </c>
    </row>
    <row r="15" spans="1:16" ht="19.5" customHeight="1">
      <c r="A15" s="946" t="s">
        <v>217</v>
      </c>
      <c r="B15" s="947" t="s">
        <v>218</v>
      </c>
      <c r="C15" s="988">
        <f t="shared" si="0"/>
        <v>0</v>
      </c>
      <c r="D15" s="1100"/>
      <c r="E15" s="1100"/>
      <c r="F15" s="1100"/>
      <c r="G15" s="1100"/>
      <c r="H15" s="988">
        <f t="shared" si="1"/>
        <v>0</v>
      </c>
      <c r="I15" s="989"/>
      <c r="J15" s="989"/>
      <c r="K15" s="989"/>
      <c r="L15" s="989"/>
      <c r="M15" s="989"/>
      <c r="N15" s="989"/>
      <c r="O15" s="989"/>
      <c r="P15" s="1025">
        <f t="shared" si="2"/>
        <v>0</v>
      </c>
    </row>
    <row r="16" spans="1:16" ht="19.5" customHeight="1">
      <c r="A16" s="946" t="s">
        <v>219</v>
      </c>
      <c r="B16" s="947" t="s">
        <v>220</v>
      </c>
      <c r="C16" s="988">
        <f t="shared" si="0"/>
        <v>0</v>
      </c>
      <c r="D16" s="989"/>
      <c r="E16" s="989"/>
      <c r="F16" s="989"/>
      <c r="G16" s="989"/>
      <c r="H16" s="988">
        <f t="shared" si="1"/>
        <v>0</v>
      </c>
      <c r="I16" s="989"/>
      <c r="J16" s="989"/>
      <c r="K16" s="989"/>
      <c r="L16" s="989"/>
      <c r="M16" s="989"/>
      <c r="N16" s="989"/>
      <c r="O16" s="989"/>
      <c r="P16" s="1025">
        <f t="shared" si="2"/>
        <v>0</v>
      </c>
    </row>
    <row r="17" spans="1:16" ht="20.25" customHeight="1">
      <c r="A17" s="946" t="s">
        <v>712</v>
      </c>
      <c r="B17" s="947" t="s">
        <v>713</v>
      </c>
      <c r="C17" s="988">
        <f t="shared" si="0"/>
        <v>0</v>
      </c>
      <c r="D17" s="989"/>
      <c r="E17" s="989"/>
      <c r="F17" s="989"/>
      <c r="G17" s="989"/>
      <c r="H17" s="988">
        <f t="shared" si="1"/>
        <v>0</v>
      </c>
      <c r="I17" s="989"/>
      <c r="J17" s="989"/>
      <c r="K17" s="989"/>
      <c r="L17" s="989"/>
      <c r="M17" s="989"/>
      <c r="N17" s="989"/>
      <c r="O17" s="989"/>
      <c r="P17" s="1025">
        <f t="shared" si="2"/>
        <v>0</v>
      </c>
    </row>
    <row r="18" spans="1:16" ht="19.5" customHeight="1">
      <c r="A18" s="946" t="s">
        <v>716</v>
      </c>
      <c r="B18" s="947" t="s">
        <v>717</v>
      </c>
      <c r="C18" s="988">
        <f t="shared" si="0"/>
        <v>0</v>
      </c>
      <c r="D18" s="989"/>
      <c r="E18" s="989"/>
      <c r="F18" s="989"/>
      <c r="G18" s="989"/>
      <c r="H18" s="988">
        <f t="shared" si="1"/>
        <v>0</v>
      </c>
      <c r="I18" s="989"/>
      <c r="J18" s="989"/>
      <c r="K18" s="989"/>
      <c r="L18" s="989"/>
      <c r="M18" s="989"/>
      <c r="N18" s="989"/>
      <c r="O18" s="989"/>
      <c r="P18" s="1025">
        <f t="shared" si="2"/>
        <v>0</v>
      </c>
    </row>
    <row r="19" spans="1:16" ht="19.5" customHeight="1">
      <c r="A19" s="946" t="s">
        <v>734</v>
      </c>
      <c r="B19" s="947" t="s">
        <v>735</v>
      </c>
      <c r="C19" s="988">
        <f t="shared" si="0"/>
        <v>0</v>
      </c>
      <c r="D19" s="989"/>
      <c r="E19" s="989"/>
      <c r="F19" s="989"/>
      <c r="G19" s="989"/>
      <c r="H19" s="988">
        <f t="shared" si="1"/>
        <v>0</v>
      </c>
      <c r="I19" s="989"/>
      <c r="J19" s="989"/>
      <c r="K19" s="989"/>
      <c r="L19" s="989"/>
      <c r="M19" s="989"/>
      <c r="N19" s="989"/>
      <c r="O19" s="989"/>
      <c r="P19" s="1025">
        <f t="shared" si="2"/>
        <v>0</v>
      </c>
    </row>
    <row r="20" spans="1:16" ht="18.75" customHeight="1">
      <c r="A20" s="946" t="s">
        <v>221</v>
      </c>
      <c r="B20" s="947" t="s">
        <v>222</v>
      </c>
      <c r="C20" s="988">
        <f t="shared" si="0"/>
        <v>0</v>
      </c>
      <c r="D20" s="989"/>
      <c r="E20" s="989"/>
      <c r="F20" s="989"/>
      <c r="G20" s="989"/>
      <c r="H20" s="988">
        <f t="shared" si="1"/>
        <v>0</v>
      </c>
      <c r="I20" s="989"/>
      <c r="J20" s="989"/>
      <c r="K20" s="989"/>
      <c r="L20" s="989"/>
      <c r="M20" s="989"/>
      <c r="N20" s="989"/>
      <c r="O20" s="989"/>
      <c r="P20" s="1025">
        <f t="shared" si="2"/>
        <v>0</v>
      </c>
    </row>
    <row r="21" spans="1:16" ht="19.5" customHeight="1">
      <c r="A21" s="946" t="s">
        <v>223</v>
      </c>
      <c r="B21" s="947" t="s">
        <v>224</v>
      </c>
      <c r="C21" s="988">
        <f t="shared" si="0"/>
        <v>0</v>
      </c>
      <c r="D21" s="989"/>
      <c r="E21" s="989"/>
      <c r="F21" s="989"/>
      <c r="G21" s="989"/>
      <c r="H21" s="988">
        <f t="shared" si="1"/>
        <v>0</v>
      </c>
      <c r="I21" s="989"/>
      <c r="J21" s="989"/>
      <c r="K21" s="989"/>
      <c r="L21" s="989"/>
      <c r="M21" s="989"/>
      <c r="N21" s="989"/>
      <c r="O21" s="989"/>
      <c r="P21" s="1025">
        <f t="shared" si="2"/>
        <v>0</v>
      </c>
    </row>
    <row r="22" spans="1:16" ht="19.5" customHeight="1">
      <c r="A22" s="946" t="s">
        <v>736</v>
      </c>
      <c r="B22" s="947" t="s">
        <v>737</v>
      </c>
      <c r="C22" s="988">
        <f t="shared" si="0"/>
        <v>0</v>
      </c>
      <c r="D22" s="989"/>
      <c r="E22" s="989"/>
      <c r="F22" s="989"/>
      <c r="G22" s="989"/>
      <c r="H22" s="988">
        <f t="shared" si="1"/>
        <v>0</v>
      </c>
      <c r="I22" s="989"/>
      <c r="J22" s="989"/>
      <c r="K22" s="989"/>
      <c r="L22" s="989"/>
      <c r="M22" s="989"/>
      <c r="N22" s="989"/>
      <c r="O22" s="989"/>
      <c r="P22" s="1025">
        <f t="shared" si="2"/>
        <v>0</v>
      </c>
    </row>
    <row r="23" spans="1:16" ht="18.75" customHeight="1">
      <c r="A23" s="946" t="s">
        <v>225</v>
      </c>
      <c r="B23" s="947" t="s">
        <v>226</v>
      </c>
      <c r="C23" s="988">
        <f t="shared" si="0"/>
        <v>0</v>
      </c>
      <c r="D23" s="989"/>
      <c r="E23" s="989"/>
      <c r="F23" s="989"/>
      <c r="G23" s="989"/>
      <c r="H23" s="988">
        <f t="shared" si="1"/>
        <v>0</v>
      </c>
      <c r="I23" s="989"/>
      <c r="J23" s="989"/>
      <c r="K23" s="989"/>
      <c r="L23" s="989"/>
      <c r="M23" s="989"/>
      <c r="N23" s="989"/>
      <c r="O23" s="989"/>
      <c r="P23" s="1025">
        <f t="shared" si="2"/>
        <v>0</v>
      </c>
    </row>
    <row r="24" spans="1:16" ht="19.5" customHeight="1">
      <c r="A24" s="946" t="s">
        <v>744</v>
      </c>
      <c r="B24" s="947" t="s">
        <v>745</v>
      </c>
      <c r="C24" s="988">
        <f t="shared" si="0"/>
        <v>0</v>
      </c>
      <c r="D24" s="989"/>
      <c r="E24" s="989"/>
      <c r="F24" s="989"/>
      <c r="G24" s="989"/>
      <c r="H24" s="988">
        <f t="shared" si="1"/>
        <v>0</v>
      </c>
      <c r="I24" s="989"/>
      <c r="J24" s="989"/>
      <c r="K24" s="989"/>
      <c r="L24" s="989"/>
      <c r="M24" s="989"/>
      <c r="N24" s="989"/>
      <c r="O24" s="989"/>
      <c r="P24" s="1025">
        <f t="shared" si="2"/>
        <v>0</v>
      </c>
    </row>
    <row r="25" spans="1:16" ht="20.25" customHeight="1">
      <c r="A25" s="946" t="s">
        <v>746</v>
      </c>
      <c r="B25" s="947" t="s">
        <v>747</v>
      </c>
      <c r="C25" s="988">
        <f t="shared" si="0"/>
        <v>0</v>
      </c>
      <c r="D25" s="989"/>
      <c r="E25" s="989"/>
      <c r="F25" s="989"/>
      <c r="G25" s="989"/>
      <c r="H25" s="988">
        <f t="shared" si="1"/>
        <v>0</v>
      </c>
      <c r="I25" s="989"/>
      <c r="J25" s="989"/>
      <c r="K25" s="989"/>
      <c r="L25" s="989"/>
      <c r="M25" s="989"/>
      <c r="N25" s="989"/>
      <c r="O25" s="989"/>
      <c r="P25" s="1025">
        <f t="shared" si="2"/>
        <v>0</v>
      </c>
    </row>
    <row r="26" spans="1:16" ht="21.75" customHeight="1">
      <c r="A26" s="946" t="s">
        <v>740</v>
      </c>
      <c r="B26" s="947" t="s">
        <v>761</v>
      </c>
      <c r="C26" s="988">
        <f t="shared" si="0"/>
        <v>0</v>
      </c>
      <c r="D26" s="989"/>
      <c r="E26" s="989"/>
      <c r="F26" s="989"/>
      <c r="G26" s="989"/>
      <c r="H26" s="988">
        <f t="shared" si="1"/>
        <v>0</v>
      </c>
      <c r="I26" s="989"/>
      <c r="J26" s="989"/>
      <c r="K26" s="989"/>
      <c r="L26" s="989"/>
      <c r="M26" s="989"/>
      <c r="N26" s="989"/>
      <c r="O26" s="989"/>
      <c r="P26" s="1025">
        <f t="shared" si="2"/>
        <v>0</v>
      </c>
    </row>
    <row r="27" spans="1:16" ht="27.75" customHeight="1">
      <c r="A27" s="946" t="s">
        <v>732</v>
      </c>
      <c r="B27" s="952" t="s">
        <v>227</v>
      </c>
      <c r="C27" s="988">
        <f t="shared" si="0"/>
        <v>0</v>
      </c>
      <c r="D27" s="1100"/>
      <c r="E27" s="989"/>
      <c r="F27" s="989"/>
      <c r="G27" s="989"/>
      <c r="H27" s="988">
        <f t="shared" si="1"/>
        <v>1</v>
      </c>
      <c r="I27" s="989"/>
      <c r="J27" s="989"/>
      <c r="K27" s="989"/>
      <c r="L27" s="989"/>
      <c r="M27" s="989">
        <v>1</v>
      </c>
      <c r="N27" s="989"/>
      <c r="O27" s="989"/>
      <c r="P27" s="1025">
        <f t="shared" si="2"/>
        <v>1</v>
      </c>
    </row>
    <row r="28" spans="1:16" ht="21.75" customHeight="1">
      <c r="A28" s="953"/>
      <c r="B28" s="953" t="s">
        <v>863</v>
      </c>
      <c r="C28" s="1001">
        <f>SUM(C10:C27)</f>
        <v>148</v>
      </c>
      <c r="D28" s="1002">
        <f t="shared" ref="D28:P28" si="3">SUM(D10:D27)</f>
        <v>113</v>
      </c>
      <c r="E28" s="1002">
        <f t="shared" si="3"/>
        <v>24</v>
      </c>
      <c r="F28" s="1002">
        <f t="shared" si="3"/>
        <v>9</v>
      </c>
      <c r="G28" s="1002">
        <f t="shared" si="3"/>
        <v>2</v>
      </c>
      <c r="H28" s="1001">
        <f t="shared" si="3"/>
        <v>379</v>
      </c>
      <c r="I28" s="1002">
        <f t="shared" si="3"/>
        <v>189</v>
      </c>
      <c r="J28" s="1002">
        <f t="shared" si="3"/>
        <v>124</v>
      </c>
      <c r="K28" s="1002">
        <f t="shared" si="3"/>
        <v>17</v>
      </c>
      <c r="L28" s="1002">
        <f t="shared" si="3"/>
        <v>10</v>
      </c>
      <c r="M28" s="1002">
        <f t="shared" si="3"/>
        <v>19</v>
      </c>
      <c r="N28" s="1002">
        <f t="shared" si="3"/>
        <v>20</v>
      </c>
      <c r="O28" s="1002">
        <f t="shared" si="3"/>
        <v>346</v>
      </c>
      <c r="P28" s="1014">
        <f t="shared" si="3"/>
        <v>873</v>
      </c>
    </row>
    <row r="29" spans="1:16" ht="21.75" customHeight="1">
      <c r="A29" s="958"/>
      <c r="B29" s="958"/>
      <c r="C29" s="959"/>
      <c r="D29" s="991"/>
      <c r="E29" s="959"/>
      <c r="F29" s="959"/>
      <c r="G29" s="959"/>
      <c r="H29" s="959"/>
      <c r="I29" s="959"/>
      <c r="J29" s="959"/>
      <c r="K29" s="959"/>
      <c r="L29" s="959"/>
      <c r="M29" s="959"/>
      <c r="N29" s="960"/>
    </row>
    <row r="30" spans="1:16">
      <c r="A30" s="925" t="s">
        <v>228</v>
      </c>
      <c r="B30" s="961"/>
      <c r="C30" s="961"/>
      <c r="D30" s="961"/>
      <c r="E30" s="961"/>
      <c r="F30" s="961"/>
      <c r="G30" s="962"/>
      <c r="H30" s="962"/>
      <c r="I30" s="962"/>
      <c r="J30" s="962"/>
      <c r="K30" s="962"/>
      <c r="L30" s="962"/>
      <c r="M30" s="962"/>
      <c r="N30" s="993"/>
    </row>
    <row r="31" spans="1:16">
      <c r="A31" s="925"/>
      <c r="B31" s="964"/>
      <c r="C31" s="964"/>
      <c r="D31" s="964"/>
      <c r="E31" s="964"/>
      <c r="F31" s="964"/>
      <c r="G31" s="965"/>
      <c r="H31" s="965"/>
      <c r="I31" s="965"/>
      <c r="J31" s="965"/>
      <c r="K31" s="965"/>
      <c r="L31" s="965"/>
      <c r="M31" s="965"/>
      <c r="N31" s="967"/>
    </row>
    <row r="32" spans="1:16">
      <c r="A32" s="925" t="str">
        <f>+A3</f>
        <v>SERVICIO DE SALUD   ACONCAGUA   2015</v>
      </c>
      <c r="B32" s="964"/>
      <c r="C32" s="964"/>
      <c r="D32" s="964"/>
      <c r="E32" s="964"/>
      <c r="F32" s="964"/>
      <c r="G32" s="965"/>
      <c r="H32" s="965"/>
      <c r="I32" s="965"/>
      <c r="J32" s="965"/>
      <c r="K32" s="965"/>
      <c r="L32" s="965"/>
      <c r="M32" s="965"/>
      <c r="N32" s="967"/>
    </row>
    <row r="33" spans="1:14">
      <c r="A33" s="925"/>
      <c r="B33" s="964"/>
      <c r="C33" s="964"/>
      <c r="D33" s="964"/>
      <c r="E33" s="964"/>
      <c r="F33" s="964"/>
      <c r="G33" s="965"/>
      <c r="H33" s="965"/>
      <c r="I33" s="965"/>
      <c r="J33" s="965"/>
      <c r="K33" s="965"/>
      <c r="L33" s="965"/>
      <c r="M33" s="965"/>
      <c r="N33" s="967"/>
    </row>
    <row r="34" spans="1:14">
      <c r="A34" s="925" t="s">
        <v>236</v>
      </c>
      <c r="B34" s="1031"/>
      <c r="C34" s="1031"/>
      <c r="D34" s="1031"/>
      <c r="E34" s="1031"/>
      <c r="F34" s="1031"/>
      <c r="G34" s="1032"/>
      <c r="H34" s="1032"/>
      <c r="I34" s="1032"/>
      <c r="J34" s="1032"/>
      <c r="K34" s="1032"/>
      <c r="L34" s="1032"/>
      <c r="M34" s="1032"/>
      <c r="N34" s="1034"/>
    </row>
    <row r="35" spans="1:14">
      <c r="A35" s="967"/>
      <c r="B35" s="967"/>
      <c r="C35" s="967"/>
      <c r="D35" s="967"/>
      <c r="E35" s="967"/>
      <c r="F35" s="967"/>
      <c r="G35" s="967"/>
      <c r="H35" s="967"/>
      <c r="I35" s="967"/>
      <c r="J35" s="967"/>
      <c r="K35" s="967"/>
      <c r="L35" s="967"/>
      <c r="M35" s="967"/>
      <c r="N35" s="967"/>
    </row>
    <row r="36" spans="1:14" ht="21.75" customHeight="1">
      <c r="A36" s="931" t="s">
        <v>701</v>
      </c>
      <c r="B36" s="932"/>
      <c r="C36" s="934" t="s">
        <v>749</v>
      </c>
      <c r="D36" s="934"/>
      <c r="E36" s="934"/>
      <c r="F36" s="934"/>
      <c r="G36" s="934"/>
      <c r="H36" s="934"/>
      <c r="I36" s="934"/>
      <c r="J36" s="934"/>
      <c r="K36" s="934"/>
      <c r="L36" s="934"/>
      <c r="M36" s="968"/>
      <c r="N36" s="1035"/>
    </row>
    <row r="37" spans="1:14" ht="23.25" customHeight="1">
      <c r="A37" s="936" t="s">
        <v>703</v>
      </c>
      <c r="B37" s="937" t="s">
        <v>704</v>
      </c>
      <c r="C37" s="940" t="s">
        <v>751</v>
      </c>
      <c r="D37" s="940" t="s">
        <v>752</v>
      </c>
      <c r="E37" s="940" t="s">
        <v>753</v>
      </c>
      <c r="F37" s="940" t="s">
        <v>754</v>
      </c>
      <c r="G37" s="940" t="s">
        <v>755</v>
      </c>
      <c r="H37" s="940" t="s">
        <v>756</v>
      </c>
      <c r="I37" s="940" t="s">
        <v>757</v>
      </c>
      <c r="J37" s="940" t="s">
        <v>758</v>
      </c>
      <c r="K37" s="940" t="s">
        <v>759</v>
      </c>
      <c r="L37" s="940" t="s">
        <v>760</v>
      </c>
      <c r="M37" s="941" t="s">
        <v>535</v>
      </c>
    </row>
    <row r="38" spans="1:14">
      <c r="A38" s="942"/>
      <c r="B38" s="943"/>
      <c r="C38" s="944"/>
      <c r="D38" s="944"/>
      <c r="E38" s="944"/>
      <c r="F38" s="944"/>
      <c r="G38" s="944"/>
      <c r="H38" s="944"/>
      <c r="I38" s="944"/>
      <c r="J38" s="944"/>
      <c r="K38" s="944"/>
      <c r="L38" s="944"/>
      <c r="M38" s="969"/>
      <c r="N38" s="967"/>
    </row>
    <row r="39" spans="1:14" ht="20.25" customHeight="1">
      <c r="A39" s="946" t="s">
        <v>738</v>
      </c>
      <c r="B39" s="947" t="s">
        <v>739</v>
      </c>
      <c r="C39" s="987"/>
      <c r="D39" s="987"/>
      <c r="E39" s="989"/>
      <c r="F39" s="989"/>
      <c r="G39" s="989"/>
      <c r="H39" s="989"/>
      <c r="I39" s="989"/>
      <c r="J39" s="989"/>
      <c r="K39" s="989"/>
      <c r="L39" s="989"/>
      <c r="M39" s="1000">
        <f t="shared" ref="M39:M56" si="4">SUM(B39:L39)</f>
        <v>0</v>
      </c>
    </row>
    <row r="40" spans="1:14" ht="19.5" customHeight="1">
      <c r="A40" s="946" t="s">
        <v>714</v>
      </c>
      <c r="B40" s="947" t="s">
        <v>715</v>
      </c>
      <c r="C40" s="987"/>
      <c r="D40" s="987"/>
      <c r="E40" s="989"/>
      <c r="F40" s="989"/>
      <c r="G40" s="989"/>
      <c r="H40" s="989"/>
      <c r="I40" s="989"/>
      <c r="J40" s="989"/>
      <c r="K40" s="989"/>
      <c r="L40" s="989"/>
      <c r="M40" s="1000">
        <f t="shared" si="4"/>
        <v>0</v>
      </c>
    </row>
    <row r="41" spans="1:14" ht="18" customHeight="1">
      <c r="A41" s="946" t="s">
        <v>213</v>
      </c>
      <c r="B41" s="947" t="s">
        <v>214</v>
      </c>
      <c r="C41" s="987"/>
      <c r="D41" s="987"/>
      <c r="E41" s="989"/>
      <c r="F41" s="989"/>
      <c r="G41" s="989"/>
      <c r="H41" s="989"/>
      <c r="I41" s="989"/>
      <c r="J41" s="989"/>
      <c r="K41" s="989"/>
      <c r="L41" s="989"/>
      <c r="M41" s="1000">
        <f t="shared" si="4"/>
        <v>0</v>
      </c>
    </row>
    <row r="42" spans="1:14" ht="19.5" customHeight="1">
      <c r="A42" s="946" t="s">
        <v>742</v>
      </c>
      <c r="B42" s="947" t="s">
        <v>743</v>
      </c>
      <c r="C42" s="987"/>
      <c r="D42" s="987"/>
      <c r="E42" s="989"/>
      <c r="F42" s="989"/>
      <c r="G42" s="989"/>
      <c r="H42" s="989"/>
      <c r="I42" s="989"/>
      <c r="J42" s="989"/>
      <c r="K42" s="989"/>
      <c r="L42" s="989"/>
      <c r="M42" s="1000">
        <f t="shared" si="4"/>
        <v>0</v>
      </c>
    </row>
    <row r="43" spans="1:14" ht="19.5" customHeight="1">
      <c r="A43" s="946" t="s">
        <v>215</v>
      </c>
      <c r="B43" s="947" t="s">
        <v>216</v>
      </c>
      <c r="C43" s="987"/>
      <c r="D43" s="987"/>
      <c r="E43" s="989"/>
      <c r="F43" s="989"/>
      <c r="G43" s="989"/>
      <c r="H43" s="989">
        <v>4</v>
      </c>
      <c r="I43" s="989">
        <v>123</v>
      </c>
      <c r="J43" s="989">
        <v>412</v>
      </c>
      <c r="K43" s="989">
        <v>292</v>
      </c>
      <c r="L43" s="989">
        <v>41</v>
      </c>
      <c r="M43" s="1000">
        <f t="shared" si="4"/>
        <v>872</v>
      </c>
    </row>
    <row r="44" spans="1:14" ht="19.5" customHeight="1">
      <c r="A44" s="946" t="s">
        <v>217</v>
      </c>
      <c r="B44" s="947" t="s">
        <v>218</v>
      </c>
      <c r="C44" s="987"/>
      <c r="D44" s="987"/>
      <c r="E44" s="989"/>
      <c r="F44" s="989"/>
      <c r="G44" s="989"/>
      <c r="H44" s="989"/>
      <c r="I44" s="989"/>
      <c r="J44" s="989"/>
      <c r="K44" s="989"/>
      <c r="L44" s="989"/>
      <c r="M44" s="1000">
        <f t="shared" si="4"/>
        <v>0</v>
      </c>
    </row>
    <row r="45" spans="1:14" ht="19.5" customHeight="1">
      <c r="A45" s="946" t="s">
        <v>219</v>
      </c>
      <c r="B45" s="947" t="s">
        <v>220</v>
      </c>
      <c r="C45" s="987"/>
      <c r="D45" s="987"/>
      <c r="E45" s="989"/>
      <c r="F45" s="989"/>
      <c r="G45" s="989"/>
      <c r="H45" s="989"/>
      <c r="I45" s="989"/>
      <c r="J45" s="989"/>
      <c r="K45" s="989"/>
      <c r="L45" s="989"/>
      <c r="M45" s="1000">
        <f t="shared" si="4"/>
        <v>0</v>
      </c>
    </row>
    <row r="46" spans="1:14" ht="18" customHeight="1">
      <c r="A46" s="946" t="s">
        <v>712</v>
      </c>
      <c r="B46" s="947" t="s">
        <v>713</v>
      </c>
      <c r="C46" s="987"/>
      <c r="D46" s="987"/>
      <c r="E46" s="989"/>
      <c r="F46" s="989"/>
      <c r="G46" s="989"/>
      <c r="H46" s="989"/>
      <c r="I46" s="989"/>
      <c r="J46" s="989"/>
      <c r="K46" s="989"/>
      <c r="L46" s="989"/>
      <c r="M46" s="1000">
        <f t="shared" si="4"/>
        <v>0</v>
      </c>
    </row>
    <row r="47" spans="1:14" ht="18.75" customHeight="1">
      <c r="A47" s="946" t="s">
        <v>716</v>
      </c>
      <c r="B47" s="947" t="s">
        <v>717</v>
      </c>
      <c r="C47" s="987"/>
      <c r="D47" s="987"/>
      <c r="E47" s="989"/>
      <c r="F47" s="989"/>
      <c r="G47" s="989"/>
      <c r="H47" s="989"/>
      <c r="I47" s="989"/>
      <c r="J47" s="989"/>
      <c r="K47" s="989"/>
      <c r="L47" s="989"/>
      <c r="M47" s="1000">
        <f t="shared" si="4"/>
        <v>0</v>
      </c>
    </row>
    <row r="48" spans="1:14" ht="19.5" customHeight="1">
      <c r="A48" s="946" t="s">
        <v>734</v>
      </c>
      <c r="B48" s="947" t="s">
        <v>735</v>
      </c>
      <c r="C48" s="987"/>
      <c r="D48" s="987"/>
      <c r="E48" s="989"/>
      <c r="F48" s="989"/>
      <c r="G48" s="989"/>
      <c r="H48" s="989"/>
      <c r="I48" s="989"/>
      <c r="J48" s="989"/>
      <c r="K48" s="989"/>
      <c r="L48" s="989"/>
      <c r="M48" s="1000">
        <f t="shared" si="4"/>
        <v>0</v>
      </c>
    </row>
    <row r="49" spans="1:13" ht="18" customHeight="1">
      <c r="A49" s="946" t="s">
        <v>221</v>
      </c>
      <c r="B49" s="947" t="s">
        <v>222</v>
      </c>
      <c r="C49" s="987"/>
      <c r="D49" s="987"/>
      <c r="E49" s="989"/>
      <c r="F49" s="989"/>
      <c r="G49" s="989"/>
      <c r="H49" s="989"/>
      <c r="I49" s="989"/>
      <c r="J49" s="989"/>
      <c r="K49" s="989"/>
      <c r="L49" s="989"/>
      <c r="M49" s="1000">
        <f t="shared" si="4"/>
        <v>0</v>
      </c>
    </row>
    <row r="50" spans="1:13" ht="19.5" customHeight="1">
      <c r="A50" s="946" t="s">
        <v>223</v>
      </c>
      <c r="B50" s="947" t="s">
        <v>224</v>
      </c>
      <c r="C50" s="987"/>
      <c r="D50" s="987"/>
      <c r="E50" s="989"/>
      <c r="F50" s="989"/>
      <c r="G50" s="989"/>
      <c r="H50" s="989"/>
      <c r="I50" s="989"/>
      <c r="J50" s="989"/>
      <c r="K50" s="989"/>
      <c r="L50" s="989"/>
      <c r="M50" s="1000">
        <f t="shared" si="4"/>
        <v>0</v>
      </c>
    </row>
    <row r="51" spans="1:13" ht="18.75" customHeight="1">
      <c r="A51" s="946" t="s">
        <v>736</v>
      </c>
      <c r="B51" s="947" t="s">
        <v>737</v>
      </c>
      <c r="C51" s="987"/>
      <c r="D51" s="987"/>
      <c r="E51" s="989"/>
      <c r="F51" s="989"/>
      <c r="G51" s="989"/>
      <c r="H51" s="989"/>
      <c r="I51" s="989"/>
      <c r="J51" s="989"/>
      <c r="K51" s="989"/>
      <c r="L51" s="989"/>
      <c r="M51" s="1000">
        <f t="shared" si="4"/>
        <v>0</v>
      </c>
    </row>
    <row r="52" spans="1:13" ht="18.75" customHeight="1">
      <c r="A52" s="946" t="s">
        <v>225</v>
      </c>
      <c r="B52" s="947" t="s">
        <v>226</v>
      </c>
      <c r="C52" s="987"/>
      <c r="D52" s="987"/>
      <c r="E52" s="989"/>
      <c r="F52" s="989"/>
      <c r="G52" s="989"/>
      <c r="H52" s="989"/>
      <c r="I52" s="989"/>
      <c r="J52" s="989"/>
      <c r="K52" s="989"/>
      <c r="L52" s="989"/>
      <c r="M52" s="1000">
        <f t="shared" si="4"/>
        <v>0</v>
      </c>
    </row>
    <row r="53" spans="1:13" ht="18" customHeight="1">
      <c r="A53" s="946" t="s">
        <v>744</v>
      </c>
      <c r="B53" s="947" t="s">
        <v>745</v>
      </c>
      <c r="C53" s="987"/>
      <c r="D53" s="987"/>
      <c r="E53" s="989"/>
      <c r="F53" s="989"/>
      <c r="G53" s="989"/>
      <c r="H53" s="989"/>
      <c r="I53" s="989"/>
      <c r="J53" s="989"/>
      <c r="K53" s="989"/>
      <c r="L53" s="989"/>
      <c r="M53" s="1000">
        <f t="shared" si="4"/>
        <v>0</v>
      </c>
    </row>
    <row r="54" spans="1:13" ht="20.25" customHeight="1">
      <c r="A54" s="946" t="s">
        <v>746</v>
      </c>
      <c r="B54" s="947" t="s">
        <v>747</v>
      </c>
      <c r="C54" s="987"/>
      <c r="D54" s="987"/>
      <c r="E54" s="989"/>
      <c r="F54" s="989"/>
      <c r="G54" s="989"/>
      <c r="H54" s="989"/>
      <c r="I54" s="989"/>
      <c r="J54" s="989"/>
      <c r="K54" s="989"/>
      <c r="L54" s="989"/>
      <c r="M54" s="1000">
        <f t="shared" si="4"/>
        <v>0</v>
      </c>
    </row>
    <row r="55" spans="1:13" ht="19.5" customHeight="1">
      <c r="A55" s="946" t="s">
        <v>740</v>
      </c>
      <c r="B55" s="947" t="s">
        <v>761</v>
      </c>
      <c r="C55" s="987"/>
      <c r="D55" s="987"/>
      <c r="E55" s="989"/>
      <c r="F55" s="989"/>
      <c r="G55" s="989"/>
      <c r="H55" s="989"/>
      <c r="I55" s="989"/>
      <c r="J55" s="989"/>
      <c r="K55" s="989"/>
      <c r="L55" s="989"/>
      <c r="M55" s="1000">
        <f t="shared" si="4"/>
        <v>0</v>
      </c>
    </row>
    <row r="56" spans="1:13" ht="27.75" customHeight="1">
      <c r="A56" s="946" t="s">
        <v>732</v>
      </c>
      <c r="B56" s="952" t="s">
        <v>227</v>
      </c>
      <c r="C56" s="987"/>
      <c r="D56" s="987"/>
      <c r="E56" s="989"/>
      <c r="F56" s="989"/>
      <c r="G56" s="989"/>
      <c r="H56" s="989"/>
      <c r="I56" s="989"/>
      <c r="J56" s="989">
        <v>1</v>
      </c>
      <c r="K56" s="989"/>
      <c r="L56" s="989"/>
      <c r="M56" s="1000">
        <f t="shared" si="4"/>
        <v>1</v>
      </c>
    </row>
    <row r="57" spans="1:13" ht="19.5" customHeight="1">
      <c r="A57" s="953"/>
      <c r="B57" s="953" t="s">
        <v>863</v>
      </c>
      <c r="C57" s="1012">
        <f t="shared" ref="C57:M57" si="5">SUM(C39:C56)</f>
        <v>0</v>
      </c>
      <c r="D57" s="1012">
        <f t="shared" si="5"/>
        <v>0</v>
      </c>
      <c r="E57" s="1012">
        <f t="shared" si="5"/>
        <v>0</v>
      </c>
      <c r="F57" s="1012">
        <f t="shared" si="5"/>
        <v>0</v>
      </c>
      <c r="G57" s="1012">
        <f t="shared" si="5"/>
        <v>0</v>
      </c>
      <c r="H57" s="1012">
        <f t="shared" si="5"/>
        <v>4</v>
      </c>
      <c r="I57" s="1012">
        <f t="shared" si="5"/>
        <v>123</v>
      </c>
      <c r="J57" s="1012">
        <f t="shared" si="5"/>
        <v>413</v>
      </c>
      <c r="K57" s="1012">
        <f t="shared" si="5"/>
        <v>292</v>
      </c>
      <c r="L57" s="1012">
        <f t="shared" si="5"/>
        <v>41</v>
      </c>
      <c r="M57" s="957">
        <f t="shared" si="5"/>
        <v>873</v>
      </c>
    </row>
  </sheetData>
  <phoneticPr fontId="19" type="noConversion"/>
  <pageMargins left="1.7716535433070868" right="0.78740157480314965" top="1.1811023622047245" bottom="1.1811023622047245" header="0.51181102362204722" footer="0.51181102362204722"/>
  <pageSetup paperSize="5" scale="85" orientation="landscape" horizontalDpi="300" verticalDpi="300"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B2:C109"/>
  <sheetViews>
    <sheetView topLeftCell="A58" workbookViewId="0">
      <selection activeCell="F12" sqref="F12"/>
    </sheetView>
  </sheetViews>
  <sheetFormatPr baseColWidth="10" defaultColWidth="11.42578125" defaultRowHeight="12.75"/>
  <cols>
    <col min="1" max="1" width="11.42578125" style="1036"/>
    <col min="2" max="2" width="36.28515625" style="1037" customWidth="1"/>
    <col min="3" max="3" width="67.85546875" style="1038" customWidth="1"/>
    <col min="4" max="16384" width="11.42578125" style="1036"/>
  </cols>
  <sheetData>
    <row r="2" spans="2:3" ht="28.15" customHeight="1">
      <c r="B2" s="1364"/>
      <c r="C2" s="1365" t="s">
        <v>238</v>
      </c>
    </row>
    <row r="3" spans="2:3">
      <c r="B3" s="1355"/>
      <c r="C3" s="1356"/>
    </row>
    <row r="4" spans="2:3" ht="36.75" customHeight="1">
      <c r="B4" s="1366" t="s">
        <v>239</v>
      </c>
      <c r="C4" s="1358" t="s">
        <v>240</v>
      </c>
    </row>
    <row r="5" spans="2:3">
      <c r="B5" s="1355"/>
      <c r="C5" s="1356"/>
    </row>
    <row r="6" spans="2:3">
      <c r="B6" s="1351" t="s">
        <v>241</v>
      </c>
      <c r="C6" s="1356" t="s">
        <v>242</v>
      </c>
    </row>
    <row r="7" spans="2:3">
      <c r="B7" s="1351"/>
      <c r="C7" s="1359"/>
    </row>
    <row r="8" spans="2:3" ht="14.25" customHeight="1">
      <c r="B8" s="1351" t="s">
        <v>243</v>
      </c>
      <c r="C8" s="1356" t="s">
        <v>244</v>
      </c>
    </row>
    <row r="9" spans="2:3" ht="14.25" customHeight="1">
      <c r="B9" s="1351"/>
      <c r="C9" s="1359"/>
    </row>
    <row r="10" spans="2:3" ht="25.5" customHeight="1">
      <c r="B10" s="1351" t="s">
        <v>245</v>
      </c>
      <c r="C10" s="1356" t="s">
        <v>246</v>
      </c>
    </row>
    <row r="11" spans="2:3" ht="19.5" customHeight="1">
      <c r="B11" s="1351"/>
      <c r="C11" s="1359"/>
    </row>
    <row r="12" spans="2:3" ht="24" customHeight="1">
      <c r="B12" s="1357" t="s">
        <v>247</v>
      </c>
      <c r="C12" s="1358" t="s">
        <v>248</v>
      </c>
    </row>
    <row r="13" spans="2:3" ht="15.75" customHeight="1">
      <c r="B13" s="1357"/>
      <c r="C13" s="1360"/>
    </row>
    <row r="14" spans="2:3" ht="25.5">
      <c r="B14" s="1361" t="s">
        <v>249</v>
      </c>
      <c r="C14" s="1358" t="s">
        <v>250</v>
      </c>
    </row>
    <row r="15" spans="2:3">
      <c r="B15" s="1361"/>
      <c r="C15" s="1360"/>
    </row>
    <row r="16" spans="2:3" ht="25.5">
      <c r="B16" s="1357" t="s">
        <v>251</v>
      </c>
      <c r="C16" s="1358" t="s">
        <v>252</v>
      </c>
    </row>
    <row r="17" spans="2:3">
      <c r="B17" s="1357"/>
      <c r="C17" s="1360"/>
    </row>
    <row r="18" spans="2:3">
      <c r="B18" s="1351" t="s">
        <v>253</v>
      </c>
      <c r="C18" s="1356" t="s">
        <v>254</v>
      </c>
    </row>
    <row r="19" spans="2:3">
      <c r="B19" s="1351"/>
      <c r="C19" s="1359"/>
    </row>
    <row r="20" spans="2:3">
      <c r="B20" s="1351" t="s">
        <v>255</v>
      </c>
      <c r="C20" s="1356" t="s">
        <v>256</v>
      </c>
    </row>
    <row r="21" spans="2:3">
      <c r="B21" s="1351"/>
      <c r="C21" s="1359"/>
    </row>
    <row r="22" spans="2:3">
      <c r="B22" s="1357" t="s">
        <v>257</v>
      </c>
      <c r="C22" s="1360" t="s">
        <v>258</v>
      </c>
    </row>
    <row r="23" spans="2:3">
      <c r="B23" s="1357"/>
      <c r="C23" s="1360"/>
    </row>
    <row r="24" spans="2:3">
      <c r="B24" s="1351" t="s">
        <v>259</v>
      </c>
      <c r="C24" s="1359" t="s">
        <v>260</v>
      </c>
    </row>
    <row r="25" spans="2:3">
      <c r="B25" s="1351"/>
      <c r="C25" s="1359"/>
    </row>
    <row r="26" spans="2:3">
      <c r="B26" s="1351" t="s">
        <v>261</v>
      </c>
      <c r="C26" s="1356" t="s">
        <v>262</v>
      </c>
    </row>
    <row r="27" spans="2:3">
      <c r="B27" s="1351"/>
      <c r="C27" s="1359"/>
    </row>
    <row r="28" spans="2:3" ht="25.5">
      <c r="B28" s="1357" t="s">
        <v>263</v>
      </c>
      <c r="C28" s="1360" t="s">
        <v>274</v>
      </c>
    </row>
    <row r="29" spans="2:3">
      <c r="B29" s="1357"/>
      <c r="C29" s="1360"/>
    </row>
    <row r="30" spans="2:3" ht="25.5">
      <c r="B30" s="1357" t="s">
        <v>275</v>
      </c>
      <c r="C30" s="1358" t="s">
        <v>276</v>
      </c>
    </row>
    <row r="31" spans="2:3">
      <c r="B31" s="1357"/>
      <c r="C31" s="1360"/>
    </row>
    <row r="32" spans="2:3" ht="38.25">
      <c r="B32" s="1357" t="s">
        <v>277</v>
      </c>
      <c r="C32" s="1358" t="s">
        <v>278</v>
      </c>
    </row>
    <row r="33" spans="2:3">
      <c r="B33" s="1357"/>
      <c r="C33" s="1360"/>
    </row>
    <row r="34" spans="2:3" ht="25.5">
      <c r="B34" s="1357" t="s">
        <v>279</v>
      </c>
      <c r="C34" s="1358" t="s">
        <v>280</v>
      </c>
    </row>
    <row r="35" spans="2:3">
      <c r="B35" s="1357"/>
      <c r="C35" s="1360"/>
    </row>
    <row r="36" spans="2:3" ht="25.5">
      <c r="B36" s="1357" t="s">
        <v>281</v>
      </c>
      <c r="C36" s="1358" t="s">
        <v>282</v>
      </c>
    </row>
    <row r="37" spans="2:3">
      <c r="B37" s="1357"/>
      <c r="C37" s="1360"/>
    </row>
    <row r="38" spans="2:3" ht="39.75" customHeight="1">
      <c r="B38" s="1357" t="s">
        <v>283</v>
      </c>
      <c r="C38" s="1358" t="s">
        <v>284</v>
      </c>
    </row>
    <row r="39" spans="2:3">
      <c r="B39" s="1357"/>
      <c r="C39" s="1360"/>
    </row>
    <row r="40" spans="2:3" ht="25.5">
      <c r="B40" s="1357" t="s">
        <v>285</v>
      </c>
      <c r="C40" s="1358" t="s">
        <v>286</v>
      </c>
    </row>
    <row r="41" spans="2:3">
      <c r="B41" s="1357"/>
      <c r="C41" s="1360"/>
    </row>
    <row r="42" spans="2:3" ht="27" customHeight="1">
      <c r="B42" s="1357" t="s">
        <v>287</v>
      </c>
      <c r="C42" s="1358" t="s">
        <v>288</v>
      </c>
    </row>
    <row r="43" spans="2:3">
      <c r="B43" s="1357"/>
      <c r="C43" s="1360"/>
    </row>
    <row r="44" spans="2:3" ht="29.25" customHeight="1">
      <c r="B44" s="1357" t="s">
        <v>289</v>
      </c>
      <c r="C44" s="1358" t="s">
        <v>290</v>
      </c>
    </row>
    <row r="45" spans="2:3">
      <c r="B45" s="1357"/>
      <c r="C45" s="1360"/>
    </row>
    <row r="46" spans="2:3">
      <c r="B46" s="1351" t="s">
        <v>291</v>
      </c>
      <c r="C46" s="1356" t="s">
        <v>1278</v>
      </c>
    </row>
    <row r="47" spans="2:3">
      <c r="B47" s="1351"/>
      <c r="C47" s="1359"/>
    </row>
    <row r="48" spans="2:3" ht="25.5">
      <c r="B48" s="1357" t="s">
        <v>292</v>
      </c>
      <c r="C48" s="1358" t="s">
        <v>293</v>
      </c>
    </row>
    <row r="49" spans="2:3">
      <c r="B49" s="1357"/>
      <c r="C49" s="1360"/>
    </row>
    <row r="50" spans="2:3" ht="25.5">
      <c r="B50" s="1357" t="s">
        <v>1343</v>
      </c>
      <c r="C50" s="1358" t="s">
        <v>1405</v>
      </c>
    </row>
    <row r="51" spans="2:3">
      <c r="B51" s="1357"/>
      <c r="C51" s="1360"/>
    </row>
    <row r="52" spans="2:3">
      <c r="B52" s="1351" t="s">
        <v>294</v>
      </c>
      <c r="C52" s="1356" t="s">
        <v>295</v>
      </c>
    </row>
    <row r="53" spans="2:3">
      <c r="B53" s="1351"/>
      <c r="C53" s="1359"/>
    </row>
    <row r="54" spans="2:3">
      <c r="B54" s="1351" t="s">
        <v>296</v>
      </c>
      <c r="C54" s="1356" t="s">
        <v>297</v>
      </c>
    </row>
    <row r="55" spans="2:3">
      <c r="B55" s="1351"/>
      <c r="C55" s="1359"/>
    </row>
    <row r="56" spans="2:3">
      <c r="B56" s="1357" t="s">
        <v>298</v>
      </c>
      <c r="C56" s="1358" t="s">
        <v>299</v>
      </c>
    </row>
    <row r="57" spans="2:3">
      <c r="B57" s="1357"/>
      <c r="C57" s="1360"/>
    </row>
    <row r="58" spans="2:3" ht="25.5">
      <c r="B58" s="1357" t="s">
        <v>1413</v>
      </c>
      <c r="C58" s="1358" t="s">
        <v>300</v>
      </c>
    </row>
    <row r="59" spans="2:3">
      <c r="B59" s="1357"/>
      <c r="C59" s="1360"/>
    </row>
    <row r="60" spans="2:3" ht="25.5">
      <c r="B60" s="1357" t="s">
        <v>301</v>
      </c>
      <c r="C60" s="1358" t="s">
        <v>306</v>
      </c>
    </row>
    <row r="61" spans="2:3">
      <c r="B61" s="1357"/>
      <c r="C61" s="1358"/>
    </row>
    <row r="62" spans="2:3" ht="38.25">
      <c r="B62" s="1357" t="s">
        <v>1412</v>
      </c>
      <c r="C62" s="1358" t="s">
        <v>1265</v>
      </c>
    </row>
    <row r="63" spans="2:3">
      <c r="B63" s="1357"/>
      <c r="C63" s="1360"/>
    </row>
    <row r="64" spans="2:3">
      <c r="B64" s="1357" t="s">
        <v>307</v>
      </c>
      <c r="C64" s="1358" t="s">
        <v>308</v>
      </c>
    </row>
    <row r="65" spans="2:3">
      <c r="B65" s="1357"/>
      <c r="C65" s="1360"/>
    </row>
    <row r="66" spans="2:3" ht="25.5">
      <c r="B66" s="1357" t="s">
        <v>309</v>
      </c>
      <c r="C66" s="1358" t="s">
        <v>310</v>
      </c>
    </row>
    <row r="67" spans="2:3">
      <c r="B67" s="1357"/>
      <c r="C67" s="1360"/>
    </row>
    <row r="68" spans="2:3">
      <c r="B68" s="1357" t="s">
        <v>311</v>
      </c>
      <c r="C68" s="1358" t="s">
        <v>312</v>
      </c>
    </row>
    <row r="69" spans="2:3">
      <c r="B69" s="1357"/>
      <c r="C69" s="1360"/>
    </row>
    <row r="70" spans="2:3">
      <c r="B70" s="1351" t="s">
        <v>313</v>
      </c>
      <c r="C70" s="1356" t="s">
        <v>314</v>
      </c>
    </row>
    <row r="71" spans="2:3">
      <c r="B71" s="1355"/>
      <c r="C71" s="1356"/>
    </row>
    <row r="72" spans="2:3" ht="25.5">
      <c r="B72" s="1357" t="s">
        <v>315</v>
      </c>
      <c r="C72" s="1358" t="s">
        <v>319</v>
      </c>
    </row>
    <row r="73" spans="2:3">
      <c r="B73" s="1355"/>
      <c r="C73" s="1356"/>
    </row>
    <row r="74" spans="2:3">
      <c r="B74" s="1355"/>
      <c r="C74" s="1356"/>
    </row>
    <row r="75" spans="2:3">
      <c r="B75" s="1362"/>
      <c r="C75" s="1363"/>
    </row>
    <row r="76" spans="2:3">
      <c r="B76" s="1040"/>
      <c r="C76" s="1041"/>
    </row>
    <row r="86" spans="2:3">
      <c r="B86" s="1040"/>
      <c r="C86" s="1041"/>
    </row>
    <row r="87" spans="2:3" ht="26.25" customHeight="1"/>
    <row r="101" spans="2:3" s="2" customFormat="1">
      <c r="B101" s="1037"/>
      <c r="C101" s="1038"/>
    </row>
    <row r="109" spans="2:3" ht="26.25" customHeight="1"/>
  </sheetData>
  <phoneticPr fontId="19" type="noConversion"/>
  <pageMargins left="1.04" right="0.59055118110236227" top="1.3779527559055118" bottom="1.7716535433070868" header="0.51181102362204722" footer="0.51181102362204722"/>
  <pageSetup paperSize="5" scale="83"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96</vt:i4>
      </vt:variant>
      <vt:variant>
        <vt:lpstr>Rangos con nombre</vt:lpstr>
      </vt:variant>
      <vt:variant>
        <vt:i4>35</vt:i4>
      </vt:variant>
    </vt:vector>
  </HeadingPairs>
  <TitlesOfParts>
    <vt:vector size="131" baseType="lpstr">
      <vt:lpstr>INDICE</vt:lpstr>
      <vt:lpstr>PROLOGO</vt:lpstr>
      <vt:lpstr>CAP I INF. BASICA</vt:lpstr>
      <vt:lpstr>2</vt:lpstr>
      <vt:lpstr>3</vt:lpstr>
      <vt:lpstr>4</vt:lpstr>
      <vt:lpstr>5</vt:lpstr>
      <vt:lpstr>6</vt:lpstr>
      <vt:lpstr>7</vt:lpstr>
      <vt:lpstr>8</vt:lpstr>
      <vt:lpstr>9</vt:lpstr>
      <vt:lpstr>10</vt:lpstr>
      <vt:lpstr>11</vt:lpstr>
      <vt:lpstr>12</vt:lpstr>
      <vt:lpstr>13</vt:lpstr>
      <vt:lpstr>14</vt:lpstr>
      <vt:lpstr>15</vt:lpstr>
      <vt:lpstr>CAP II  IND BIODEM</vt:lpstr>
      <vt:lpstr>18</vt:lpstr>
      <vt:lpstr>19</vt:lpstr>
      <vt:lpstr>20</vt:lpstr>
      <vt:lpstr>21</vt:lpstr>
      <vt:lpstr>22</vt:lpstr>
      <vt:lpstr>23</vt:lpstr>
      <vt:lpstr>24</vt:lpstr>
      <vt:lpstr>25</vt:lpstr>
      <vt:lpstr>26</vt:lpstr>
      <vt:lpstr>27</vt:lpstr>
      <vt:lpstr>28</vt:lpstr>
      <vt:lpstr>29</vt:lpstr>
      <vt:lpstr>30</vt:lpstr>
      <vt:lpstr>31</vt:lpstr>
      <vt:lpstr>CAP III ACTIVIDADES</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GLOSARIO</vt:lpstr>
      <vt:lpstr>'76'!A_impresión_IM</vt:lpstr>
      <vt:lpstr>'77'!A_impresión_IM</vt:lpstr>
      <vt:lpstr>'78'!A_impresión_IM</vt:lpstr>
      <vt:lpstr>'80'!A_impresión_IM</vt:lpstr>
      <vt:lpstr>'81'!A_impresión_IM</vt:lpstr>
      <vt:lpstr>'82'!A_impresión_IM</vt:lpstr>
      <vt:lpstr>'10'!Área_de_impresión</vt:lpstr>
      <vt:lpstr>'12'!Área_de_impresión</vt:lpstr>
      <vt:lpstr>'13'!Área_de_impresión</vt:lpstr>
      <vt:lpstr>'29'!Área_de_impresión</vt:lpstr>
      <vt:lpstr>'34'!Área_de_impresión</vt:lpstr>
      <vt:lpstr>'38'!Área_de_impresión</vt:lpstr>
      <vt:lpstr>'6'!Área_de_impresión</vt:lpstr>
      <vt:lpstr>'61'!Área_de_impresión</vt:lpstr>
      <vt:lpstr>'66'!Área_de_impresión</vt:lpstr>
      <vt:lpstr>'69'!Área_de_impresión</vt:lpstr>
      <vt:lpstr>'70'!Área_de_impresión</vt:lpstr>
      <vt:lpstr>'71'!Área_de_impresión</vt:lpstr>
      <vt:lpstr>'73'!Área_de_impresión</vt:lpstr>
      <vt:lpstr>'78'!Área_de_impresión</vt:lpstr>
      <vt:lpstr>'80'!Área_de_impresión</vt:lpstr>
      <vt:lpstr>'81'!Área_de_impresión</vt:lpstr>
      <vt:lpstr>'82'!Área_de_impresión</vt:lpstr>
      <vt:lpstr>'83'!Área_de_impresión</vt:lpstr>
      <vt:lpstr>'84'!Área_de_impresión</vt:lpstr>
      <vt:lpstr>'85'!Área_de_impresión</vt:lpstr>
      <vt:lpstr>'86'!Área_de_impresión</vt:lpstr>
      <vt:lpstr>'87'!Área_de_impresión</vt:lpstr>
      <vt:lpstr>'88'!Área_de_impresión</vt:lpstr>
      <vt:lpstr>'76'!TOTAL</vt:lpstr>
      <vt:lpstr>'77'!TOTAL</vt:lpstr>
      <vt:lpstr>'78'!TOTAL</vt:lpstr>
      <vt:lpstr>'80'!TOTAL</vt:lpstr>
      <vt:lpstr>'81'!TOTAL</vt:lpstr>
      <vt:lpstr>'82'!TOTAL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Acer End User</dc:creator>
  <cp:lastModifiedBy>Guillermo_P</cp:lastModifiedBy>
  <cp:lastPrinted>2016-09-12T20:19:38Z</cp:lastPrinted>
  <dcterms:created xsi:type="dcterms:W3CDTF">2002-03-10T16:08:46Z</dcterms:created>
  <dcterms:modified xsi:type="dcterms:W3CDTF">2017-03-31T11:47:57Z</dcterms:modified>
</cp:coreProperties>
</file>